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桌面\怀柔中行吴琼询价\结果\"/>
    </mc:Choice>
  </mc:AlternateContent>
  <xr:revisionPtr revIDLastSave="0" documentId="13_ncr:1_{615231BF-13C0-4B07-B111-85F6FBC10106}" xr6:coauthVersionLast="47" xr6:coauthVersionMax="47" xr10:uidLastSave="{00000000-0000-0000-0000-000000000000}"/>
  <bookViews>
    <workbookView xWindow="-120" yWindow="-120" windowWidth="19440" windowHeight="15000" tabRatio="885" firstSheet="9" activeTab="1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1" i="1" l="1"/>
  <c r="H20" i="1"/>
  <c r="G20" i="1"/>
  <c r="C25" i="62"/>
  <c r="K22" i="9"/>
  <c r="C6" i="11"/>
  <c r="D14" i="9"/>
  <c r="E13" i="1"/>
  <c r="D2" i="4"/>
  <c r="AH5" i="59" l="1"/>
  <c r="AG5" i="59"/>
  <c r="AE5" i="59"/>
  <c r="AF5" i="59" s="1"/>
  <c r="AD5" i="59"/>
  <c r="Q5" i="59"/>
  <c r="P5" i="59"/>
  <c r="O5" i="59"/>
  <c r="N5" i="59"/>
  <c r="AH6" i="59"/>
  <c r="AG6" i="59"/>
  <c r="AF6" i="59"/>
  <c r="AE6" i="59"/>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2" i="15" s="1"/>
  <c r="J51" i="15"/>
  <c r="B26" i="1"/>
  <c r="E19" i="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V81" i="59" s="1"/>
  <c r="E81" i="59"/>
  <c r="U81" i="59" s="1"/>
  <c r="C81" i="59"/>
  <c r="T81" i="59" s="1"/>
  <c r="B81" i="59"/>
  <c r="S81" i="59" s="1"/>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V69" i="59" s="1"/>
  <c r="E69" i="59"/>
  <c r="U69" i="59" s="1"/>
  <c r="C69" i="59"/>
  <c r="B69" i="59"/>
  <c r="S69" i="59" s="1"/>
  <c r="B68" i="59"/>
  <c r="D66" i="59"/>
  <c r="Q65" i="59"/>
  <c r="P65" i="59"/>
  <c r="O65" i="59"/>
  <c r="N65" i="59"/>
  <c r="Q64" i="59"/>
  <c r="P64" i="59"/>
  <c r="O64" i="59"/>
  <c r="N64" i="59"/>
  <c r="Q63" i="59"/>
  <c r="P63" i="59"/>
  <c r="O63" i="59"/>
  <c r="N63" i="59"/>
  <c r="Q62" i="59"/>
  <c r="F63" i="59"/>
  <c r="F64" i="59" s="1"/>
  <c r="F65" i="59" s="1"/>
  <c r="V65" i="59" s="1"/>
  <c r="P62" i="59"/>
  <c r="E63" i="59" s="1"/>
  <c r="E64" i="59" s="1"/>
  <c r="E65" i="59" s="1"/>
  <c r="U65" i="59" s="1"/>
  <c r="O62" i="59"/>
  <c r="C63" i="59" s="1"/>
  <c r="N62" i="59"/>
  <c r="B63" i="59"/>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AB40" i="59" s="1"/>
  <c r="P40" i="59"/>
  <c r="AA40" i="59"/>
  <c r="O40" i="59"/>
  <c r="Y40" i="59"/>
  <c r="Z40" i="59" s="1"/>
  <c r="N40" i="59"/>
  <c r="X40" i="59" s="1"/>
  <c r="Z39" i="59"/>
  <c r="Q39" i="59"/>
  <c r="P39" i="59"/>
  <c r="AA39" i="59" s="1"/>
  <c r="O39" i="59"/>
  <c r="Y39" i="59" s="1"/>
  <c r="N39" i="59"/>
  <c r="X39" i="59" s="1"/>
  <c r="Q38" i="59"/>
  <c r="P38" i="59"/>
  <c r="AA38" i="59" s="1"/>
  <c r="O38" i="59"/>
  <c r="Y38" i="59" s="1"/>
  <c r="Z38" i="59" s="1"/>
  <c r="C39" i="59"/>
  <c r="N38" i="59"/>
  <c r="B39" i="59"/>
  <c r="B40" i="59" s="1"/>
  <c r="B41" i="59" s="1"/>
  <c r="S41" i="59" s="1"/>
  <c r="D38" i="59"/>
  <c r="Q37" i="59"/>
  <c r="P37" i="59"/>
  <c r="AA37" i="59" s="1"/>
  <c r="O37" i="59"/>
  <c r="Y37" i="59" s="1"/>
  <c r="Z37" i="59" s="1"/>
  <c r="N37" i="59"/>
  <c r="X37" i="59" s="1"/>
  <c r="Q36" i="59"/>
  <c r="P36" i="59"/>
  <c r="AA36" i="59" s="1"/>
  <c r="O36" i="59"/>
  <c r="Y36" i="59" s="1"/>
  <c r="Z36" i="59" s="1"/>
  <c r="N36" i="59"/>
  <c r="X36" i="59" s="1"/>
  <c r="Q35" i="59"/>
  <c r="P35" i="59"/>
  <c r="AA35" i="59" s="1"/>
  <c r="O35" i="59"/>
  <c r="Y35" i="59" s="1"/>
  <c r="Z35" i="59" s="1"/>
  <c r="N35" i="59"/>
  <c r="X35" i="59" s="1"/>
  <c r="Q34" i="59"/>
  <c r="P34" i="59"/>
  <c r="AA34" i="59" s="1"/>
  <c r="O34" i="59"/>
  <c r="Y34" i="59" s="1"/>
  <c r="Z34" i="59" s="1"/>
  <c r="C35" i="59"/>
  <c r="N34" i="59"/>
  <c r="B35" i="59"/>
  <c r="B36" i="59" s="1"/>
  <c r="B37" i="59" s="1"/>
  <c r="S37" i="59" s="1"/>
  <c r="D34" i="59"/>
  <c r="Q33" i="59"/>
  <c r="P33" i="59"/>
  <c r="AA33" i="59" s="1"/>
  <c r="O33" i="59"/>
  <c r="Y33" i="59" s="1"/>
  <c r="Z33" i="59" s="1"/>
  <c r="N33" i="59"/>
  <c r="X33" i="59" s="1"/>
  <c r="Q32" i="59"/>
  <c r="AB32" i="59" s="1"/>
  <c r="P32" i="59"/>
  <c r="AA32" i="59" s="1"/>
  <c r="O32" i="59"/>
  <c r="Y32" i="59" s="1"/>
  <c r="Z32" i="59" s="1"/>
  <c r="N32" i="59"/>
  <c r="X32" i="59" s="1"/>
  <c r="Q31" i="59"/>
  <c r="AB31" i="59" s="1"/>
  <c r="P31" i="59"/>
  <c r="AA31" i="59" s="1"/>
  <c r="O31" i="59"/>
  <c r="Y31" i="59" s="1"/>
  <c r="Z31" i="59" s="1"/>
  <c r="N31" i="59"/>
  <c r="X31" i="59" s="1"/>
  <c r="Q30" i="59"/>
  <c r="AB30" i="59" s="1"/>
  <c r="P30" i="59"/>
  <c r="AA30" i="59" s="1"/>
  <c r="O30" i="59"/>
  <c r="Y30" i="59" s="1"/>
  <c r="Z30" i="59" s="1"/>
  <c r="C31" i="59"/>
  <c r="D31" i="59" s="1"/>
  <c r="N30" i="59"/>
  <c r="B31" i="59"/>
  <c r="B32" i="59" s="1"/>
  <c r="B33" i="59" s="1"/>
  <c r="S33" i="59" s="1"/>
  <c r="D30" i="59"/>
  <c r="O29" i="59"/>
  <c r="N29" i="59"/>
  <c r="B29" i="59" s="1"/>
  <c r="C29" i="59"/>
  <c r="T29" i="59"/>
  <c r="Y26" i="59"/>
  <c r="Z26" i="59"/>
  <c r="Y27" i="59"/>
  <c r="Z27" i="59"/>
  <c r="Y29" i="59"/>
  <c r="Z29" i="59"/>
  <c r="Y28" i="59"/>
  <c r="Z28" i="59"/>
  <c r="X29" i="59"/>
  <c r="X26" i="59"/>
  <c r="C32" i="59"/>
  <c r="C36" i="59"/>
  <c r="D35" i="59"/>
  <c r="C40" i="59"/>
  <c r="D39" i="59"/>
  <c r="C44" i="59"/>
  <c r="D43" i="59"/>
  <c r="C48" i="59"/>
  <c r="D48" i="59" s="1"/>
  <c r="D47" i="59"/>
  <c r="C52" i="59"/>
  <c r="D51" i="59"/>
  <c r="P29" i="59"/>
  <c r="U73" i="59"/>
  <c r="E72" i="59"/>
  <c r="E71" i="59" s="1"/>
  <c r="Q29" i="59"/>
  <c r="F29" i="59" s="1"/>
  <c r="N68" i="59"/>
  <c r="B67"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N66" i="59"/>
  <c r="N67" i="59"/>
  <c r="C45" i="59"/>
  <c r="D44" i="59"/>
  <c r="C41" i="59"/>
  <c r="D40" i="59"/>
  <c r="C37" i="59"/>
  <c r="D36" i="59"/>
  <c r="C33" i="59"/>
  <c r="D32" i="59"/>
  <c r="D28" i="59"/>
  <c r="C27" i="59"/>
  <c r="D27" i="59" s="1"/>
  <c r="E28" i="59"/>
  <c r="E27" i="59" s="1"/>
  <c r="U29" i="59"/>
  <c r="O67" i="59"/>
  <c r="O66" i="59"/>
  <c r="D53" i="59"/>
  <c r="T33" i="59"/>
  <c r="D33" i="59"/>
  <c r="T37" i="59"/>
  <c r="D37" i="59"/>
  <c r="T41" i="59"/>
  <c r="D41" i="59"/>
  <c r="T45" i="59"/>
  <c r="D4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C22" i="20"/>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C17" i="15" s="1"/>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AA42" i="21" s="1"/>
  <c r="D119" i="2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c r="F73" i="37"/>
  <c r="G73" i="37"/>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C110" i="57"/>
  <c r="H104" i="57" s="1"/>
  <c r="T27" i="31"/>
  <c r="S27" i="31"/>
  <c r="M101" i="43"/>
  <c r="M109" i="43" s="1"/>
  <c r="I101" i="43"/>
  <c r="I102" i="43" s="1"/>
  <c r="E101" i="43"/>
  <c r="E109" i="43" s="1"/>
  <c r="N101" i="43"/>
  <c r="N107" i="43" s="1"/>
  <c r="J101" i="43"/>
  <c r="J102" i="43" s="1"/>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P51" i="15"/>
  <c r="C2" i="31"/>
  <c r="I23" i="31" s="1"/>
  <c r="P60" i="15"/>
  <c r="D3" i="35"/>
  <c r="D78" i="9"/>
  <c r="D95" i="57"/>
  <c r="D80" i="57"/>
  <c r="A16" i="55"/>
  <c r="B46" i="60" s="1"/>
  <c r="D3" i="33"/>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20" i="12"/>
  <c r="C19" i="12"/>
  <c r="G22" i="11"/>
  <c r="G41" i="11"/>
  <c r="E48" i="43"/>
  <c r="H113" i="43"/>
  <c r="X7" i="43"/>
  <c r="E59" i="43"/>
  <c r="B57" i="43"/>
  <c r="E70" i="43"/>
  <c r="B68" i="43"/>
  <c r="AG11" i="43"/>
  <c r="AG13" i="43" s="1"/>
  <c r="AC11" i="43"/>
  <c r="AC13" i="43" s="1"/>
  <c r="Y11" i="43"/>
  <c r="Y13" i="43" s="1"/>
  <c r="AH11" i="43"/>
  <c r="AH13" i="43" s="1"/>
  <c r="AD11" i="43"/>
  <c r="AD13" i="43" s="1"/>
  <c r="Z11" i="43"/>
  <c r="Z13" i="43" s="1"/>
  <c r="B46" i="43"/>
  <c r="C7" i="39"/>
  <c r="C67" i="39" s="1"/>
  <c r="C69" i="39" s="1"/>
  <c r="C53" i="10"/>
  <c r="D123" i="9"/>
  <c r="D6" i="52" s="1"/>
  <c r="D124" i="9"/>
  <c r="D7" i="52"/>
  <c r="N49" i="57"/>
  <c r="B58" i="60"/>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E105" i="43"/>
  <c r="M12" i="43"/>
  <c r="M8" i="43"/>
  <c r="N7" i="43"/>
  <c r="M3" i="43"/>
  <c r="M11" i="43"/>
  <c r="N8" i="43"/>
  <c r="H8" i="44"/>
  <c r="H12" i="44"/>
  <c r="C62" i="39"/>
  <c r="M85" i="43"/>
  <c r="N85" i="43"/>
  <c r="K85" i="43"/>
  <c r="J85" i="43"/>
  <c r="D85" i="43"/>
  <c r="M82" i="43"/>
  <c r="N82" i="43" s="1"/>
  <c r="K83" i="43"/>
  <c r="J83" i="43" s="1"/>
  <c r="D83" i="43"/>
  <c r="H81" i="43"/>
  <c r="F103" i="43"/>
  <c r="J104" i="43"/>
  <c r="N105" i="43"/>
  <c r="E106" i="43"/>
  <c r="M107" i="43"/>
  <c r="F35" i="15"/>
  <c r="F64" i="15" s="1"/>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F34" i="11"/>
  <c r="D20" i="1"/>
  <c r="F50" i="11"/>
  <c r="F18" i="1"/>
  <c r="C11" i="12" s="1"/>
  <c r="C15" i="12" s="1"/>
  <c r="K87" i="43"/>
  <c r="J87" i="43"/>
  <c r="D87" i="43"/>
  <c r="C3" i="4"/>
  <c r="B4" i="55" s="1"/>
  <c r="B53" i="60" s="1"/>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D23" i="59"/>
  <c r="D24" i="59"/>
  <c r="B25" i="59"/>
  <c r="S25" i="59" s="1"/>
  <c r="AB25" i="59"/>
  <c r="U25" i="59"/>
  <c r="AA24" i="59"/>
  <c r="X24" i="59"/>
  <c r="AB24" i="59"/>
  <c r="AA23" i="59"/>
  <c r="Y23" i="59"/>
  <c r="Z23" i="59"/>
  <c r="Y21" i="59"/>
  <c r="Z21" i="59"/>
  <c r="AB21" i="59"/>
  <c r="AB19" i="59"/>
  <c r="X21" i="59"/>
  <c r="X19" i="59"/>
  <c r="AA21"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X3" i="59"/>
  <c r="Y3" i="59"/>
  <c r="Z3" i="59" s="1"/>
  <c r="D22" i="59"/>
  <c r="F48" i="43"/>
  <c r="H50" i="43" s="1"/>
  <c r="G4" i="47"/>
  <c r="B24" i="59"/>
  <c r="B23" i="59" s="1"/>
  <c r="B22" i="59" s="1"/>
  <c r="B21" i="59" s="1"/>
  <c r="AC30" i="35"/>
  <c r="U30" i="35"/>
  <c r="D20" i="59"/>
  <c r="I116" i="57"/>
  <c r="D133" i="57" s="1"/>
  <c r="D120" i="57"/>
  <c r="I114" i="9"/>
  <c r="D129" i="9" s="1"/>
  <c r="I112" i="9"/>
  <c r="D39" i="50" s="1"/>
  <c r="D40" i="50" s="1"/>
  <c r="D116" i="9"/>
  <c r="D114" i="9"/>
  <c r="D115" i="9"/>
  <c r="I113" i="9" s="1"/>
  <c r="F3" i="61"/>
  <c r="F6" i="61"/>
  <c r="F5" i="61"/>
  <c r="F4" i="61"/>
  <c r="D7" i="61"/>
  <c r="E2" i="37"/>
  <c r="D6" i="61"/>
  <c r="H23" i="31"/>
  <c r="C19" i="57"/>
  <c r="F7" i="61"/>
  <c r="D19" i="57"/>
  <c r="E2" i="35"/>
  <c r="D5" i="61"/>
  <c r="E2" i="11"/>
  <c r="D20" i="57"/>
  <c r="C20" i="57"/>
  <c r="D4" i="61"/>
  <c r="E2" i="21"/>
  <c r="D3" i="61"/>
  <c r="E2" i="36"/>
  <c r="E2" i="34"/>
  <c r="E2" i="33"/>
  <c r="C18" i="9" l="1"/>
  <c r="D18" i="9" s="1"/>
  <c r="C14" i="12"/>
  <c r="M60" i="15"/>
  <c r="D19" i="1"/>
  <c r="F19" i="1"/>
  <c r="D18" i="1"/>
  <c r="D42" i="50"/>
  <c r="D43" i="50" s="1"/>
  <c r="J22" i="43"/>
  <c r="M104" i="43"/>
  <c r="I103" i="43"/>
  <c r="E102" i="43"/>
  <c r="N109" i="43"/>
  <c r="J107" i="43"/>
  <c r="F106" i="43"/>
  <c r="N106" i="43"/>
  <c r="N104" i="46"/>
  <c r="Z7" i="43"/>
  <c r="AB11" i="43"/>
  <c r="AB13" i="43" s="1"/>
  <c r="AF11" i="43"/>
  <c r="AF13" i="43" s="1"/>
  <c r="AJ11" i="43"/>
  <c r="AJ13" i="43" s="1"/>
  <c r="AA11" i="43"/>
  <c r="AA13" i="43" s="1"/>
  <c r="AE11" i="43"/>
  <c r="AE13" i="43" s="1"/>
  <c r="AI11" i="43"/>
  <c r="AI13" i="43" s="1"/>
  <c r="N102" i="43"/>
  <c r="D101" i="43"/>
  <c r="H101" i="43"/>
  <c r="L101" i="43"/>
  <c r="C101" i="43"/>
  <c r="G101" i="43"/>
  <c r="K101" i="43"/>
  <c r="B113" i="43"/>
  <c r="E18" i="1"/>
  <c r="C34" i="11" s="1"/>
  <c r="C35" i="11" s="1"/>
  <c r="M7" i="15"/>
  <c r="J6" i="15" s="1"/>
  <c r="D19" i="11"/>
  <c r="D3" i="37"/>
  <c r="D3" i="34"/>
  <c r="D10" i="11"/>
  <c r="C10" i="11" s="1"/>
  <c r="M29" i="15"/>
  <c r="N46" i="9"/>
  <c r="A2" i="9"/>
  <c r="A8" i="52"/>
  <c r="B65" i="60" s="1"/>
  <c r="B20" i="59"/>
  <c r="B19" i="59" s="1"/>
  <c r="B18" i="59" s="1"/>
  <c r="B17" i="59" s="1"/>
  <c r="S21" i="59"/>
  <c r="F16" i="59"/>
  <c r="F15" i="59" s="1"/>
  <c r="F14" i="59" s="1"/>
  <c r="F13" i="59" s="1"/>
  <c r="V17" i="59"/>
  <c r="D19" i="59"/>
  <c r="I14" i="62"/>
  <c r="B8" i="62" s="1"/>
  <c r="C8" i="62" s="1"/>
  <c r="D21" i="59"/>
  <c r="V21" i="59"/>
  <c r="T21" i="59"/>
  <c r="S12" i="21"/>
  <c r="AA12" i="21"/>
  <c r="U23" i="39"/>
  <c r="S27" i="36"/>
  <c r="S24" i="36"/>
  <c r="W17" i="21"/>
  <c r="C27" i="39"/>
  <c r="B74" i="43"/>
  <c r="F9" i="35"/>
  <c r="H9" i="35"/>
  <c r="F12" i="35"/>
  <c r="H12" i="35"/>
  <c r="J36" i="35"/>
  <c r="H23" i="36"/>
  <c r="D4" i="47"/>
  <c r="F4" i="47" s="1"/>
  <c r="B2" i="47" s="1"/>
  <c r="B75" i="43"/>
  <c r="B55" i="43"/>
  <c r="B66" i="43"/>
  <c r="C29" i="39"/>
  <c r="F28" i="59"/>
  <c r="F27" i="59" s="1"/>
  <c r="V29" i="59"/>
  <c r="D55" i="59"/>
  <c r="C56" i="59"/>
  <c r="D59" i="59"/>
  <c r="C60" i="59"/>
  <c r="D63" i="59"/>
  <c r="C64" i="59"/>
  <c r="S21" i="21"/>
  <c r="S21" i="37"/>
  <c r="B86" i="43"/>
  <c r="C25" i="40"/>
  <c r="B28" i="59"/>
  <c r="B27" i="59" s="1"/>
  <c r="S29" i="59"/>
  <c r="D72" i="59"/>
  <c r="AB28" i="59"/>
  <c r="AB26" i="59"/>
  <c r="X27" i="59"/>
  <c r="X28" i="59"/>
  <c r="X30" i="59"/>
  <c r="E31" i="59"/>
  <c r="E32" i="59" s="1"/>
  <c r="E33" i="59" s="1"/>
  <c r="U33" i="59" s="1"/>
  <c r="F31" i="59"/>
  <c r="F32" i="59" s="1"/>
  <c r="F33" i="59" s="1"/>
  <c r="V33" i="59" s="1"/>
  <c r="AB33" i="59"/>
  <c r="X34" i="59"/>
  <c r="E35" i="59"/>
  <c r="E36" i="59" s="1"/>
  <c r="E37" i="59" s="1"/>
  <c r="U37" i="59" s="1"/>
  <c r="AB34" i="59"/>
  <c r="F35" i="59"/>
  <c r="F36" i="59" s="1"/>
  <c r="F37" i="59" s="1"/>
  <c r="V37" i="59" s="1"/>
  <c r="AB35" i="59"/>
  <c r="AB36" i="59"/>
  <c r="AB37" i="59"/>
  <c r="X38" i="59"/>
  <c r="E39" i="59"/>
  <c r="E40" i="59" s="1"/>
  <c r="E41" i="59" s="1"/>
  <c r="AB38" i="59"/>
  <c r="F39" i="59"/>
  <c r="F40" i="59" s="1"/>
  <c r="F41" i="59" s="1"/>
  <c r="V41" i="59" s="1"/>
  <c r="AB39" i="59"/>
  <c r="Y8" i="59"/>
  <c r="Z8" i="59" s="1"/>
  <c r="Y7" i="59"/>
  <c r="Z7" i="59" s="1"/>
  <c r="Y6" i="59"/>
  <c r="Z6" i="59" s="1"/>
  <c r="Y5" i="59"/>
  <c r="Z5" i="59" s="1"/>
  <c r="Y12" i="59"/>
  <c r="Z12" i="59" s="1"/>
  <c r="Y9" i="59"/>
  <c r="Z9" i="59" s="1"/>
  <c r="Y10" i="59"/>
  <c r="Z10" i="59" s="1"/>
  <c r="AA8" i="59"/>
  <c r="AA9" i="59"/>
  <c r="AA7" i="59"/>
  <c r="AA5" i="59"/>
  <c r="AA6" i="59"/>
  <c r="AA11" i="59"/>
  <c r="AA10" i="59"/>
  <c r="F68" i="59"/>
  <c r="E68" i="59"/>
  <c r="N69" i="59"/>
  <c r="B72" i="59"/>
  <c r="B71" i="59" s="1"/>
  <c r="F72" i="59"/>
  <c r="F71" i="59" s="1"/>
  <c r="B80" i="59"/>
  <c r="B79" i="59" s="1"/>
  <c r="F80" i="59"/>
  <c r="F79" i="59" s="1"/>
  <c r="AA22" i="59"/>
  <c r="AA25" i="59"/>
  <c r="E16" i="59"/>
  <c r="E15" i="59" s="1"/>
  <c r="E14" i="59" s="1"/>
  <c r="E13" i="59" s="1"/>
  <c r="U17" i="59"/>
  <c r="Y24" i="59"/>
  <c r="Z24" i="59" s="1"/>
  <c r="AB23" i="59"/>
  <c r="AB22" i="59"/>
  <c r="Y22" i="59"/>
  <c r="Z22" i="59" s="1"/>
  <c r="Y20" i="59"/>
  <c r="Z20" i="59" s="1"/>
  <c r="AA18" i="59"/>
  <c r="X13" i="59"/>
  <c r="AB17" i="59"/>
  <c r="X8" i="59"/>
  <c r="X7" i="59"/>
  <c r="X6" i="59"/>
  <c r="X5" i="59"/>
  <c r="X9" i="59"/>
  <c r="X11" i="59"/>
  <c r="X10" i="59"/>
  <c r="X12" i="59"/>
  <c r="AB6" i="59"/>
  <c r="AB7" i="59"/>
  <c r="AB5" i="59"/>
  <c r="AB8" i="59"/>
  <c r="AB9" i="59"/>
  <c r="AB10" i="59"/>
  <c r="AB11" i="59"/>
  <c r="P69" i="59"/>
  <c r="X23" i="59"/>
  <c r="AA20" i="59"/>
  <c r="X22" i="59"/>
  <c r="AB18" i="59"/>
  <c r="X18" i="59"/>
  <c r="AA17" i="59"/>
  <c r="Y19" i="59"/>
  <c r="Z19" i="59" s="1"/>
  <c r="AA15" i="59"/>
  <c r="B15" i="50"/>
  <c r="V25" i="59"/>
  <c r="X25" i="59"/>
  <c r="Y25" i="59"/>
  <c r="Z25" i="59" s="1"/>
  <c r="Y18" i="59"/>
  <c r="Z18" i="59" s="1"/>
  <c r="Y16" i="59"/>
  <c r="Z16" i="59" s="1"/>
  <c r="AB16" i="59"/>
  <c r="AB13" i="59"/>
  <c r="AB12" i="59"/>
  <c r="Y13" i="59"/>
  <c r="Z13" i="59" s="1"/>
  <c r="Y14" i="59"/>
  <c r="Z14" i="59" s="1"/>
  <c r="AA13" i="59"/>
  <c r="AA12" i="59"/>
  <c r="X14" i="59"/>
  <c r="X16" i="59"/>
  <c r="AA16" i="59"/>
  <c r="AB14" i="59"/>
  <c r="AB15" i="59"/>
  <c r="Y11" i="59"/>
  <c r="Z11" i="59" s="1"/>
  <c r="Y15" i="59"/>
  <c r="Z15" i="59" s="1"/>
  <c r="AA14"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c r="D59" i="34"/>
  <c r="H67" i="39"/>
  <c r="D46" i="36"/>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6" i="43"/>
  <c r="H103" i="43"/>
  <c r="L107" i="43"/>
  <c r="L103" i="43"/>
  <c r="L105" i="43"/>
  <c r="L106" i="43"/>
  <c r="L102" i="43"/>
  <c r="C109" i="43"/>
  <c r="C106" i="43"/>
  <c r="C103" i="43"/>
  <c r="G107" i="43"/>
  <c r="G109" i="43"/>
  <c r="G106" i="43"/>
  <c r="G102" i="43"/>
  <c r="K104"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D8" i="62"/>
  <c r="K107" i="43"/>
  <c r="K106" i="43"/>
  <c r="K103" i="43"/>
  <c r="C104" i="43"/>
  <c r="C105" i="43"/>
  <c r="H107" i="43"/>
  <c r="H104" i="43"/>
  <c r="H102" i="43"/>
  <c r="K102" i="43"/>
  <c r="K109" i="43"/>
  <c r="C107" i="43"/>
  <c r="C102" i="43"/>
  <c r="S7" i="43" s="1"/>
  <c r="H105" i="43"/>
  <c r="H109" i="43"/>
  <c r="I118" i="43"/>
  <c r="J118" i="43" s="1"/>
  <c r="K118" i="43" s="1"/>
  <c r="L118" i="43" s="1"/>
  <c r="M118" i="43" s="1"/>
  <c r="D115" i="43"/>
  <c r="E115" i="43" s="1"/>
  <c r="F115" i="43" s="1"/>
  <c r="G115" i="43" s="1"/>
  <c r="H115" i="43" s="1"/>
  <c r="B116" i="43"/>
  <c r="C116" i="43" s="1"/>
  <c r="D116" i="43"/>
  <c r="E116" i="43" s="1"/>
  <c r="F116" i="43" s="1"/>
  <c r="G116" i="43" s="1"/>
  <c r="H116" i="43" s="1"/>
  <c r="B117" i="43"/>
  <c r="C117" i="43" s="1"/>
  <c r="D117" i="43"/>
  <c r="E117" i="43" s="1"/>
  <c r="F117" i="43" s="1"/>
  <c r="G117" i="43" s="1"/>
  <c r="H117" i="43" s="1"/>
  <c r="B115" i="43"/>
  <c r="C115" i="43" s="1"/>
  <c r="D118" i="43"/>
  <c r="E118" i="43" s="1"/>
  <c r="F118" i="43" s="1"/>
  <c r="G105" i="43"/>
  <c r="G104" i="43"/>
  <c r="G103" i="43"/>
  <c r="L109" i="43"/>
  <c r="L104" i="43"/>
  <c r="D103" i="43"/>
  <c r="D102" i="43"/>
  <c r="D105" i="43"/>
  <c r="F67" i="59"/>
  <c r="Q68" i="59"/>
  <c r="M19" i="43"/>
  <c r="U41" i="59"/>
  <c r="D64" i="59"/>
  <c r="C65" i="59"/>
  <c r="D60" i="59"/>
  <c r="C61" i="59"/>
  <c r="D56" i="59"/>
  <c r="C57" i="59"/>
  <c r="AC36" i="35"/>
  <c r="W36" i="35"/>
  <c r="S12" i="35"/>
  <c r="AA12" i="35"/>
  <c r="AA9" i="35"/>
  <c r="S9" i="35"/>
  <c r="C16" i="59"/>
  <c r="T17" i="59"/>
  <c r="H7" i="37"/>
  <c r="AB7" i="37" s="1"/>
  <c r="T42" i="37" s="1"/>
  <c r="G42" i="37" s="1"/>
  <c r="G46" i="37" s="1"/>
  <c r="H46" i="37" s="1"/>
  <c r="P68" i="59"/>
  <c r="E67" i="59"/>
  <c r="U23" i="36"/>
  <c r="AB23" i="36"/>
  <c r="U12" i="35"/>
  <c r="AB12" i="35"/>
  <c r="AB9" i="35"/>
  <c r="U9" i="35"/>
  <c r="B16" i="59"/>
  <c r="B15" i="59" s="1"/>
  <c r="B14" i="59" s="1"/>
  <c r="B13" i="59" s="1"/>
  <c r="S17" i="59"/>
  <c r="F69" i="39"/>
  <c r="C7" i="43"/>
  <c r="U9" i="59"/>
  <c r="E8" i="59"/>
  <c r="V9" i="59"/>
  <c r="F8"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D113" i="43"/>
  <c r="J7" i="36"/>
  <c r="B12" i="59"/>
  <c r="B11" i="59" s="1"/>
  <c r="B10" i="59" s="1"/>
  <c r="B9" i="59" s="1"/>
  <c r="S13" i="59"/>
  <c r="D57" i="59"/>
  <c r="T57" i="59"/>
  <c r="D61" i="59"/>
  <c r="T61" i="59"/>
  <c r="D65" i="59"/>
  <c r="T65" i="59"/>
  <c r="P66" i="59"/>
  <c r="P67" i="59"/>
  <c r="Q67" i="59"/>
  <c r="Q66" i="59"/>
  <c r="F7" i="59"/>
  <c r="E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8" i="59" l="1"/>
  <c r="B7" i="59" s="1"/>
  <c r="S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98" i="57"/>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D22" i="9"/>
  <c r="G19" i="9"/>
  <c r="C32" i="9" s="1"/>
  <c r="C35" i="9" s="1"/>
  <c r="C34" i="9" s="1"/>
  <c r="D102" i="9"/>
  <c r="G20"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8" i="52"/>
  <c r="D5" i="52"/>
  <c r="B39" i="60" s="1"/>
  <c r="D44" i="50"/>
  <c r="E4" i="52"/>
  <c r="B38" i="60" s="1"/>
  <c r="D30" i="50"/>
  <c r="D9" i="50"/>
  <c r="B21" i="60" s="1"/>
  <c r="H5" i="52"/>
  <c r="D28" i="50"/>
  <c r="D29" i="50"/>
  <c r="F5" i="52"/>
  <c r="B42" i="60" s="1"/>
  <c r="B19" i="60"/>
  <c r="D7" i="50"/>
  <c r="D8" i="50"/>
  <c r="B22" i="60" s="1"/>
  <c r="M66" i="9"/>
  <c r="N66" i="9" s="1"/>
  <c r="M64" i="9"/>
  <c r="N64" i="9" s="1"/>
  <c r="N49" i="9"/>
  <c r="M65" i="9" s="1"/>
  <c r="N65" i="9" s="1"/>
  <c r="M63" i="9"/>
  <c r="N63" i="9" s="1"/>
  <c r="N69" i="9" s="1"/>
  <c r="O69" i="9" s="1"/>
  <c r="M68" i="9" l="1"/>
  <c r="N68" i="9" s="1"/>
  <c r="M67" i="9"/>
  <c r="N67" i="9" s="1"/>
  <c r="D16" i="50"/>
  <c r="B30" i="60" s="1"/>
  <c r="F121" i="9"/>
  <c r="F122" i="9" s="1"/>
  <c r="D121" i="9"/>
  <c r="E121" i="9" s="1"/>
  <c r="H121" i="9"/>
  <c r="D14" i="62" s="1"/>
  <c r="I102" i="9" l="1"/>
  <c r="I110" i="9" s="1"/>
  <c r="D125" i="9" s="1"/>
  <c r="G14" i="62" s="1"/>
  <c r="B6" i="62" s="1"/>
  <c r="C6" i="62" s="1"/>
  <c r="I121" i="9"/>
  <c r="I103" i="9" s="1"/>
  <c r="C103" i="9"/>
  <c r="D106" i="9"/>
  <c r="D112" i="9" s="1"/>
  <c r="D117" i="9" s="1"/>
  <c r="I115" i="9" s="1"/>
  <c r="D122" i="9"/>
  <c r="B5" i="62"/>
  <c r="E14" i="62"/>
  <c r="F14" i="62"/>
  <c r="H122" i="9"/>
  <c r="G121" i="9"/>
  <c r="N48" i="9" l="1"/>
  <c r="D6" i="62"/>
  <c r="D45" i="9"/>
  <c r="C64" i="9" s="1"/>
  <c r="C63" i="9" s="1"/>
  <c r="C67" i="9" s="1"/>
  <c r="C68" i="9" s="1"/>
  <c r="D54" i="9" s="1"/>
  <c r="D107" i="9"/>
  <c r="C104" i="9"/>
  <c r="D113" i="9"/>
  <c r="I111" i="9" s="1"/>
  <c r="D126" i="9" s="1"/>
  <c r="C78" i="9"/>
  <c r="C73" i="9" s="1"/>
  <c r="D5" i="62"/>
  <c r="C5" i="62"/>
  <c r="C72" i="9" l="1"/>
  <c r="C79" i="9" s="1"/>
  <c r="D52" i="9"/>
  <c r="C93" i="9"/>
  <c r="C86" i="9" s="1"/>
  <c r="D53" i="9"/>
  <c r="D48" i="9" s="1"/>
  <c r="N52" i="9" s="1"/>
  <c r="O57" i="9" s="1"/>
  <c r="Q57" i="9" s="1"/>
  <c r="C85" i="9"/>
  <c r="C95" i="9" s="1"/>
  <c r="C96" i="9" s="1"/>
  <c r="E96" i="9" s="1"/>
  <c r="E97" i="9" s="1"/>
  <c r="C80" i="9" l="1"/>
  <c r="E80" i="9" s="1"/>
  <c r="E81" i="9" s="1"/>
  <c r="C97" i="9"/>
  <c r="D58" i="9" s="1"/>
  <c r="O59" i="9"/>
  <c r="O60" i="9" s="1"/>
  <c r="O58" i="9"/>
  <c r="O61" i="9" l="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<sst xmlns="http://schemas.openxmlformats.org/spreadsheetml/2006/main" count="6892" uniqueCount="3038">
  <si>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</si>
  <si>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</si>
  <si>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</si>
  <si>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</si>
  <si>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</si>
  <si>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</si>
  <si>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</si>
  <si>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</si>
  <si>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</si>
  <si>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</si>
  <si>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</si>
  <si>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</si>
  <si>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</si>
  <si>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</si>
  <si>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</si>
  <si>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</si>
  <si>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</si>
  <si>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</si>
  <si>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</si>
  <si>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</si>
  <si>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</si>
  <si>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</si>
  <si>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</si>
  <si>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</si>
  <si>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</si>
  <si>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</si>
  <si>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</si>
  <si>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</si>
  <si>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</si>
  <si>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</si>
  <si>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</si>
  <si>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</si>
  <si>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</si>
  <si>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</si>
  <si>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</si>
  <si>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</si>
  <si>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</si>
  <si>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</si>
  <si>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</si>
  <si>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</si>
  <si>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</si>
  <si>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</si>
  <si>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</si>
  <si>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</si>
  <si>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</si>
  <si>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</si>
  <si>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</si>
  <si>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</si>
  <si>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</si>
  <si>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</si>
  <si>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</si>
  <si>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</si>
  <si>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</si>
  <si>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</si>
  <si>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</si>
  <si>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</si>
  <si>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</si>
  <si>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</si>
  <si>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</si>
  <si>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</si>
  <si>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</si>
  <si>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</si>
  <si>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</si>
  <si>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</si>
  <si>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</si>
  <si>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</si>
  <si>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</si>
  <si>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</si>
  <si>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</si>
  <si>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</si>
  <si>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</si>
  <si>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</si>
  <si>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</si>
  <si>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</si>
  <si>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</si>
  <si>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</si>
  <si>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</si>
  <si>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</si>
  <si>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</si>
  <si>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</si>
  <si>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</si>
  <si>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</si>
  <si>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</si>
  <si>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</si>
  <si>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</si>
  <si>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</si>
  <si>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</si>
  <si>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</si>
  <si>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</si>
  <si>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</si>
  <si>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</si>
  <si>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</si>
  <si>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</si>
  <si>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</si>
  <si>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</si>
  <si>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</si>
  <si>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</si>
  <si>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</si>
  <si>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</si>
  <si>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</si>
  <si>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</si>
  <si>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</si>
  <si>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</si>
  <si>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</si>
  <si>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</si>
  <si>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</si>
  <si>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</si>
  <si>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</si>
  <si>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</si>
  <si>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</si>
  <si>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</si>
  <si>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</si>
  <si>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</si>
  <si>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</si>
  <si>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</si>
  <si>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</si>
  <si>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</si>
  <si>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</si>
  <si>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</si>
  <si>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</si>
  <si>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</si>
  <si>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</si>
  <si>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</si>
  <si>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</si>
  <si>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</si>
  <si>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</si>
  <si>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</si>
  <si>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</si>
  <si>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</si>
  <si>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</si>
  <si>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</si>
  <si>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</si>
  <si>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</si>
  <si>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</si>
  <si>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</si>
  <si>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</si>
  <si>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</si>
  <si>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</si>
  <si>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</si>
  <si>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</si>
  <si>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</si>
  <si>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</si>
  <si>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</si>
  <si>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</si>
  <si>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</si>
  <si>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</si>
  <si>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</si>
  <si>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</si>
  <si>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</si>
  <si>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</si>
  <si>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</si>
  <si>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</si>
  <si>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</si>
  <si>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</si>
  <si>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</si>
  <si>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</si>
  <si>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</si>
  <si>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</si>
  <si>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</si>
  <si>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</si>
  <si>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</si>
  <si>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</si>
  <si>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</si>
  <si>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</si>
  <si>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</si>
  <si>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</si>
  <si>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</si>
  <si>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</si>
  <si>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</si>
  <si>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</si>
  <si>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</si>
  <si>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</si>
  <si>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</si>
  <si>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</si>
  <si>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</si>
  <si>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</si>
  <si>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</si>
  <si>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</si>
  <si>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</si>
  <si>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</si>
  <si>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</si>
  <si>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</si>
  <si>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</si>
  <si>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</si>
  <si>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</si>
  <si>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</si>
  <si>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</si>
  <si>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</si>
  <si>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</si>
  <si>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</si>
  <si>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</si>
  <si>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</si>
  <si>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</si>
  <si>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</si>
  <si>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</si>
  <si>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</si>
  <si>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</si>
  <si>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</si>
  <si>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</si>
  <si>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</si>
  <si>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</si>
  <si>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</si>
  <si>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</si>
  <si>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</si>
  <si>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</si>
  <si>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</si>
  <si>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</si>
  <si>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</si>
  <si>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</si>
  <si>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</si>
  <si>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</si>
  <si>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</si>
  <si>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</si>
  <si>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</si>
  <si>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</si>
  <si>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</si>
  <si>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</si>
  <si>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</si>
  <si>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</si>
  <si>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</si>
  <si>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</si>
  <si>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</si>
  <si>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</si>
  <si>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</si>
  <si>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</si>
  <si>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</si>
  <si>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</si>
  <si>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</si>
  <si>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</si>
  <si>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</si>
  <si>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</si>
  <si>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</si>
  <si>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</si>
  <si>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</si>
  <si>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</si>
  <si>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</si>
  <si>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</si>
  <si>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</si>
  <si>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</si>
  <si>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</si>
  <si>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</si>
  <si>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</si>
  <si>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</si>
  <si>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</si>
  <si>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</si>
  <si>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</si>
  <si>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</si>
  <si>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</si>
  <si>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</si>
  <si>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</si>
  <si>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</si>
  <si>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</si>
  <si>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</si>
  <si>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</si>
  <si>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</si>
  <si>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</si>
  <si>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</si>
  <si>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</si>
  <si>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</si>
  <si>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</si>
  <si>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</si>
  <si>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</si>
  <si>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</si>
  <si>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</si>
  <si>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</si>
  <si>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</si>
  <si>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</si>
  <si>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</si>
  <si>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</si>
  <si>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</si>
  <si>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</si>
  <si>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</si>
  <si>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</si>
  <si>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</si>
  <si>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</si>
  <si>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</si>
  <si>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</si>
  <si>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</si>
  <si>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</si>
  <si>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</si>
  <si>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</si>
  <si>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</si>
  <si>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</si>
  <si>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</si>
  <si>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</si>
  <si>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</si>
  <si>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</si>
  <si>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</si>
  <si>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</si>
  <si>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</si>
  <si>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</si>
  <si>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</si>
  <si>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</si>
  <si>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</si>
  <si>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</si>
  <si>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</si>
  <si>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</si>
  <si>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</si>
  <si>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</si>
  <si>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</si>
  <si>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</si>
  <si>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</si>
  <si>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</si>
  <si>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</si>
  <si>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</si>
  <si>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</si>
  <si>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</si>
  <si>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</si>
  <si>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</si>
  <si>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</si>
  <si>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</si>
  <si>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</si>
  <si>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</si>
  <si>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</si>
  <si>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</si>
  <si>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</si>
  <si>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</si>
  <si>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</si>
  <si>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</si>
  <si>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</si>
  <si>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</si>
  <si>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</si>
  <si>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</si>
  <si>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</si>
  <si>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</si>
  <si>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</si>
  <si>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</si>
  <si>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</si>
  <si>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</si>
  <si>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</si>
  <si>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</si>
  <si>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</si>
  <si>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</si>
  <si>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</si>
  <si>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</si>
  <si>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</si>
  <si>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</si>
  <si>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</si>
  <si>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</si>
  <si>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</si>
  <si>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</si>
  <si>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</si>
  <si>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</si>
  <si>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</si>
  <si>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</si>
  <si>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</si>
  <si>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</si>
  <si>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</si>
  <si>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</si>
  <si>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</si>
  <si>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</si>
  <si>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</si>
  <si>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</si>
  <si>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</si>
  <si>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</si>
  <si>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</si>
  <si>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</si>
  <si>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</si>
  <si>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</si>
  <si>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</si>
  <si>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</si>
  <si>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</si>
  <si>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</si>
  <si>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</si>
  <si>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</si>
  <si>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</si>
  <si>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</si>
  <si>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</si>
  <si>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</si>
  <si>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</si>
  <si>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</si>
  <si>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</si>
  <si>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</si>
  <si>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</si>
  <si>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</si>
  <si>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</si>
  <si>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</si>
  <si>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</si>
  <si>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</si>
  <si>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</si>
  <si>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</si>
  <si>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</si>
  <si>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</si>
  <si>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</si>
  <si>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</si>
  <si>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</si>
  <si>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</si>
  <si>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</si>
  <si>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</si>
  <si>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</si>
  <si>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</si>
  <si>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</si>
  <si>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</si>
  <si>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</si>
  <si>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</si>
  <si>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</si>
  <si>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</si>
  <si>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</si>
  <si>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</si>
  <si>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</si>
  <si>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</si>
  <si>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</si>
  <si>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</si>
  <si>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</si>
  <si>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</si>
  <si>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</si>
  <si>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</si>
  <si>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</si>
  <si>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</si>
  <si>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</si>
  <si>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</si>
  <si>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</si>
  <si>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</si>
  <si>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</si>
  <si>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</si>
  <si>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</si>
  <si>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</si>
  <si>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</si>
  <si>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</si>
  <si>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</si>
  <si>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</si>
  <si>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</si>
  <si>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</si>
  <si>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</si>
  <si>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</si>
  <si>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</si>
  <si>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</si>
  <si>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</si>
  <si>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</si>
  <si>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</si>
  <si>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</si>
  <si>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</si>
  <si>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</si>
  <si>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</si>
  <si>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</si>
  <si>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</si>
  <si>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</si>
  <si>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</si>
  <si>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</si>
  <si>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</si>
  <si>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</si>
  <si>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</si>
  <si>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</si>
  <si>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</si>
  <si>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</si>
  <si>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</si>
  <si>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</si>
  <si>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</si>
  <si>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</si>
  <si>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</si>
  <si>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</si>
  <si>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</si>
  <si>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</si>
  <si>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</si>
  <si>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</si>
  <si>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</si>
  <si>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</si>
  <si>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</si>
  <si>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</si>
  <si>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</si>
  <si>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</si>
  <si>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</si>
  <si>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</si>
  <si>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</si>
  <si>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</si>
  <si>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</si>
  <si>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</si>
  <si>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</si>
  <si>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</si>
  <si>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</si>
  <si>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</si>
  <si>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</si>
  <si>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</si>
  <si>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</si>
  <si>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</si>
  <si>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</si>
  <si>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</si>
  <si>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</si>
  <si>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</si>
  <si>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</si>
  <si>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</si>
  <si>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</si>
  <si>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</si>
  <si>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</si>
  <si>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</si>
  <si>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</si>
  <si>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</si>
  <si>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</si>
  <si>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</si>
  <si>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</si>
  <si>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</si>
  <si>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</si>
  <si>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</si>
  <si>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</si>
  <si>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</si>
  <si>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</si>
  <si>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</si>
  <si>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</si>
  <si>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</si>
  <si>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</si>
  <si>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</si>
  <si>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</si>
  <si>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</si>
  <si>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</si>
  <si>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</si>
  <si>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</si>
  <si>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</si>
  <si>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</si>
  <si>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</si>
  <si>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</si>
  <si>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</si>
  <si>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</si>
  <si>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</si>
  <si>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</si>
  <si>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</si>
  <si>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</si>
  <si>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</si>
  <si>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</si>
  <si>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</si>
  <si>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</si>
  <si>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</si>
  <si>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</si>
  <si>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</si>
  <si>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</si>
  <si>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</si>
  <si>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</si>
  <si>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</si>
  <si>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</si>
  <si>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</si>
  <si>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</si>
  <si>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</si>
  <si>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</si>
  <si>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</si>
  <si>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</si>
  <si>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</si>
  <si>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</si>
  <si>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</si>
  <si>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</si>
  <si>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</si>
  <si>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</si>
  <si>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</si>
  <si>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</si>
  <si>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</si>
  <si>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</si>
  <si>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</si>
  <si>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</si>
  <si>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</si>
  <si>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</si>
  <si>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</si>
  <si>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</si>
  <si>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</si>
  <si>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</si>
  <si>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</si>
  <si>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</si>
  <si>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</si>
  <si>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</si>
  <si>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</si>
  <si>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</si>
  <si>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</si>
  <si>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</si>
  <si>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</si>
  <si>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</si>
  <si>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</si>
  <si>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</si>
  <si>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</si>
  <si>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</si>
  <si>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</si>
  <si>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</si>
  <si>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</si>
  <si>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</si>
  <si>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</si>
  <si>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</si>
  <si>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</si>
  <si>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</si>
  <si>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</si>
  <si>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</si>
  <si>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</si>
  <si>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</si>
  <si>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</si>
  <si>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</si>
  <si>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</si>
  <si>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</si>
  <si>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</si>
  <si>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</si>
  <si>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</si>
  <si>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</si>
  <si>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</si>
  <si>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</si>
  <si>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</si>
  <si>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</si>
  <si>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</si>
  <si>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</si>
  <si>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</si>
  <si>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</si>
  <si>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</si>
  <si>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</si>
  <si>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</si>
  <si>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</si>
  <si>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</si>
  <si>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</si>
  <si>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</si>
  <si>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</si>
  <si>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</si>
  <si>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</si>
  <si>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</si>
  <si>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</si>
  <si>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</si>
  <si>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</si>
  <si>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</si>
  <si>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</si>
  <si>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</si>
  <si>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</si>
  <si>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</si>
  <si>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</si>
  <si>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</si>
  <si>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</si>
  <si>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</si>
  <si>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</si>
  <si>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</si>
  <si>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</si>
  <si>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</si>
  <si>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</si>
  <si>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</si>
  <si>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</si>
  <si>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</si>
  <si>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</si>
  <si>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</si>
  <si>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</si>
  <si>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</si>
  <si>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</si>
  <si>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</si>
  <si>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</si>
  <si>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</si>
  <si>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</si>
  <si>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</si>
  <si>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</si>
  <si>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</si>
  <si>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</si>
  <si>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</si>
  <si>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</si>
  <si>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</si>
  <si>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</si>
  <si>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</si>
  <si>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</si>
  <si>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</si>
  <si>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</si>
  <si>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</si>
  <si>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</si>
  <si>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</si>
  <si>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</si>
  <si>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</si>
  <si>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</si>
  <si>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</si>
  <si>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</si>
  <si>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</si>
  <si>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</si>
  <si>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</si>
  <si>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</si>
  <si>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</si>
  <si>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</si>
  <si>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</si>
  <si>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</si>
  <si>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</si>
  <si>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</si>
  <si>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</si>
  <si>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</si>
  <si>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</si>
  <si>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</si>
  <si>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</si>
  <si>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</si>
  <si>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</si>
  <si>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</si>
  <si>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</si>
  <si>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</si>
  <si>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</si>
  <si>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</si>
  <si>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</si>
  <si>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</si>
  <si>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</si>
  <si>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</si>
  <si>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</si>
  <si>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</si>
  <si>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</si>
  <si>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</si>
  <si>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</si>
  <si>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</si>
  <si>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</si>
  <si>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</si>
  <si>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</si>
  <si>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</si>
  <si>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</si>
  <si>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</si>
  <si>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</si>
  <si>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</si>
  <si>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</si>
  <si>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</si>
  <si>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</si>
  <si>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</si>
  <si>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</si>
  <si>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</si>
  <si>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</si>
  <si>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</si>
  <si>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</si>
  <si>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</si>
  <si>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</si>
  <si>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</si>
  <si>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</si>
  <si>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</si>
  <si>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</si>
  <si>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</si>
  <si>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</si>
  <si>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</si>
  <si>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</si>
  <si>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</si>
  <si>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</si>
  <si>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</si>
  <si>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</si>
  <si>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</si>
  <si>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</si>
  <si>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</si>
  <si>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</si>
  <si>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</si>
  <si>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</si>
  <si>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</si>
  <si>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</si>
  <si>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</si>
  <si>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</si>
  <si>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</si>
  <si>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</si>
  <si>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</si>
  <si>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</si>
  <si>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</si>
  <si>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</si>
  <si>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</si>
  <si>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</si>
  <si>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</si>
  <si>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</si>
  <si>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</si>
  <si>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</si>
  <si>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</si>
  <si>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</si>
  <si>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</si>
  <si>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</si>
  <si>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</si>
  <si>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</si>
  <si>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</si>
  <si>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</si>
  <si>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</si>
  <si>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</si>
  <si>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</si>
  <si>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</si>
  <si>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</si>
  <si>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</si>
  <si>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</si>
  <si>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</si>
  <si>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</si>
  <si>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</si>
  <si>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</si>
  <si>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</si>
  <si>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</si>
  <si>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</si>
  <si>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</si>
  <si>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</si>
  <si>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</si>
  <si>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</si>
  <si>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</si>
  <si>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</si>
  <si>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</si>
  <si>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</si>
  <si>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</si>
  <si>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</si>
  <si>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</si>
  <si>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</si>
  <si>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</si>
  <si>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</si>
  <si>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</si>
  <si>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</si>
  <si>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</si>
  <si>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</si>
  <si>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</si>
  <si>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</si>
  <si>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</si>
  <si>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</si>
  <si>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</si>
  <si>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</si>
  <si>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</si>
  <si>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</si>
  <si>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</si>
  <si>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</si>
  <si>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</si>
  <si>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</si>
  <si>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</si>
  <si>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</si>
  <si>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</si>
  <si>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</si>
  <si>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</si>
  <si>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</si>
  <si>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</si>
  <si>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</si>
  <si>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</si>
  <si>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</si>
  <si>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</si>
  <si>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</si>
  <si>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</si>
  <si>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</si>
  <si>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</si>
  <si>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</si>
  <si>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</si>
  <si>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</si>
  <si>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</si>
  <si>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</si>
  <si>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</si>
  <si>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</si>
  <si>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</si>
  <si>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</si>
  <si>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</si>
  <si>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</si>
  <si>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</si>
  <si>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</si>
  <si>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</si>
  <si>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</si>
  <si>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</si>
  <si>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</si>
  <si>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</si>
  <si>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</si>
  <si>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</si>
  <si>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</si>
  <si>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</si>
  <si>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</si>
  <si>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</si>
  <si>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</si>
  <si>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</si>
  <si>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</si>
  <si>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</si>
  <si>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</si>
  <si>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</si>
  <si>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</si>
  <si>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</si>
  <si>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</si>
  <si>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</si>
  <si>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</si>
  <si>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</si>
  <si>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</si>
  <si>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</si>
  <si>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</si>
  <si>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</si>
  <si>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</si>
  <si>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</si>
  <si>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</si>
  <si>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</si>
  <si>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</si>
  <si>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</si>
  <si>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</si>
  <si>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</si>
  <si>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</si>
  <si>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</si>
  <si>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</si>
  <si>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</si>
  <si>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</si>
  <si>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</si>
  <si>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</si>
  <si>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</si>
  <si>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</si>
  <si>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</si>
  <si>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</si>
  <si>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</si>
  <si>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</si>
  <si>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</si>
  <si>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</si>
  <si>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</si>
  <si>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</si>
  <si>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</si>
  <si>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</si>
  <si>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</si>
  <si>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</si>
  <si>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</si>
  <si>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</si>
  <si>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</si>
  <si>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</si>
  <si>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</si>
  <si>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</si>
  <si>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</si>
  <si>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</si>
  <si>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</si>
  <si>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</si>
  <si>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</si>
  <si>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</si>
  <si>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</si>
  <si>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</si>
  <si>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</si>
  <si>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</si>
  <si>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</si>
  <si>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</si>
  <si>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</si>
  <si>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</si>
  <si>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</si>
  <si>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</si>
  <si>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</si>
  <si>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</si>
  <si>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</si>
  <si>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</si>
  <si>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</si>
  <si>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</si>
  <si>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</si>
  <si>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</si>
  <si>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</si>
  <si>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</si>
  <si>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</si>
  <si>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</si>
  <si>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</si>
  <si>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</si>
  <si>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</si>
  <si>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</si>
  <si>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</si>
  <si>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</si>
  <si>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</si>
  <si>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</si>
  <si>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</si>
  <si>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</si>
  <si>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</si>
  <si>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</si>
  <si>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</si>
  <si>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</si>
  <si>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</si>
  <si>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</si>
  <si>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</si>
  <si>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</si>
  <si>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</si>
  <si>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</si>
  <si>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</si>
  <si>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</si>
  <si>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</si>
  <si>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</si>
  <si>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</si>
  <si>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</si>
  <si>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</si>
  <si>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</si>
  <si>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</si>
  <si>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</si>
  <si>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</si>
  <si>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</si>
  <si>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</si>
  <si>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</si>
  <si>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</si>
  <si>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</si>
  <si>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</si>
  <si>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</si>
  <si>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</si>
  <si>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</si>
  <si>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</si>
  <si>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</si>
  <si>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</si>
  <si>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</si>
  <si>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</si>
  <si>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</si>
  <si>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</si>
  <si>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</si>
  <si>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</si>
  <si>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</si>
  <si>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</si>
  <si>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</si>
  <si>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</si>
  <si>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</si>
  <si>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</si>
  <si>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</si>
  <si>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</si>
  <si>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</si>
  <si>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</si>
  <si>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</si>
  <si>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</si>
  <si>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</si>
  <si>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</si>
  <si>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</si>
  <si>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</si>
  <si>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</si>
  <si>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</si>
  <si>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</si>
  <si>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</si>
  <si>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</si>
  <si>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</si>
  <si>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</si>
  <si>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</si>
  <si>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</si>
  <si>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</si>
  <si>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</si>
  <si>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</si>
  <si>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</si>
  <si>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</si>
  <si>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</si>
  <si>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</si>
  <si>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</si>
  <si>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</si>
  <si>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</si>
  <si>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</si>
  <si>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</si>
  <si>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</si>
  <si>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</si>
  <si>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</si>
  <si>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</si>
  <si>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</si>
  <si>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</si>
  <si>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</si>
  <si>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</si>
  <si>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</si>
  <si>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</si>
  <si>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</si>
  <si>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</si>
  <si>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</si>
  <si>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</si>
  <si>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</si>
  <si>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</si>
  <si>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</si>
  <si>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</si>
  <si>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</si>
  <si>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</si>
  <si>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</si>
  <si>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</si>
  <si>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</si>
  <si>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</si>
  <si>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</si>
  <si>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</si>
  <si>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</si>
  <si>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</si>
  <si>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</si>
  <si>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</si>
  <si>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</si>
  <si>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</si>
  <si>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</si>
  <si>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</si>
  <si>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</si>
  <si>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</si>
  <si>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</si>
  <si>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</si>
  <si>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</si>
  <si>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</si>
  <si>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</si>
  <si>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</si>
  <si>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</si>
  <si>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</si>
  <si>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</si>
  <si>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</si>
  <si>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</si>
  <si>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</si>
  <si>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</si>
  <si>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</si>
  <si>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</si>
  <si>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</si>
  <si>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</si>
  <si>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</si>
  <si>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</si>
  <si>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</si>
  <si>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</si>
  <si>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</si>
  <si>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</si>
  <si>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</si>
  <si>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</si>
  <si>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</si>
  <si>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</si>
  <si>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</si>
  <si>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</si>
  <si>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</si>
  <si>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</si>
  <si>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</si>
  <si>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</si>
  <si>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</si>
  <si>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</si>
  <si>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</si>
  <si>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</si>
  <si>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</si>
  <si>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</si>
  <si>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</si>
  <si>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</si>
  <si>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</si>
  <si>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</si>
  <si>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</si>
  <si>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</si>
  <si>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</si>
  <si>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</si>
  <si>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</si>
  <si>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</si>
  <si>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</si>
  <si>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</si>
  <si>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</si>
  <si>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</si>
  <si>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</si>
  <si>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</si>
  <si>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</si>
  <si>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</si>
  <si>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</si>
  <si>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</si>
  <si>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</si>
  <si>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</si>
  <si>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</si>
  <si>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</si>
  <si>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</si>
  <si>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</si>
  <si>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</si>
  <si>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</si>
  <si>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</si>
  <si>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</si>
  <si>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</si>
  <si>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</si>
  <si>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</si>
  <si>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</si>
  <si>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</si>
  <si>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</si>
  <si>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</si>
  <si>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</si>
  <si>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</si>
  <si>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</si>
  <si>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</si>
  <si>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</si>
  <si>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</si>
  <si>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</si>
  <si>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</si>
  <si>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</si>
  <si>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</si>
  <si>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</si>
  <si>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</si>
  <si>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</si>
  <si>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</si>
  <si>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</si>
  <si>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</si>
  <si>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</si>
  <si>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</si>
  <si>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</si>
  <si>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</si>
  <si>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</si>
  <si>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</si>
  <si>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</si>
  <si>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</si>
  <si>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</si>
  <si>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</si>
  <si>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</si>
  <si>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</si>
  <si>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</si>
  <si>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</si>
  <si>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</si>
  <si>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</si>
  <si>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</si>
  <si>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</si>
  <si>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</si>
  <si>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</si>
  <si>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</si>
  <si>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</si>
  <si>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</si>
  <si>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</si>
  <si>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</si>
  <si>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</si>
  <si>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</si>
  <si>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</si>
  <si>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</si>
  <si>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</si>
  <si>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</si>
  <si>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</si>
  <si>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</si>
  <si>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</si>
  <si>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</si>
  <si>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</si>
  <si>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</si>
  <si>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</si>
  <si>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</si>
  <si>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</si>
  <si>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</si>
  <si>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</si>
  <si>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</si>
  <si>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</si>
  <si>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</si>
  <si>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</si>
  <si>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</si>
  <si>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</si>
  <si>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</si>
  <si>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</si>
  <si>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</si>
  <si>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</si>
  <si>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</si>
  <si>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</si>
  <si>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</si>
  <si>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</si>
  <si>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</si>
  <si>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</si>
  <si>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</si>
  <si>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</si>
  <si>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</si>
  <si>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</si>
  <si>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</si>
  <si>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</si>
  <si>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</si>
  <si>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</si>
  <si>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</si>
  <si>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</si>
  <si>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</si>
  <si>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</si>
  <si>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</si>
  <si>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</si>
  <si>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</si>
  <si>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</si>
  <si>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</si>
  <si>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</si>
  <si>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</si>
  <si>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</si>
  <si>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</si>
  <si>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</si>
  <si>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</si>
  <si>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</si>
  <si>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</si>
  <si>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</si>
  <si>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</si>
  <si>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</si>
  <si>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</si>
  <si>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</si>
  <si>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</si>
  <si>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</si>
  <si>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</si>
  <si>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</si>
  <si>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</si>
  <si>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</si>
  <si>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</si>
  <si>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</si>
  <si>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</si>
  <si>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</si>
  <si>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</si>
  <si>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</si>
  <si>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</si>
  <si>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</si>
  <si>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</si>
  <si>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</si>
  <si>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</si>
  <si>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</si>
  <si>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</si>
  <si>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</si>
  <si>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</si>
  <si>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</si>
  <si>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</si>
  <si>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</si>
  <si>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</si>
  <si>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</si>
  <si>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</si>
  <si>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</si>
  <si>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</si>
  <si>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</si>
  <si>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</si>
  <si>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</si>
  <si>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</si>
  <si>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</si>
  <si>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</si>
  <si>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</si>
  <si>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</si>
  <si>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</si>
  <si>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</si>
  <si>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</si>
  <si>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</si>
  <si>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</si>
  <si>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</si>
  <si>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</si>
  <si>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</si>
  <si>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</si>
  <si>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</si>
  <si>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</si>
  <si>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</si>
  <si>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</si>
  <si>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</si>
  <si>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</si>
  <si>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</si>
  <si>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</si>
  <si>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</si>
  <si>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</si>
  <si>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</si>
  <si>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</si>
  <si>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</si>
  <si>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</si>
  <si>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</si>
  <si>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</si>
  <si>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</si>
  <si>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</si>
  <si>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</si>
  <si>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</si>
  <si>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</si>
  <si>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</si>
  <si>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</si>
  <si>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</si>
  <si>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</si>
  <si>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</si>
  <si>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</si>
  <si>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</si>
  <si>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</si>
  <si>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</si>
  <si>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</si>
  <si>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</si>
  <si>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</si>
  <si>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</si>
  <si>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</si>
  <si>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</si>
  <si>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</si>
  <si>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</si>
  <si>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</si>
  <si>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</si>
  <si>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</si>
  <si>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</si>
  <si>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</si>
  <si>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</si>
  <si>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</si>
  <si>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</si>
  <si>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</si>
  <si>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</si>
  <si>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</si>
  <si>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</si>
  <si>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</si>
  <si>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</si>
  <si>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</si>
  <si>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</si>
  <si>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</si>
  <si>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</si>
  <si>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</si>
  <si>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</si>
  <si>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</si>
  <si>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</si>
  <si>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</si>
  <si>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</si>
  <si>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</si>
  <si>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</si>
  <si>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</si>
  <si>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</si>
  <si>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</si>
  <si>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</si>
  <si>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</si>
  <si>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</si>
  <si>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</si>
  <si>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</si>
  <si>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</si>
  <si>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</si>
  <si>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</si>
  <si>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</si>
  <si>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</si>
  <si>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</si>
  <si>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</si>
  <si>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</si>
  <si>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</si>
  <si>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</si>
  <si>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</si>
  <si>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</si>
  <si>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</si>
  <si>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</si>
  <si>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</si>
  <si>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</si>
  <si>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</si>
  <si>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</si>
  <si>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</si>
  <si>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</si>
  <si>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</si>
  <si>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</si>
  <si>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</si>
  <si>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</si>
  <si>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</si>
  <si>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</si>
  <si>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</si>
  <si>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</si>
  <si>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</si>
  <si>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</si>
  <si>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</si>
  <si>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</si>
  <si>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</si>
  <si>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</si>
  <si>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</si>
  <si>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</si>
  <si>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</si>
  <si>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</si>
  <si>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</si>
  <si>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</si>
  <si>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</si>
  <si>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</si>
  <si>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</si>
  <si>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</si>
  <si>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</si>
  <si>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</si>
  <si>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</si>
  <si>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</si>
  <si>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</si>
  <si>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</si>
  <si>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</si>
  <si>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</si>
  <si>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</si>
  <si>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</si>
  <si>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</si>
  <si>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</si>
  <si>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</si>
  <si>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</si>
  <si>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</si>
  <si>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</si>
  <si>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</si>
  <si>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</si>
  <si>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</si>
  <si>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</si>
  <si>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</si>
  <si>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</si>
  <si>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</si>
  <si>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</si>
  <si>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</si>
  <si>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</si>
  <si>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</si>
  <si>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</si>
  <si>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</si>
  <si>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</si>
  <si>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</si>
  <si>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</si>
  <si>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</si>
  <si>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</si>
  <si>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</si>
  <si>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</si>
  <si>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</si>
  <si>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</si>
  <si>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</si>
  <si>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</si>
  <si>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</si>
  <si>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</si>
  <si>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</si>
  <si>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</si>
  <si>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</si>
  <si>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</si>
  <si>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</si>
  <si>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</si>
  <si>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</si>
  <si>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</si>
  <si>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</si>
  <si>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</si>
  <si>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</si>
  <si>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</si>
  <si>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</si>
  <si>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</si>
  <si>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</si>
  <si>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</si>
  <si>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</si>
  <si>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</si>
  <si>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</si>
  <si>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</si>
  <si>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</si>
  <si>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</si>
  <si>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</si>
  <si>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</si>
  <si>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</si>
  <si>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</si>
  <si>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</si>
  <si>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</si>
  <si>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</si>
  <si>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</si>
  <si>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</si>
  <si>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</si>
  <si>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</si>
  <si>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</si>
  <si>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</si>
  <si>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</si>
  <si>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</si>
  <si>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</si>
  <si>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</si>
  <si>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</si>
  <si>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</si>
  <si>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</si>
  <si>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</si>
  <si>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</si>
  <si>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</si>
  <si>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</si>
  <si>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</si>
  <si>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</si>
  <si>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</si>
  <si>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</si>
  <si>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</si>
  <si>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</si>
  <si>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</si>
  <si>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</si>
  <si>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</si>
  <si>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</si>
  <si>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</si>
  <si>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</si>
  <si>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</si>
  <si>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</si>
  <si>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</si>
  <si>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</si>
  <si>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</si>
  <si>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</si>
  <si>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</si>
  <si>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</si>
  <si>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</si>
  <si>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</si>
  <si>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</si>
  <si>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</si>
  <si>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</si>
  <si>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</si>
  <si>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</si>
  <si>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</si>
  <si>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</si>
  <si>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</si>
  <si>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</si>
  <si>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</si>
  <si>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</si>
  <si>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</si>
  <si>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</si>
  <si>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</si>
  <si>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</si>
  <si>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</si>
  <si>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</si>
  <si>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</si>
  <si>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</si>
  <si>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</si>
  <si>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</si>
  <si>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</si>
  <si>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</si>
  <si>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</si>
  <si>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</si>
  <si>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</si>
  <si>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</si>
  <si>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</si>
  <si>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</si>
  <si>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</si>
  <si>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</si>
  <si>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</si>
  <si>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</si>
  <si>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</si>
  <si>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</si>
  <si>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</si>
  <si>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</si>
  <si>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</si>
  <si>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</si>
  <si>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</si>
  <si>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</si>
  <si>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</si>
  <si>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</si>
  <si>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</si>
  <si>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</si>
  <si>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</si>
  <si>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</si>
  <si>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</si>
  <si>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</si>
  <si>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</si>
  <si>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</si>
  <si>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</si>
  <si>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</si>
  <si>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</si>
  <si>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</si>
  <si>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</si>
  <si>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</si>
  <si>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</si>
  <si>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</si>
  <si>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</si>
  <si>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</si>
  <si>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</si>
  <si>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</si>
  <si>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</si>
  <si>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</si>
  <si>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</si>
  <si>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</si>
  <si>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</si>
  <si>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</si>
  <si>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</si>
  <si>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</si>
  <si>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</si>
  <si>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</si>
  <si>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</si>
  <si>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</si>
  <si>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</si>
  <si>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</si>
  <si>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</si>
  <si>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</si>
  <si>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</si>
  <si>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</si>
  <si>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</si>
  <si>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</si>
  <si>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</si>
  <si>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</si>
  <si>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</si>
  <si>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</si>
  <si>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</si>
  <si>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</si>
  <si>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</si>
  <si>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</si>
  <si>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</si>
  <si>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</si>
  <si>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</si>
  <si>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</si>
  <si>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</si>
  <si>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</si>
  <si>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</si>
  <si>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</si>
  <si>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</si>
  <si>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</si>
  <si>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</si>
  <si>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</si>
  <si>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</si>
  <si>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</si>
  <si>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</si>
  <si>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</si>
  <si>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</si>
  <si>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</si>
  <si>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</si>
  <si>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</si>
  <si>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</si>
  <si>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</si>
  <si>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</si>
  <si>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</si>
  <si>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</si>
  <si>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</si>
  <si>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</si>
  <si>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</si>
  <si>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</si>
  <si>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</si>
  <si>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</si>
  <si>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</si>
  <si>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</si>
  <si>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</si>
  <si>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</si>
  <si>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</si>
  <si>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</si>
  <si>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</si>
  <si>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</si>
  <si>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</si>
  <si>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</si>
  <si>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</si>
  <si>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</si>
  <si>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</si>
  <si>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</si>
  <si>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</si>
  <si>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</si>
  <si>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</si>
  <si>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</si>
  <si>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</si>
  <si>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</si>
  <si>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</si>
  <si>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</si>
  <si>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</si>
  <si>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</si>
  <si>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</si>
  <si>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</si>
  <si>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</si>
  <si>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</si>
  <si>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</si>
  <si>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</si>
  <si>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</si>
  <si>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</si>
  <si>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</si>
  <si>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</si>
  <si>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</si>
  <si>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</si>
  <si>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</si>
  <si>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</si>
  <si>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</si>
  <si>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</si>
  <si>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</si>
  <si>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</si>
  <si>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</si>
  <si>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</si>
  <si>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</si>
  <si>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</si>
  <si>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</si>
  <si>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</si>
  <si>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</si>
  <si>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</si>
  <si>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</si>
  <si>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</si>
  <si>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</si>
  <si>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</si>
  <si>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</si>
  <si>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</si>
  <si>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</si>
  <si>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</si>
  <si>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</si>
  <si>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</si>
  <si>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</si>
  <si>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</si>
  <si>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</si>
  <si>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</si>
  <si>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</si>
  <si>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</si>
  <si>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</si>
  <si>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</si>
  <si>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</si>
  <si>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</si>
  <si>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</si>
  <si>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</si>
  <si>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</si>
  <si>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</si>
  <si>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</si>
  <si>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</si>
  <si>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</si>
  <si>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</si>
  <si>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</si>
  <si>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</si>
  <si>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</si>
  <si>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</si>
  <si>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</si>
  <si>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</si>
  <si>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</si>
  <si>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</si>
  <si>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</si>
  <si>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</si>
  <si>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</si>
  <si>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</si>
  <si>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</si>
  <si>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</si>
  <si>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</si>
  <si>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</si>
  <si>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</si>
  <si>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</si>
  <si>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</si>
  <si>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</si>
  <si>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</si>
  <si>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</si>
  <si>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</si>
  <si>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</si>
  <si>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</si>
  <si>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</si>
  <si>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</si>
  <si>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</si>
  <si>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</si>
  <si>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</si>
  <si>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</si>
  <si>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</si>
  <si>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</si>
  <si>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</si>
  <si>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</si>
  <si>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</si>
  <si>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</si>
  <si>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</si>
  <si>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</si>
  <si>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</si>
  <si>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</si>
  <si>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</si>
  <si>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</si>
  <si>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</si>
  <si>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</si>
  <si>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</si>
  <si>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</si>
  <si>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</si>
  <si>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</si>
  <si>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</si>
  <si>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</si>
  <si>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</si>
  <si>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</si>
  <si>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</si>
  <si>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</si>
  <si>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</si>
  <si>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</si>
  <si>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</si>
  <si>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</si>
  <si>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</si>
  <si>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</si>
  <si>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</si>
  <si>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</si>
  <si>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</si>
  <si>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</si>
  <si>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</si>
  <si>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</si>
  <si>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</si>
  <si>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</si>
  <si>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</si>
  <si>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</si>
  <si>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</si>
  <si>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</si>
  <si>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</si>
  <si>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</si>
  <si>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</si>
  <si>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</si>
  <si>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</si>
  <si>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</si>
  <si>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</si>
  <si>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</si>
  <si>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</si>
  <si>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</si>
  <si>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</si>
  <si>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</si>
  <si>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</si>
  <si>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</si>
  <si>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</si>
  <si>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</si>
  <si>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</si>
  <si>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</si>
  <si>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</si>
  <si>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</si>
  <si>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</si>
  <si>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</si>
  <si>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</si>
  <si>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</si>
  <si>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</si>
  <si>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</si>
  <si>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</si>
  <si>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</si>
  <si>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</si>
  <si>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</si>
  <si>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</si>
  <si>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</si>
  <si>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</si>
  <si>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</si>
  <si>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</si>
  <si>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</si>
  <si>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</si>
  <si>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</si>
  <si>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</si>
  <si>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</si>
  <si>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</si>
  <si>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</si>
  <si>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</si>
  <si>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</si>
  <si>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</si>
  <si>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</si>
  <si>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</si>
  <si>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</si>
  <si>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</si>
  <si>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</si>
  <si>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</si>
  <si>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</si>
  <si>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</si>
  <si>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</si>
  <si>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</si>
  <si>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</si>
  <si>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</si>
  <si>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</si>
  <si>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</si>
  <si>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</si>
  <si>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</si>
  <si>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</si>
  <si>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</si>
  <si>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</si>
  <si>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</si>
  <si>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</si>
  <si>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</si>
  <si>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</si>
  <si>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</si>
  <si>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</si>
  <si>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</si>
  <si>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</si>
  <si>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</si>
  <si>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</si>
  <si>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</si>
  <si>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</si>
  <si>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</si>
  <si>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</si>
  <si>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</si>
  <si>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</si>
  <si>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</si>
  <si>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</si>
  <si>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</si>
  <si>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</si>
  <si>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</si>
  <si>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</si>
  <si>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</si>
  <si>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</si>
  <si>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</si>
  <si>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</si>
  <si>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</si>
  <si>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</si>
  <si>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</si>
  <si>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</si>
  <si>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</si>
  <si>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</si>
  <si>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</si>
  <si>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</si>
  <si>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</si>
  <si>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</si>
  <si>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</si>
  <si>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</si>
  <si>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</si>
  <si>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</si>
  <si>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</si>
  <si>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</si>
  <si>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</si>
  <si>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</si>
  <si>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</si>
  <si>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</si>
  <si>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</si>
  <si>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</si>
  <si>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</si>
  <si>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</si>
  <si>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</si>
  <si>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</si>
  <si>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</si>
  <si>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</si>
  <si>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</si>
  <si>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</si>
  <si>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</si>
  <si>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</si>
  <si>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</si>
  <si>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</si>
  <si>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</si>
  <si>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</si>
  <si>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</si>
  <si>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</si>
  <si>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</si>
  <si>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</si>
  <si>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</si>
  <si>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</si>
  <si>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</si>
  <si>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</si>
  <si>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</si>
  <si>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</si>
  <si>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</si>
  <si>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</si>
  <si>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</si>
  <si>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</si>
  <si>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</si>
  <si>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</si>
  <si>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</si>
  <si>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</si>
  <si>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</si>
  <si>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</si>
  <si>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</si>
  <si>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</si>
  <si>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</si>
  <si>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</si>
  <si>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</si>
  <si>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</si>
  <si>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</si>
  <si>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</si>
  <si>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</si>
  <si>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</si>
  <si>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</si>
  <si>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</si>
  <si>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</si>
  <si>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</si>
  <si>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</si>
  <si>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</si>
  <si>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</si>
  <si>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</si>
  <si>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</si>
  <si>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</si>
  <si>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</si>
  <si>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</si>
  <si>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</si>
  <si>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</si>
  <si>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</si>
  <si>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</si>
  <si>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</si>
  <si>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</si>
  <si>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</si>
  <si>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</si>
  <si>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</si>
  <si>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</si>
  <si>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</si>
  <si>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</si>
  <si>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</si>
  <si>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</si>
  <si>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</si>
  <si>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</si>
  <si>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</si>
  <si>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</si>
  <si>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</si>
  <si>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</si>
  <si>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</si>
  <si>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</si>
  <si>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</si>
  <si>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</si>
  <si>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</si>
  <si>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</si>
  <si>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</si>
  <si>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</si>
  <si>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</si>
  <si>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</si>
  <si>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</si>
  <si>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</si>
  <si>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</si>
  <si>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</si>
  <si>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</si>
  <si>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</si>
  <si>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</si>
  <si>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</si>
  <si>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</si>
  <si>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</si>
  <si>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</si>
  <si>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</si>
  <si>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</si>
  <si>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</si>
  <si>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</si>
  <si>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</si>
  <si>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</si>
  <si>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</si>
  <si>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</si>
  <si>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</si>
  <si>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</si>
  <si>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</si>
  <si>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</si>
  <si>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</si>
  <si>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</si>
  <si>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</si>
  <si>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</si>
  <si>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</si>
  <si>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</si>
  <si>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</si>
  <si>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</si>
  <si>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</si>
  <si>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</si>
  <si>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</si>
  <si>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</si>
  <si>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</si>
  <si>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</si>
  <si>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</si>
  <si>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</si>
  <si>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</si>
  <si>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</si>
  <si>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</si>
  <si>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</si>
  <si>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</si>
  <si>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</si>
  <si>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</si>
  <si>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</si>
  <si>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</si>
  <si>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</si>
  <si>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</si>
  <si>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</si>
  <si>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</si>
  <si>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</si>
  <si>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</si>
  <si>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</si>
  <si>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</si>
  <si>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</si>
  <si>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</si>
  <si>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</si>
  <si>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</si>
  <si>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</si>
  <si>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</si>
  <si>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</si>
  <si>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</si>
  <si>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</si>
  <si>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</si>
  <si>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</si>
  <si>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</si>
  <si>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</si>
  <si>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</si>
  <si>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</si>
  <si>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</si>
  <si>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</si>
  <si>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</si>
  <si>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</si>
  <si>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</si>
  <si>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</si>
  <si>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</si>
  <si>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</si>
  <si>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</si>
  <si>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</si>
  <si>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</si>
  <si>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</si>
  <si>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</si>
  <si>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</si>
  <si>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</si>
  <si>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</si>
  <si>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</si>
  <si>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</si>
  <si>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</si>
  <si>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</si>
  <si>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</si>
  <si>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</si>
  <si>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</si>
  <si>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</si>
  <si>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</si>
  <si>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</si>
  <si>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</si>
  <si>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</si>
  <si>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</si>
  <si>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</si>
  <si>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</si>
  <si>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</si>
  <si>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</si>
  <si>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</si>
  <si>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</si>
  <si>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</si>
  <si>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</si>
  <si>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</si>
  <si>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</si>
  <si>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</si>
  <si>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</si>
  <si>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</si>
  <si>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</si>
  <si>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</si>
  <si>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</si>
  <si>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</si>
  <si>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</si>
  <si>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</si>
  <si>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</si>
  <si>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</si>
  <si>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</si>
  <si>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</si>
  <si>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</si>
  <si>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</si>
  <si>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</si>
  <si>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</si>
  <si>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</si>
  <si>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</si>
  <si>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</si>
  <si>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</si>
  <si>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</si>
  <si>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</si>
  <si>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</si>
  <si>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</si>
  <si>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</si>
  <si>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</si>
  <si>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</si>
  <si>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</si>
  <si>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</si>
  <si>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</si>
  <si>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</si>
  <si>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</si>
  <si>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</si>
  <si>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</si>
  <si>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</si>
  <si>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</si>
  <si>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</si>
  <si>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</si>
  <si>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</si>
  <si>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</si>
  <si>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</si>
  <si>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</si>
  <si>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</si>
  <si>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</si>
  <si>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</si>
  <si>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</si>
  <si>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</si>
  <si>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</si>
  <si>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</si>
  <si>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</si>
  <si>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</si>
  <si>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</si>
  <si>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</si>
  <si>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</si>
  <si>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</si>
  <si>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</si>
  <si>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</si>
  <si>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</si>
  <si>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</si>
  <si>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</si>
  <si>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</si>
  <si>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</si>
  <si>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</si>
  <si>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</si>
  <si>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</si>
  <si>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</si>
  <si>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</si>
  <si>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</si>
  <si>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</si>
  <si>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</si>
  <si>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</si>
  <si>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</si>
  <si>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</si>
  <si>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</si>
  <si>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</si>
  <si>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</si>
  <si>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</si>
  <si>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</si>
  <si>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</si>
  <si>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</si>
  <si>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</si>
  <si>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</si>
  <si>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</si>
  <si>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</si>
  <si>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</si>
  <si>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</si>
  <si>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</si>
  <si>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</si>
  <si>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</si>
  <si>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</si>
  <si>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</si>
  <si>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</si>
  <si>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</si>
  <si>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</si>
  <si>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</si>
  <si>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</si>
  <si>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</si>
  <si>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</si>
  <si>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</si>
  <si>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</si>
  <si>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</si>
  <si>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</si>
  <si>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</si>
  <si>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</si>
  <si>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</si>
  <si>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</si>
  <si>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</si>
  <si>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</si>
  <si>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</si>
  <si>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</si>
  <si>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</si>
  <si>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</si>
  <si>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</si>
  <si>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</si>
  <si>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</si>
  <si>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</si>
  <si>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</si>
  <si>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</si>
  <si>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</si>
  <si>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</si>
  <si>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</si>
  <si>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</si>
  <si>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</si>
  <si>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</si>
  <si>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</si>
  <si>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</si>
  <si>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</si>
  <si>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</si>
  <si>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</si>
  <si>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</si>
  <si>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</si>
  <si>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</si>
  <si>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</si>
  <si>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</si>
  <si>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</si>
  <si>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</si>
  <si>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</si>
  <si>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</si>
  <si>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</si>
  <si>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</si>
  <si>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</si>
  <si>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</si>
  <si>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</si>
  <si>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</si>
  <si>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</si>
  <si>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</si>
  <si>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</si>
  <si>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</si>
  <si>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</si>
  <si>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</si>
  <si>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</si>
  <si>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</si>
  <si>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</si>
  <si>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</si>
  <si>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</si>
  <si>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</si>
  <si>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</si>
  <si>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</si>
  <si>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</si>
  <si>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</si>
  <si>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</si>
  <si>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</si>
  <si>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</si>
  <si>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</si>
  <si>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</si>
  <si>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</si>
  <si>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</si>
  <si>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</si>
  <si>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</si>
  <si>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</si>
  <si>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</si>
  <si>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</si>
  <si>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</si>
  <si>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</si>
  <si>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</si>
  <si>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</si>
  <si>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</si>
  <si>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</si>
  <si>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</si>
  <si>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</si>
  <si>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</si>
  <si>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</si>
  <si>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</si>
  <si>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</si>
  <si>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</si>
  <si>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</si>
  <si>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</si>
  <si>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</si>
  <si>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</si>
  <si>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</si>
  <si>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</si>
  <si>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</si>
  <si>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</si>
  <si>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</si>
  <si>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</si>
  <si>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</si>
  <si>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</si>
  <si>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</si>
  <si>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</si>
  <si>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</si>
  <si>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</si>
  <si>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</si>
  <si>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</si>
  <si>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</si>
  <si>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</si>
  <si>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</si>
  <si>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</si>
  <si>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</si>
  <si>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</si>
  <si>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</si>
  <si>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</si>
  <si>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</si>
  <si>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</si>
  <si>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</si>
  <si>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</si>
  <si>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</si>
  <si>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</si>
  <si>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</si>
  <si>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</si>
  <si>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</si>
  <si>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</si>
  <si>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</si>
  <si>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</si>
  <si>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</si>
  <si>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</si>
  <si>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</si>
  <si>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</si>
  <si>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</si>
  <si>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</si>
  <si>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</si>
  <si>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</si>
  <si>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</si>
  <si>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</si>
  <si>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</si>
  <si>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</si>
  <si>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</si>
  <si>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</si>
  <si>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</si>
  <si>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</si>
  <si>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</si>
  <si>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</si>
  <si>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</si>
  <si>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</si>
  <si>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</si>
  <si>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</si>
  <si>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</si>
  <si>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</si>
  <si>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</si>
  <si>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</si>
  <si>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</si>
  <si>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</si>
  <si>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</si>
  <si>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</si>
  <si>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</si>
  <si>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</si>
  <si>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</si>
  <si>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</si>
  <si>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</si>
  <si>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</si>
  <si>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</si>
  <si>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</si>
  <si>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</si>
  <si>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</si>
  <si>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</si>
  <si>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</si>
  <si>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</si>
  <si>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</si>
  <si>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</si>
  <si>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</si>
  <si>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</si>
  <si>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</si>
  <si>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</si>
  <si>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</si>
  <si>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</si>
  <si>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</si>
  <si>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</si>
  <si>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</si>
  <si>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</si>
  <si>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</si>
  <si>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</si>
  <si>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</si>
  <si>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</si>
  <si>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</si>
  <si>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</si>
  <si>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</si>
  <si>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</si>
  <si>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</si>
  <si>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</si>
  <si>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</si>
  <si>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</si>
  <si>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</si>
  <si>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</si>
  <si>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</si>
  <si>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</si>
  <si>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</si>
  <si>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</si>
  <si>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</si>
  <si>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</si>
  <si>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</si>
  <si>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</si>
  <si>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</si>
  <si>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</si>
  <si>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</si>
  <si>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</si>
  <si>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</si>
  <si>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</si>
  <si>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</si>
  <si>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</si>
  <si>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</si>
  <si>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</si>
  <si>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</si>
  <si>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</si>
  <si>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</si>
  <si>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</si>
  <si>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</si>
  <si>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</si>
  <si>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</si>
  <si>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</si>
  <si>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</si>
  <si>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</si>
  <si>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</si>
  <si>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</si>
  <si>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</si>
  <si>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</si>
  <si>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</si>
  <si>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</si>
  <si>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</si>
  <si>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</si>
  <si>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</si>
  <si>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</si>
  <si>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</si>
  <si>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</si>
  <si>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</si>
  <si>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</si>
  <si>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</si>
  <si>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</si>
  <si>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</si>
  <si>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</si>
  <si>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</si>
  <si>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</si>
  <si>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</si>
  <si>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</si>
  <si>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</si>
  <si>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</si>
  <si>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</si>
  <si>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</si>
  <si>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</si>
  <si>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</si>
  <si>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</si>
  <si>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</si>
  <si>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</si>
  <si>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</si>
  <si>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</si>
  <si>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</si>
  <si>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</si>
  <si>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</si>
  <si>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</si>
  <si>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</si>
  <si>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</si>
  <si>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</si>
  <si>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</si>
  <si>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</si>
  <si>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</si>
  <si>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</si>
  <si>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</si>
  <si>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</si>
  <si>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</si>
  <si>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</si>
  <si>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</si>
  <si>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</si>
  <si>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</si>
  <si>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</si>
  <si>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</si>
  <si>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</si>
  <si>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</si>
  <si>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</si>
  <si>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</si>
  <si>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</si>
  <si>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</si>
  <si>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</si>
  <si>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</si>
  <si>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</si>
  <si>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</si>
  <si>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</si>
  <si>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</si>
  <si>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</si>
  <si>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</si>
  <si>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</si>
  <si>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</si>
  <si>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</si>
  <si>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</si>
  <si>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</si>
  <si>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</si>
  <si>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</si>
  <si>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</si>
  <si>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</si>
  <si>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</si>
  <si>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</si>
  <si>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</si>
  <si>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</si>
  <si>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</si>
  <si>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</si>
  <si>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</si>
  <si>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</si>
  <si>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</si>
  <si>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</si>
  <si>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</si>
  <si>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</si>
  <si>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</si>
  <si>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</si>
  <si>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</si>
  <si>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</si>
  <si>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</si>
  <si>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</si>
  <si>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</si>
  <si>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</si>
  <si>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</si>
  <si>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</si>
  <si>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</si>
  <si>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</si>
  <si>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</si>
  <si>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</si>
  <si>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</si>
  <si>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</si>
  <si>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</si>
  <si>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</si>
  <si>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</si>
  <si>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</si>
  <si>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</si>
  <si>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</si>
  <si>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</si>
  <si>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</si>
  <si>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</si>
  <si>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</si>
  <si>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</si>
  <si>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</si>
  <si>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</si>
  <si>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</si>
  <si>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</si>
  <si>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</si>
  <si>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</si>
  <si>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</si>
  <si>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</si>
  <si>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</si>
  <si>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</si>
  <si>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</si>
  <si>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</si>
  <si>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</si>
  <si>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</si>
  <si>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</si>
  <si>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</si>
  <si>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</si>
  <si>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</si>
  <si>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</si>
  <si>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</si>
  <si>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</si>
  <si>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</si>
  <si>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</si>
  <si>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</si>
  <si>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</si>
  <si>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</si>
  <si>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</si>
  <si>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</si>
  <si>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</si>
  <si>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</si>
  <si>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</si>
  <si>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</si>
  <si>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</si>
  <si>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</si>
  <si>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</si>
  <si>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</si>
  <si>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</si>
  <si>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</si>
  <si>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</si>
  <si>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</si>
  <si>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</si>
  <si>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</si>
  <si>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</si>
  <si>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</si>
  <si>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</si>
  <si>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</si>
  <si>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</si>
  <si>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</si>
  <si>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</si>
  <si>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</si>
  <si>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</si>
  <si>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</si>
  <si>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</si>
  <si>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</si>
  <si>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</si>
  <si>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</si>
  <si>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</si>
  <si>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</si>
  <si>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</si>
  <si>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</si>
  <si>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</si>
  <si>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</si>
  <si>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</si>
  <si>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</si>
  <si>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</si>
  <si>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</si>
  <si>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</si>
  <si>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</si>
  <si>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</si>
  <si>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</si>
  <si>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</si>
  <si>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</si>
  <si>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</si>
  <si>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</si>
  <si>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</si>
  <si>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</si>
  <si>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</si>
  <si>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</si>
  <si>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</si>
  <si>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</si>
  <si>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</si>
  <si>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</si>
  <si>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</si>
  <si>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</si>
  <si>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</si>
  <si>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</si>
  <si>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</si>
  <si>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</si>
  <si>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</si>
  <si>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</si>
  <si>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</si>
  <si>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</si>
  <si>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</si>
  <si>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</si>
  <si>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</si>
  <si>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</si>
  <si>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</si>
  <si>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</si>
  <si>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</si>
  <si>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</si>
  <si>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</si>
  <si>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</si>
  <si>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</si>
  <si>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</si>
  <si>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</si>
  <si>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</si>
  <si>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</si>
  <si>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</si>
  <si>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</si>
  <si>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</si>
  <si>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</si>
  <si>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</si>
  <si>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</si>
  <si>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</si>
  <si>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</si>
  <si>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</si>
  <si>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</si>
  <si>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</si>
  <si>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</si>
  <si>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</si>
  <si>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</si>
  <si>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</si>
  <si>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</si>
  <si>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</si>
  <si>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</si>
  <si>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</si>
  <si>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</si>
  <si>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</si>
  <si>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</si>
  <si>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</si>
  <si>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</si>
  <si>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</si>
  <si>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</si>
  <si>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</si>
  <si>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</si>
  <si>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</si>
  <si>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</si>
  <si>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</si>
  <si>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</si>
  <si>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</si>
  <si>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</si>
  <si>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</si>
  <si>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</si>
  <si>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</si>
  <si>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</si>
  <si>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</si>
  <si>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</si>
  <si>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</si>
  <si>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</si>
  <si>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</si>
  <si>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</si>
  <si>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</si>
  <si>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</si>
  <si>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</si>
  <si>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</si>
  <si>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</si>
  <si>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</si>
  <si>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</si>
  <si>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</si>
  <si>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</si>
  <si>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</si>
  <si>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</si>
  <si>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</si>
  <si>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</si>
  <si>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</si>
  <si>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</si>
  <si>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</si>
  <si>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</si>
  <si>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</si>
  <si>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</si>
  <si>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</si>
  <si>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</si>
  <si>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</si>
  <si>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</si>
  <si>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</si>
  <si>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</si>
  <si>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</si>
  <si>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</si>
  <si>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</si>
  <si>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</si>
  <si>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</si>
  <si>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</si>
  <si>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</si>
  <si>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</si>
  <si>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</si>
  <si>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</si>
  <si>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</si>
  <si>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</si>
  <si>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</si>
  <si>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</si>
  <si>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</si>
  <si>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</si>
  <si>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</si>
  <si>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</si>
  <si>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</si>
  <si>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</si>
  <si>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</si>
  <si>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</si>
  <si>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</si>
  <si>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</si>
  <si>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</si>
  <si>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</si>
  <si>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</si>
  <si>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</si>
  <si>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</si>
  <si>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</si>
  <si>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</si>
  <si>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</si>
  <si>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</si>
  <si>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</si>
  <si>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</si>
  <si>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</si>
  <si>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</si>
  <si>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</si>
  <si>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</si>
  <si>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</si>
  <si>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</si>
  <si>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</si>
  <si>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</si>
  <si>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</si>
  <si>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</si>
  <si>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</si>
  <si>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</si>
  <si>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</si>
  <si>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</si>
  <si>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</si>
  <si>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</si>
  <si>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</si>
  <si>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</si>
  <si>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</si>
  <si>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</si>
  <si>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</si>
  <si>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</si>
  <si>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</si>
  <si>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</si>
  <si>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</si>
  <si>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</si>
  <si>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</si>
  <si>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</si>
  <si>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</si>
  <si>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</si>
  <si>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</si>
  <si>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</si>
  <si>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</si>
  <si>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</si>
  <si>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</si>
  <si>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</si>
  <si>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</si>
  <si>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</si>
  <si>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</si>
  <si>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</si>
  <si>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</si>
  <si>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</si>
  <si>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</si>
  <si>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</si>
  <si>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</si>
  <si>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</si>
  <si>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</si>
  <si>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</si>
  <si>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</si>
  <si>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</si>
  <si>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</si>
  <si>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</si>
  <si>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</si>
  <si>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</si>
  <si>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</si>
  <si>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</si>
  <si>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</si>
  <si>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</si>
  <si>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</si>
  <si>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</si>
  <si>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</si>
  <si>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</si>
  <si>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</si>
  <si>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</si>
  <si>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</si>
  <si>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</si>
  <si>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</si>
  <si>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</si>
  <si>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</si>
  <si>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</si>
  <si>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</si>
  <si>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</si>
  <si>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</si>
  <si>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</si>
  <si>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</si>
  <si>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</si>
  <si>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</si>
  <si>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</si>
  <si>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</si>
  <si>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</si>
  <si>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</si>
  <si>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</si>
  <si>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</si>
  <si>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</si>
  <si>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</si>
  <si>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</si>
  <si>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</si>
  <si>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</si>
  <si>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</si>
  <si>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</si>
  <si>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</si>
  <si>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</si>
  <si>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</si>
  <si>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</si>
  <si>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</si>
  <si>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</si>
  <si>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</si>
  <si>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</si>
  <si>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</si>
  <si>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</si>
  <si>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</si>
  <si>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</si>
  <si>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</si>
  <si>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</si>
  <si>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</si>
  <si>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</si>
  <si>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</si>
  <si>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</si>
  <si>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</si>
  <si>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</si>
  <si>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</si>
  <si>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</si>
  <si>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</si>
  <si>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</si>
  <si>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</si>
  <si>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</si>
  <si>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</si>
  <si>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</si>
  <si>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</si>
  <si>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</si>
  <si>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</si>
  <si>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</si>
  <si>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</si>
  <si>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</si>
  <si>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</si>
  <si>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</si>
  <si>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</si>
  <si>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</si>
  <si>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</si>
  <si>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</si>
  <si>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</si>
  <si>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</si>
  <si>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</si>
  <si>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</si>
  <si>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</si>
  <si>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</si>
  <si>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</si>
  <si>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</si>
  <si>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</si>
  <si>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</si>
  <si>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</si>
  <si>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</si>
  <si>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</si>
  <si>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</si>
  <si>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</si>
  <si>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</si>
  <si>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</si>
  <si>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</si>
  <si>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</si>
  <si>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</si>
  <si>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</si>
  <si>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</si>
  <si>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</si>
  <si>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</si>
  <si>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</si>
  <si>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</si>
  <si>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</si>
  <si>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</si>
  <si>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</si>
  <si>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</si>
  <si>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</si>
  <si>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</si>
  <si>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</si>
  <si>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</si>
  <si>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</si>
  <si>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</si>
  <si>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</si>
  <si>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</si>
  <si>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</si>
  <si>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</si>
  <si>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</si>
  <si>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</si>
  <si>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</si>
  <si>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</si>
  <si>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</si>
  <si>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</si>
  <si>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</si>
  <si>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</si>
  <si>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</si>
  <si>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</si>
  <si>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</si>
  <si>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</si>
  <si>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</si>
  <si>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</si>
  <si>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</si>
  <si>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</si>
  <si>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</si>
  <si>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</si>
  <si>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</si>
  <si>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</si>
  <si>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</si>
  <si>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</si>
  <si>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</si>
  <si>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</si>
  <si>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</si>
  <si>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</si>
  <si>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</si>
  <si>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</si>
  <si>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</si>
  <si>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</si>
  <si>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</si>
  <si>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</si>
  <si>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</si>
  <si>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</si>
  <si>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</si>
  <si>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</si>
  <si>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</si>
  <si>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</si>
  <si>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</si>
  <si>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</si>
  <si>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</si>
  <si>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</si>
  <si>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</si>
  <si>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</si>
  <si>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</si>
  <si>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</si>
  <si>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</si>
  <si>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</si>
  <si>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</si>
  <si>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</si>
  <si>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</si>
  <si>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</si>
  <si>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</si>
  <si>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</si>
  <si>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</si>
  <si>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</si>
  <si>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</si>
  <si>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</si>
  <si>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</si>
  <si>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</si>
  <si>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</si>
  <si>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</si>
  <si>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</si>
  <si>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</si>
  <si>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</si>
  <si>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</si>
  <si>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</si>
  <si>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</si>
  <si>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</si>
  <si>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</si>
  <si>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</si>
  <si>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</si>
  <si>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</si>
  <si>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</si>
  <si>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</si>
  <si>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</si>
  <si>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</si>
  <si>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</si>
  <si>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</si>
  <si>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</si>
  <si>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</si>
  <si>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</si>
  <si>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</si>
  <si>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</si>
  <si>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</si>
  <si>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</si>
  <si>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</si>
  <si>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</si>
  <si>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</si>
  <si>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</si>
  <si>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</si>
  <si>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</si>
  <si>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</si>
  <si>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</si>
  <si>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</si>
  <si>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</si>
  <si>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</si>
  <si>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</si>
  <si>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</si>
  <si>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</si>
  <si>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</si>
  <si>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</si>
  <si>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</si>
  <si>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</si>
  <si>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</si>
  <si>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</si>
  <si>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</si>
  <si>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</si>
  <si>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</si>
  <si>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</si>
  <si>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</si>
  <si>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</si>
  <si>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</si>
  <si>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</si>
  <si>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</si>
  <si>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</si>
  <si>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</si>
  <si>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</si>
  <si>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</si>
  <si>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</si>
  <si>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</si>
  <si>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</si>
  <si>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</si>
  <si>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</si>
  <si>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</si>
  <si>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</si>
  <si>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</si>
  <si>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</si>
  <si>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</si>
  <si>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</si>
  <si>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</si>
  <si>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</si>
  <si>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</si>
  <si>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</si>
  <si>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</si>
  <si>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</si>
  <si>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</si>
  <si>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</si>
  <si>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</si>
  <si>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</si>
  <si>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</si>
  <si>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</si>
  <si>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</si>
  <si>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</si>
  <si>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</si>
  <si>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万元</t>
  </si>
  <si>
    <t>总价</t>
  </si>
  <si>
    <t>商业</t>
  </si>
  <si>
    <t>利息：取LPR加浮动点数</t>
  </si>
  <si>
    <t>无租约</t>
  </si>
  <si>
    <t>成本法</t>
  </si>
  <si>
    <t>收益法</t>
  </si>
  <si>
    <t>成本法成本比率</t>
  </si>
  <si>
    <t>已包含在土地取得成本中</t>
  </si>
  <si>
    <t>砖混</t>
  </si>
  <si>
    <t>非生产用房</t>
  </si>
  <si>
    <t>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</si>
</sst>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700;&#38754;/&#24576;&#26580;/&#12304;2022&#12305;&#22522;&#20934;&#22320;&#20215;&#31995;&#25968;&#20462;&#27491;-&#23450;&#31295;&#35797;&#299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2525</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估价对象为北京市房地产，为XX所有。根据《》[]，估价对象建筑面积为791.31平方米。根据《》[]，估价对象（分摊）出让国有建设用地使用权面积为平方米。估价对象用途为。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2022年4月19日（评估专业人员实地查勘之日）</v>
      </c>
    </row>
    <row r="10" spans="1:2">
      <c r="A10" s="1139" t="s">
        <v>865</v>
      </c>
      <c r="B10" s="1126" t="str">
        <f>'预评函-1'!A13</f>
        <v>本次估价的“房地产价值”是指在正常市场情况下，在价值时点2022年4月19日，估价对象规划用途为，假定未设立法定优先受偿款下的房地产市场价值。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791.31</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J24" sqref="J24"/>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44670</v>
      </c>
      <c r="C2" s="2809" t="s">
        <v>1291</v>
      </c>
      <c r="D2" s="2510">
        <f>B2</f>
        <v>44670</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3022</v>
      </c>
      <c r="E4" s="782"/>
      <c r="F4" s="782"/>
      <c r="G4" s="1121"/>
    </row>
    <row r="5" spans="1:17">
      <c r="A5" s="1358" t="s">
        <v>1295</v>
      </c>
      <c r="B5" s="1359" t="s">
        <v>2480</v>
      </c>
      <c r="C5" s="2811" t="s">
        <v>1296</v>
      </c>
      <c r="D5" s="1361" t="s">
        <v>3023</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3024</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3025</v>
      </c>
      <c r="C7" s="1453" t="str">
        <f>IF(B7="自然人","姓名","名称")</f>
        <v>姓名</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2587</v>
      </c>
      <c r="B12" s="2817" t="s">
        <v>1310</v>
      </c>
      <c r="C12" s="766">
        <v>791.31</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v>1.5</v>
      </c>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1" sqref="D21"/>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44670</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3026</v>
      </c>
      <c r="C3" s="1613"/>
      <c r="D3" s="3412"/>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3027</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791.31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3028</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v>150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49951</v>
      </c>
      <c r="C12" s="1613"/>
      <c r="D12" s="2848" t="s">
        <v>1395</v>
      </c>
      <c r="E12" s="2570">
        <v>190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14.46</v>
      </c>
      <c r="C13" s="2885"/>
      <c r="D13" s="2851" t="s">
        <v>1397</v>
      </c>
      <c r="E13" s="2571">
        <f>成本法!C10</f>
        <v>150349</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0.59</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0.08</v>
      </c>
      <c r="C17" s="2481" t="s">
        <v>2599</v>
      </c>
      <c r="D17" s="2844" t="s">
        <v>1406</v>
      </c>
      <c r="E17" s="2575">
        <v>2500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1978275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0.67</v>
      </c>
      <c r="F20" s="905"/>
      <c r="G20" s="1613">
        <f>2022-2003</f>
        <v>19</v>
      </c>
      <c r="H20" s="1613">
        <f>31/50/0.98</f>
        <v>0.63265306122448983</v>
      </c>
      <c r="I20" s="1613">
        <v>0.63</v>
      </c>
      <c r="J20" s="1613">
        <v>0.7</v>
      </c>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f>(I20+J20)/2</f>
        <v>0.66500000000000004</v>
      </c>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2003</v>
      </c>
      <c r="C27" s="1613"/>
      <c r="D27" s="3074" t="s">
        <v>3029</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3030</v>
      </c>
      <c r="D29" s="2853" t="s">
        <v>1423</v>
      </c>
      <c r="E29" s="2872">
        <f>E30+E31</f>
        <v>5.5000000000000007E-2</v>
      </c>
      <c r="F29" s="1238"/>
      <c r="G29" s="2887"/>
      <c r="H29" s="2887"/>
      <c r="K29" s="1613"/>
      <c r="N29" s="1613"/>
    </row>
    <row r="30" spans="1:41" ht="14.25">
      <c r="A30" s="2848" t="str">
        <f>IF(B29="租赁期内按合同租金","合同租金","市场租金")</f>
        <v>市场租金</v>
      </c>
      <c r="B30" s="2588">
        <v>1.5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2.5000000000000001E-2</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14.46</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F14" sqref="F1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24">
      <c r="A3" s="3022" t="s">
        <v>2609</v>
      </c>
      <c r="B3" s="3023" t="s">
        <v>2610</v>
      </c>
      <c r="C3" s="3024"/>
      <c r="D3" s="3025"/>
      <c r="E3" s="3026" t="s">
        <v>2609</v>
      </c>
      <c r="F3" s="3027" t="s">
        <v>2611</v>
      </c>
      <c r="G3" s="3028"/>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12.75">
      <c r="A4" s="3026"/>
      <c r="B4" s="3010" t="s">
        <v>2612</v>
      </c>
      <c r="C4" s="3029"/>
      <c r="D4" s="3025"/>
      <c r="E4" s="3030"/>
      <c r="F4" s="3012" t="s">
        <v>2613</v>
      </c>
      <c r="G4" s="3031"/>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12.75">
      <c r="A5" s="3026"/>
      <c r="B5" s="3010" t="s">
        <v>2614</v>
      </c>
      <c r="C5" s="3029"/>
      <c r="D5" s="3025"/>
      <c r="E5" s="3030"/>
      <c r="F5" s="3010" t="s">
        <v>2615</v>
      </c>
      <c r="G5" s="3031"/>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12.75">
      <c r="A6" s="3026"/>
      <c r="B6" s="3010" t="s">
        <v>2616</v>
      </c>
      <c r="C6" s="3031"/>
      <c r="D6" s="3025"/>
      <c r="E6" s="3030"/>
      <c r="F6" s="3010" t="s">
        <v>2617</v>
      </c>
      <c r="G6" s="3031"/>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13.5" thickBot="1">
      <c r="A7" s="3026"/>
      <c r="B7" s="3010" t="s">
        <v>2615</v>
      </c>
      <c r="C7" s="3031"/>
      <c r="D7" s="2900"/>
      <c r="E7" s="3032"/>
      <c r="F7" s="3033" t="s">
        <v>2618</v>
      </c>
      <c r="G7" s="3034"/>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2617</v>
      </c>
      <c r="C8" s="3031"/>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12.75">
      <c r="A9" s="3026"/>
      <c r="B9" s="3010" t="s">
        <v>2619</v>
      </c>
      <c r="C9" s="3029"/>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2620</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2621</v>
      </c>
      <c r="D14" s="3025"/>
      <c r="E14" s="3043"/>
      <c r="F14" s="3043"/>
      <c r="G14" s="3018" t="s">
        <v>2622</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24">
      <c r="A15" s="3047" t="s">
        <v>2623</v>
      </c>
      <c r="B15" s="3048" t="s">
        <v>2610</v>
      </c>
      <c r="C15" s="3049">
        <f>C3</f>
        <v>0</v>
      </c>
      <c r="D15" s="3025"/>
      <c r="E15" s="3050" t="s">
        <v>2624</v>
      </c>
      <c r="F15" s="3048" t="s">
        <v>2625</v>
      </c>
      <c r="G15" s="3051">
        <f>G3</f>
        <v>0</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12.75">
      <c r="A16" s="3052"/>
      <c r="B16" s="2492" t="s">
        <v>2612</v>
      </c>
      <c r="C16" s="3053">
        <f>C4</f>
        <v>0</v>
      </c>
      <c r="D16" s="3025"/>
      <c r="E16" s="3054"/>
      <c r="F16" s="3011" t="s">
        <v>2613</v>
      </c>
      <c r="G16" s="3055">
        <f>G4</f>
        <v>0</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12.75">
      <c r="A17" s="3052"/>
      <c r="B17" s="2492" t="s">
        <v>2614</v>
      </c>
      <c r="C17" s="3053">
        <f>C5</f>
        <v>0</v>
      </c>
      <c r="D17" s="2900"/>
      <c r="E17" s="3054"/>
      <c r="F17" s="3324" t="s">
        <v>3020</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12.75">
      <c r="A18" s="3052"/>
      <c r="B18" s="3011" t="s">
        <v>2616</v>
      </c>
      <c r="C18" s="3055">
        <f>C6</f>
        <v>0</v>
      </c>
      <c r="D18" s="2900"/>
      <c r="E18" s="3054"/>
      <c r="F18" s="3011" t="s">
        <v>2618</v>
      </c>
      <c r="G18" s="3055">
        <f>G7</f>
        <v>0</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3019</v>
      </c>
      <c r="C19" s="3056"/>
      <c r="D19" s="3025"/>
      <c r="E19" s="3054"/>
      <c r="F19" s="3010" t="s">
        <v>2615</v>
      </c>
      <c r="G19" s="3055">
        <f>G5</f>
        <v>0</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12.75">
      <c r="A20" s="3052"/>
      <c r="B20" s="3011" t="s">
        <v>2626</v>
      </c>
      <c r="C20" s="3053">
        <f>C9</f>
        <v>0</v>
      </c>
      <c r="D20" s="2900"/>
      <c r="E20" s="3054"/>
      <c r="F20" s="3010" t="s">
        <v>2617</v>
      </c>
      <c r="G20" s="3055">
        <f>G6</f>
        <v>0</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12.75">
      <c r="A21" s="3052"/>
      <c r="B21" s="3010" t="s">
        <v>2615</v>
      </c>
      <c r="C21" s="3055">
        <f>C7</f>
        <v>0</v>
      </c>
      <c r="D21" s="3025"/>
      <c r="E21" s="3054"/>
      <c r="F21" s="3011" t="s">
        <v>2627</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2617</v>
      </c>
      <c r="C22" s="3055">
        <f>C8</f>
        <v>0</v>
      </c>
      <c r="D22" s="3025"/>
      <c r="E22" s="3054"/>
      <c r="F22" s="3011" t="s">
        <v>2620</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2627</v>
      </c>
      <c r="C23" s="3057"/>
      <c r="D23" s="3044"/>
      <c r="E23" s="3059"/>
      <c r="F23" s="3013" t="s">
        <v>2628</v>
      </c>
      <c r="G23" s="3060"/>
      <c r="H23" s="3044"/>
      <c r="I23" s="3045"/>
      <c r="J23" s="3044"/>
      <c r="K23" s="3044"/>
      <c r="L23" s="3045"/>
      <c r="M23" s="3044"/>
      <c r="N23" s="3044"/>
      <c r="O23" s="3045"/>
      <c r="P23" s="3044"/>
      <c r="Q23" s="3044"/>
      <c r="R23" s="3046"/>
    </row>
    <row r="24" spans="1:29" s="3021" customFormat="1" ht="13.5" thickBot="1">
      <c r="A24" s="3061"/>
      <c r="B24" s="3013" t="s">
        <v>2629</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5"/>
  <sheetViews>
    <sheetView view="pageBreakPreview" zoomScale="80" zoomScaleNormal="100" zoomScaleSheetLayoutView="80" workbookViewId="0">
      <selection activeCell="B13" sqref="B13"/>
    </sheetView>
  </sheetViews>
  <sheetFormatPr defaultColWidth="14.625" defaultRowHeight="13.5"/>
  <cols>
    <col min="1" max="1" width="24.375" style="2501" customWidth="1"/>
    <col min="2" max="16384" width="14.625" style="2501"/>
  </cols>
  <sheetData>
    <row r="1" spans="1:9" ht="16.5">
      <c r="A1" s="2499" t="s">
        <v>973</v>
      </c>
      <c r="B1" s="2499">
        <f>SUM(B14:B23)</f>
        <v>791.31</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44670</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441</v>
      </c>
      <c r="C5" s="2499">
        <f ca="1">ROUND(B5*10000/$B$1,0)</f>
        <v>5573</v>
      </c>
      <c r="D5" s="2499" t="e">
        <f ca="1">ROUND(B5*10000/$B$2,0)</f>
        <v>#DIV/0!</v>
      </c>
      <c r="E5" s="1562"/>
      <c r="F5" s="2500"/>
      <c r="G5" s="2500"/>
    </row>
    <row r="6" spans="1:9" ht="16.5">
      <c r="A6" s="2499" t="s">
        <v>981</v>
      </c>
      <c r="B6" s="2499">
        <f ca="1">SUM(G14:G23)</f>
        <v>441</v>
      </c>
      <c r="C6" s="2499">
        <f t="shared" ref="C6:C8" ca="1" si="0">ROUND(B6*10000/$B$1,0)</f>
        <v>5573</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3021</v>
      </c>
      <c r="B14" s="2835">
        <f>项目基本情况!C12</f>
        <v>791.31</v>
      </c>
      <c r="C14" s="2835">
        <f>项目基本情况!C13</f>
        <v>0</v>
      </c>
      <c r="D14" s="2835">
        <f ca="1">IF('数据-取费表'!B3="万元",IF(A14="估价对象1（结果表）",结果表!H121,'结果表 (1修多)'!H125),IF(A14="估价对象1（结果表）",结果表!H121,'结果表 (1修多)'!H125)/10000)</f>
        <v>441</v>
      </c>
      <c r="E14" s="2835">
        <f ca="1">ROUND(D14*10000/B14,0)</f>
        <v>5573</v>
      </c>
      <c r="F14" s="2835" t="e">
        <f ca="1">ROUND(D14*10000/C14,0)</f>
        <v>#DIV/0!</v>
      </c>
      <c r="G14" s="2835">
        <f ca="1">IF('数据-取费表'!B3="万元",IF(A14="估价对象1（结果表）",结果表!D125,'结果表 (1修多)'!D129),IF(A14="估价对象1（结果表）",结果表!D125,'结果表 (1修多)'!D129)/10000)</f>
        <v>441</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row r="25" spans="1:9">
      <c r="C25" s="2501">
        <f>0.55*B14</f>
        <v>435.22050000000002</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F27" sqref="F27"/>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3031</v>
      </c>
      <c r="D4" s="2632" t="s">
        <v>3032</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6</v>
      </c>
      <c r="D14" s="3490">
        <f>10-C14</f>
        <v>4</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507" t="s">
        <v>2576</v>
      </c>
      <c r="F18" s="3508"/>
      <c r="G18" s="3508"/>
      <c r="H18" s="3508"/>
      <c r="I18" s="3508"/>
      <c r="J18" s="2765"/>
    </row>
    <row r="19" spans="1:36" ht="15">
      <c r="A19" s="2638" t="s">
        <v>1494</v>
      </c>
      <c r="B19" s="2639" t="s">
        <v>1495</v>
      </c>
      <c r="C19" s="2640">
        <f ca="1">SUMIF(INDIRECT("'"&amp;C4&amp;"'"&amp;"!A:A"),结果表!B19,INDIRECT("'"&amp;C4&amp;"'"&amp;"!B:B"))</f>
        <v>497</v>
      </c>
      <c r="D19" s="2641">
        <f ca="1">SUMIF(INDIRECT("'"&amp;D4&amp;"'"&amp;"!A:A"),结果表!B19,INDIRECT("'"&amp;D4&amp;"'"&amp;"!B:B"))</f>
        <v>357</v>
      </c>
      <c r="E19" s="2638" t="s">
        <v>1496</v>
      </c>
      <c r="F19" s="2639" t="s">
        <v>1495</v>
      </c>
      <c r="G19" s="2642">
        <f ca="1">ROUND(C19*$C$18+D19*$D$18,0)</f>
        <v>441</v>
      </c>
      <c r="H19" s="2643" t="str">
        <f>'数据-取费表'!B3</f>
        <v>万元</v>
      </c>
      <c r="I19" s="2691"/>
      <c r="J19" s="2766"/>
    </row>
    <row r="20" spans="1:36" ht="15">
      <c r="A20" s="2644"/>
      <c r="B20" s="1622" t="s">
        <v>1497</v>
      </c>
      <c r="C20" s="1847">
        <f ca="1">SUMIF(INDIRECT("'"&amp;C4&amp;"'"&amp;"!A:A"),结果表!B20,INDIRECT("'"&amp;C4&amp;"'"&amp;"!B:B"))</f>
        <v>6287</v>
      </c>
      <c r="D20" s="1850">
        <f ca="1">SUMIF(INDIRECT("'"&amp;D4&amp;"'"&amp;"!A:A"),结果表!B20,INDIRECT("'"&amp;D4&amp;"'"&amp;"!B:B"))</f>
        <v>4506</v>
      </c>
      <c r="E20" s="2644"/>
      <c r="F20" s="1622" t="s">
        <v>1497</v>
      </c>
      <c r="G20" s="2021">
        <f ca="1">ROUND(C20*$C$18+D20*$D$18,0)</f>
        <v>5575</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0.39215686274509798</v>
      </c>
      <c r="E22" s="905"/>
      <c r="F22" s="905"/>
      <c r="G22" s="905"/>
      <c r="H22" s="905"/>
      <c r="I22" s="905"/>
      <c r="J22" s="2765"/>
      <c r="K22" s="659">
        <f>39/0.1</f>
        <v>390</v>
      </c>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441</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t="s">
        <v>3033</v>
      </c>
      <c r="E33" s="2664" t="s">
        <v>1508</v>
      </c>
      <c r="F33" s="2665" t="str">
        <f>IF(B32="楼面单价","取值（单价）","取值（总价）")</f>
        <v>取值（总价）</v>
      </c>
      <c r="G33" s="905"/>
      <c r="H33" s="905"/>
      <c r="I33" s="905"/>
      <c r="J33" s="2765"/>
    </row>
    <row r="34" spans="1:17" ht="15">
      <c r="A34" s="1394"/>
      <c r="B34" s="2666" t="s">
        <v>1509</v>
      </c>
      <c r="C34" s="2667">
        <f ca="1">IF(D33="自定义",F34,C32-C35)</f>
        <v>267</v>
      </c>
      <c r="D34" s="2668">
        <f ca="1">IF(D33="自定义",ROUND(C34/C32,3),1-D35)</f>
        <v>0.60599999999999998</v>
      </c>
      <c r="E34" s="1363" t="s">
        <v>1510</v>
      </c>
      <c r="F34" s="2669">
        <v>2000</v>
      </c>
      <c r="G34" s="905"/>
      <c r="H34" s="905"/>
      <c r="I34" s="905"/>
      <c r="J34" s="2765"/>
    </row>
    <row r="35" spans="1:17" ht="15.75" thickBot="1">
      <c r="A35" s="1395"/>
      <c r="B35" s="2670" t="s">
        <v>1511</v>
      </c>
      <c r="C35" s="2671">
        <f ca="1">IF(D33="自定义",F35,ROUND(C32*D35,0))</f>
        <v>174</v>
      </c>
      <c r="D35" s="2672">
        <f ca="1">IF(D33="自定义",ROUND(C35/C32,3),IF(D33="成本法成本比率",成本法!C56,IF(D33="收益法收益比率",收益法!J38,收益法!J41)))</f>
        <v>0.39400000000000002</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441</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北京市房地产抵押价值预评估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44670</v>
      </c>
      <c r="O47" s="3430"/>
      <c r="P47" s="3430"/>
      <c r="Q47" s="1236"/>
    </row>
    <row r="48" spans="1:17" ht="25.5">
      <c r="A48" s="3503" t="s">
        <v>1536</v>
      </c>
      <c r="B48" s="3437"/>
      <c r="C48" s="3437"/>
      <c r="D48" s="12">
        <f ca="1">IF(H48="情况1",0,IF(H48="情况2",D52,IF(H48="情况3",D53,IF(H48="情况4",D54))))</f>
        <v>23</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28" t="s">
        <v>2508</v>
      </c>
      <c r="M48" s="3428"/>
      <c r="N48" s="3429">
        <f ca="1">I102</f>
        <v>441</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23</v>
      </c>
      <c r="E52" s="2020" t="s">
        <v>1553</v>
      </c>
      <c r="F52" s="2493">
        <f>'数据-取费表'!E29</f>
        <v>5.5000000000000007E-2</v>
      </c>
      <c r="G52" s="2494"/>
      <c r="H52" s="905"/>
      <c r="I52" s="2898"/>
      <c r="J52" s="2773"/>
      <c r="K52" s="2454">
        <v>1</v>
      </c>
      <c r="L52" s="3417" t="s">
        <v>2515</v>
      </c>
      <c r="M52" s="3417"/>
      <c r="N52" s="2456">
        <f ca="1">D48</f>
        <v>23</v>
      </c>
      <c r="O52" s="2454" t="str">
        <f>E48</f>
        <v>销售额×税（费）率</v>
      </c>
      <c r="P52" s="2457">
        <f>F48</f>
        <v>5.5000000000000007E-2</v>
      </c>
      <c r="Q52" s="1236"/>
    </row>
    <row r="53" spans="1:17" ht="12" customHeight="1">
      <c r="A53" s="2010" t="s">
        <v>1555</v>
      </c>
      <c r="B53" s="3488" t="s">
        <v>2593</v>
      </c>
      <c r="C53" s="3477"/>
      <c r="D53" s="1028">
        <f ca="1">ROUND(D45*'数据-取费表'!E29/(1+'数据-取费表'!F30),0)</f>
        <v>23</v>
      </c>
      <c r="E53" s="2020" t="s">
        <v>1553</v>
      </c>
      <c r="F53" s="2493">
        <f>'数据-取费表'!E29</f>
        <v>5.5000000000000007E-2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23</v>
      </c>
      <c r="E54" s="264" t="s">
        <v>1558</v>
      </c>
      <c r="F54" s="2493">
        <f>'数据-取费表'!E29</f>
        <v>5.5000000000000007E-2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23</v>
      </c>
      <c r="P57" s="2465"/>
      <c r="Q57" s="1234" t="e">
        <f ca="1">O57/N49</f>
        <v>#VALUE!</v>
      </c>
    </row>
    <row r="58" spans="1:17" ht="24.75">
      <c r="A58" s="2010" t="s">
        <v>1551</v>
      </c>
      <c r="B58" s="3488" t="s">
        <v>1569</v>
      </c>
      <c r="C58" s="3476"/>
      <c r="D58" s="12">
        <f ca="1">IF(H58="转让取得",C81,C97)</f>
        <v>250</v>
      </c>
      <c r="E58" s="2020" t="s">
        <v>1564</v>
      </c>
      <c r="F58" s="235" t="s">
        <v>48</v>
      </c>
      <c r="G58" s="2494"/>
      <c r="H58" s="2496" t="s">
        <v>1570</v>
      </c>
      <c r="I58" s="2900"/>
      <c r="J58" s="2773"/>
      <c r="K58" s="3417"/>
      <c r="L58" s="3417"/>
      <c r="M58" s="2462" t="s">
        <v>2520</v>
      </c>
      <c r="N58" s="2466"/>
      <c r="O58" s="2467" t="str">
        <f ca="1">IF(H19="元",NUMBERSTRING(INT(O57),2)&amp;"元整",NUMBERSTRING(INT(O57*10000),2)&amp;"元整")</f>
        <v>贰拾叁万元整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2520</v>
      </c>
      <c r="N60" s="2466"/>
      <c r="O60" s="2467" t="e">
        <f ca="1">IF(H19="元",NUMBERSTRING(INT(O59),2)&amp;"元整",NUMBERSTRING(INT(O59*10000),2)&amp;"元整")</f>
        <v>#VALUE!</v>
      </c>
      <c r="P60" s="2468"/>
      <c r="Q60" s="1236"/>
    </row>
    <row r="61" spans="1:17" ht="13.5" thickBot="1">
      <c r="A61" s="3506" t="s">
        <v>1574</v>
      </c>
      <c r="B61" s="3506"/>
      <c r="C61" s="3506"/>
      <c r="D61" s="3506"/>
      <c r="E61" s="3506"/>
      <c r="F61" s="2901"/>
      <c r="G61" s="2901"/>
      <c r="H61" s="2903"/>
      <c r="I61" s="31"/>
      <c r="K61" s="2454">
        <f>K59+1</f>
        <v>6</v>
      </c>
      <c r="L61" s="3417" t="s">
        <v>2522</v>
      </c>
      <c r="M61" s="3417"/>
      <c r="N61" s="2472"/>
      <c r="O61" s="2473" t="e">
        <f ca="1">IF(H19="元",ROUND(O59/项目基本情况!C12,0),ROUND(O59*10000/项目基本情况!C12,0))</f>
        <v>#VALUE!</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420</v>
      </c>
      <c r="D63" s="47"/>
      <c r="E63" s="48"/>
      <c r="F63" s="2901"/>
      <c r="G63" s="2901"/>
      <c r="H63" s="2903"/>
      <c r="I63" s="31"/>
      <c r="K63" s="343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441</v>
      </c>
      <c r="D64" s="50" t="s">
        <v>41</v>
      </c>
      <c r="E64" s="52"/>
      <c r="F64" s="2901"/>
      <c r="G64" s="2901"/>
      <c r="H64" s="2903"/>
      <c r="I64" s="31"/>
      <c r="K64" s="343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3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36"/>
      <c r="L66" s="2476" t="s">
        <v>2528</v>
      </c>
      <c r="M66" s="2476" t="e">
        <f>N49*0.5%</f>
        <v>#VALUE!</v>
      </c>
      <c r="N66" s="2477" t="e">
        <f>IF(M66&gt;0.5,0.5,ROUND(M66,0))</f>
        <v>#VALUE!</v>
      </c>
      <c r="O66" s="2475" t="s">
        <v>2529</v>
      </c>
      <c r="P66" s="2475"/>
      <c r="Q66" s="1236"/>
    </row>
    <row r="67" spans="1:36" ht="12.75">
      <c r="A67" s="53" t="s">
        <v>42</v>
      </c>
      <c r="B67" s="54" t="s">
        <v>1591</v>
      </c>
      <c r="C67" s="2708">
        <f ca="1">C63-C66</f>
        <v>420</v>
      </c>
      <c r="D67" s="50" t="s">
        <v>41</v>
      </c>
      <c r="E67" s="52"/>
      <c r="F67" s="2901"/>
      <c r="G67" s="2901"/>
      <c r="H67" s="2903"/>
      <c r="I67" s="31"/>
      <c r="K67" s="343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23</v>
      </c>
      <c r="D68" s="2170">
        <f>'数据-取费表'!E29</f>
        <v>5.5000000000000007E-2</v>
      </c>
      <c r="E68" s="57"/>
      <c r="F68" s="2901"/>
      <c r="G68" s="2901"/>
      <c r="H68" s="2903"/>
      <c r="I68" s="31"/>
      <c r="K68" s="343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420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5.000000000000001E-3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418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209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250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420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5.000000000000001E-3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418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209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250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成本法</v>
      </c>
      <c r="D100" s="2727" t="str">
        <f>D4</f>
        <v>收益法</v>
      </c>
      <c r="E100" s="1389"/>
      <c r="F100" s="3461" t="s">
        <v>2537</v>
      </c>
      <c r="G100" s="3463"/>
      <c r="H100" s="3461" t="s">
        <v>2538</v>
      </c>
      <c r="I100" s="3462"/>
      <c r="J100" s="2780"/>
    </row>
    <row r="101" spans="1:36" ht="12.75">
      <c r="A101" s="3478" t="s">
        <v>2570</v>
      </c>
      <c r="B101" s="2235" t="str">
        <f>IF(H19="元","总价（元）","总价（万元）")</f>
        <v>总价（万元）</v>
      </c>
      <c r="C101" s="1235">
        <f ca="1">C19</f>
        <v>497</v>
      </c>
      <c r="D101" s="2727">
        <f ca="1">D19</f>
        <v>357</v>
      </c>
      <c r="E101" s="1389"/>
      <c r="F101" s="3461" t="str">
        <f>项目基本情况!I1</f>
        <v>北京市房地产</v>
      </c>
      <c r="G101" s="3463"/>
      <c r="H101" s="3465">
        <f>项目基本情况!C12</f>
        <v>791.31</v>
      </c>
      <c r="I101" s="3462"/>
      <c r="J101" s="2780"/>
    </row>
    <row r="102" spans="1:36" ht="12.75">
      <c r="A102" s="3478"/>
      <c r="B102" s="2235" t="s">
        <v>2571</v>
      </c>
      <c r="C102" s="2728">
        <f ca="1">C20</f>
        <v>6287</v>
      </c>
      <c r="D102" s="2729">
        <f ca="1">D20</f>
        <v>4506</v>
      </c>
      <c r="E102" s="1389"/>
      <c r="F102" s="3448" t="s">
        <v>2567</v>
      </c>
      <c r="G102" s="3449"/>
      <c r="H102" s="2737" t="str">
        <f>C106</f>
        <v>总价（万元）</v>
      </c>
      <c r="I102" s="2738">
        <f ca="1">H121</f>
        <v>441</v>
      </c>
      <c r="J102" s="2780"/>
    </row>
    <row r="103" spans="1:36" ht="12.75">
      <c r="A103" s="3478" t="s">
        <v>2572</v>
      </c>
      <c r="B103" s="2173" t="str">
        <f>B101</f>
        <v>总价（万元）</v>
      </c>
      <c r="C103" s="2732">
        <f ca="1">H121</f>
        <v>441</v>
      </c>
      <c r="D103" s="2730"/>
      <c r="E103" s="1389"/>
      <c r="F103" s="3448"/>
      <c r="G103" s="3449"/>
      <c r="H103" s="2737" t="s">
        <v>2540</v>
      </c>
      <c r="I103" s="52">
        <f ca="1">I121</f>
        <v>5573</v>
      </c>
      <c r="J103" s="2764"/>
    </row>
    <row r="104" spans="1:36" ht="13.5" thickBot="1">
      <c r="A104" s="3479"/>
      <c r="B104" s="2734" t="s">
        <v>2571</v>
      </c>
      <c r="C104" s="2735">
        <f ca="1">I121</f>
        <v>5573</v>
      </c>
      <c r="D104" s="2736"/>
      <c r="E104" s="1389"/>
      <c r="F104" s="3448"/>
      <c r="G104" s="3449"/>
      <c r="H104" s="3480"/>
      <c r="I104" s="3481"/>
      <c r="J104" s="2781"/>
    </row>
    <row r="105" spans="1:36" ht="15">
      <c r="A105" s="3442" t="s">
        <v>1633</v>
      </c>
      <c r="B105" s="3443"/>
      <c r="C105" s="3443"/>
      <c r="D105" s="3444"/>
      <c r="E105" s="1389"/>
      <c r="F105" s="3484" t="s">
        <v>2541</v>
      </c>
      <c r="G105" s="3485"/>
      <c r="H105" s="2739" t="str">
        <f>C108</f>
        <v>总额（万元）</v>
      </c>
      <c r="I105" s="2738">
        <f>SUMIF(I106:I108,"&lt;9E307")</f>
        <v>0</v>
      </c>
      <c r="J105" s="2780"/>
    </row>
    <row r="106" spans="1:36" ht="14.25">
      <c r="A106" s="3448" t="s">
        <v>2564</v>
      </c>
      <c r="B106" s="3449"/>
      <c r="C106" s="2737" t="str">
        <f>B101</f>
        <v>总价（万元）</v>
      </c>
      <c r="D106" s="2738">
        <f ca="1">H121</f>
        <v>441</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2565</v>
      </c>
      <c r="D107" s="52">
        <f ca="1">I121</f>
        <v>5573</v>
      </c>
      <c r="E107" s="1389"/>
      <c r="F107" s="3450" t="s">
        <v>2543</v>
      </c>
      <c r="G107" s="3451"/>
      <c r="H107" s="2739" t="str">
        <f>C110</f>
        <v>总额（万元）</v>
      </c>
      <c r="I107" s="52">
        <f>C37</f>
        <v>0</v>
      </c>
      <c r="J107" s="2764"/>
    </row>
    <row r="108" spans="1:36" ht="12.75">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2.75">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441</v>
      </c>
      <c r="J110" s="2780"/>
    </row>
    <row r="111" spans="1:36" ht="12.75">
      <c r="A111" s="3450" t="s">
        <v>2545</v>
      </c>
      <c r="B111" s="3451"/>
      <c r="C111" s="2739" t="str">
        <f>C108</f>
        <v>总额（万元）</v>
      </c>
      <c r="D111" s="52">
        <f>C38</f>
        <v>0</v>
      </c>
      <c r="E111" s="1389"/>
      <c r="F111" s="3433"/>
      <c r="G111" s="3434"/>
      <c r="H111" s="2737" t="s">
        <v>2540</v>
      </c>
      <c r="I111" s="2741">
        <f ca="1">D113</f>
        <v>5573</v>
      </c>
      <c r="J111" s="2783"/>
    </row>
    <row r="112" spans="1:36" ht="26.25" customHeight="1">
      <c r="A112" s="3448" t="str">
        <f>IF(项目基本情况!F5="已注销","——","3.房地产抵押价值")</f>
        <v>3.房地产抵押价值</v>
      </c>
      <c r="B112" s="3449"/>
      <c r="C112" s="2737" t="str">
        <f>B101</f>
        <v>总价（万元）</v>
      </c>
      <c r="D112" s="2738">
        <f ca="1">IF(A112="——","——",D106-D108)</f>
        <v>441</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2533</v>
      </c>
      <c r="D113" s="52">
        <f ca="1">ROUND(IF(D112=D106,D107,IF(H19="元",D112/项目基本情况!C12,D112*10000/项目基本情况!C12)),0)</f>
        <v>5573</v>
      </c>
      <c r="E113" s="1389"/>
      <c r="F113" s="3433"/>
      <c r="G113" s="3434"/>
      <c r="H113" s="2737" t="s">
        <v>2569</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（以上估价结果中单价为总价除以建筑面积得出）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2551</v>
      </c>
      <c r="B119" s="3439" t="s">
        <v>2561</v>
      </c>
      <c r="C119" s="3439" t="s">
        <v>2562</v>
      </c>
      <c r="D119" s="3446" t="s">
        <v>2553</v>
      </c>
      <c r="E119" s="3447"/>
      <c r="F119" s="3437" t="s">
        <v>2563</v>
      </c>
      <c r="G119" s="3437"/>
      <c r="H119" s="3437" t="s">
        <v>2554</v>
      </c>
      <c r="I119" s="3438"/>
      <c r="J119" s="2764"/>
    </row>
    <row r="120" spans="1:16" ht="12.75">
      <c r="A120" s="3441"/>
      <c r="B120" s="3440"/>
      <c r="C120" s="344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791.31</v>
      </c>
      <c r="C121" s="2020">
        <f>项目基本情况!C13</f>
        <v>0</v>
      </c>
      <c r="D121" s="2020">
        <f ca="1">ROUND(IF(B32="总价",C34,IF('数据-取费表'!B3="万元",E121*B121/10000,E121*B121)),0)</f>
        <v>267</v>
      </c>
      <c r="E121" s="2020">
        <f ca="1">ROUND(IF(B32="楼面单价",C34,IF(H19="元",D121/B121,D121*10000/B121)),0)</f>
        <v>3374</v>
      </c>
      <c r="F121" s="2020">
        <f ca="1">ROUND(IF(B32="总价",C35,IF('数据-取费表'!B3="万元",G121*B121/10000,G121*B121)),0)</f>
        <v>174</v>
      </c>
      <c r="G121" s="2020">
        <f ca="1">ROUND(IF(B32="楼面单价",C35,IF(H19="元",F121/B121,F121*10000/B121)),0)</f>
        <v>2199</v>
      </c>
      <c r="H121" s="2020">
        <f ca="1">ROUND(IF(B32="总价",C32,IF('数据-取费表'!B3="万元",I121*B121/10000,I121*B121)),0)</f>
        <v>441</v>
      </c>
      <c r="I121" s="52">
        <f ca="1">ROUND(IF(B32="楼面单价",C32,IF(H19="元",H121/B121,H121*10000/B121)),0)</f>
        <v>5573</v>
      </c>
      <c r="J121" s="2764"/>
    </row>
    <row r="122" spans="1:16" ht="12.75">
      <c r="A122" s="3441" t="s">
        <v>2557</v>
      </c>
      <c r="B122" s="3437"/>
      <c r="C122" s="3437"/>
      <c r="D122" s="3472" t="str">
        <f ca="1">IF(H19="元",NUMBERSTRING(INT(D121),2)&amp;"元整",NUMBERSTRING(INT(D121*10000),2)&amp;"元整")</f>
        <v>贰佰陆拾柒万元整</v>
      </c>
      <c r="E122" s="3473"/>
      <c r="F122" s="3472" t="str">
        <f ca="1">IF(H19="元",NUMBERSTRING(INT(F121),2)&amp;"元整",NUMBERSTRING(INT(F121*10000),2)&amp;"元整")</f>
        <v>壹佰柒拾肆万元整</v>
      </c>
      <c r="G122" s="3473"/>
      <c r="H122" s="3472" t="str">
        <f ca="1">IF(H19="元",NUMBERSTRING(INT(H121),2)&amp;"元整",NUMBERSTRING(INT(H121*10000),2)&amp;"元整")</f>
        <v>肆佰肆拾壹万元整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2557</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441</v>
      </c>
      <c r="E125" s="3474"/>
      <c r="F125" s="3474"/>
      <c r="G125" s="3474"/>
      <c r="H125" s="3474"/>
      <c r="I125" s="3462"/>
      <c r="J125" s="2780"/>
    </row>
    <row r="126" spans="1:16" ht="12.75">
      <c r="A126" s="3441" t="s">
        <v>2557</v>
      </c>
      <c r="B126" s="3437"/>
      <c r="C126" s="3437"/>
      <c r="D126" s="3513">
        <f ca="1">I111</f>
        <v>5573</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2557</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2557</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（以上估价结果中楼面单价为总价除以建筑面积得出）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2576</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44670</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5.5000000000000007E-2</v>
      </c>
      <c r="G54" s="2494"/>
      <c r="H54" s="905"/>
      <c r="I54" s="2898"/>
      <c r="J54" s="2773"/>
      <c r="K54" s="2431">
        <v>1</v>
      </c>
      <c r="L54" s="3529" t="s">
        <v>1554</v>
      </c>
      <c r="M54" s="3529"/>
      <c r="N54" s="2433">
        <f>D50</f>
        <v>0</v>
      </c>
      <c r="O54" s="2431" t="str">
        <f>E50</f>
        <v>销售额×税（费）率</v>
      </c>
      <c r="P54" s="2434">
        <f>F50</f>
        <v>5.5000000000000007E-2</v>
      </c>
    </row>
    <row r="55" spans="1:17" ht="12" customHeight="1">
      <c r="A55" s="2010" t="s">
        <v>1555</v>
      </c>
      <c r="B55" s="3488" t="s">
        <v>2593</v>
      </c>
      <c r="C55" s="3477"/>
      <c r="D55" s="1028">
        <f>ROUND(D47*'数据-取费表'!E29/(1+'数据-取费表'!F30),0)</f>
        <v>0</v>
      </c>
      <c r="E55" s="2020" t="s">
        <v>1553</v>
      </c>
      <c r="F55" s="2493">
        <f>'数据-取费表'!E29</f>
        <v>5.5000000000000007E-2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5.5000000000000007E-2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2.75">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2533</v>
      </c>
      <c r="C104" s="2728" t="e">
        <f ca="1">C20</f>
        <v>#REF!</v>
      </c>
      <c r="D104" s="2729" t="e">
        <f ca="1">D20</f>
        <v>#REF!</v>
      </c>
      <c r="E104" s="1389"/>
      <c r="F104" s="3448" t="s">
        <v>2539</v>
      </c>
      <c r="G104" s="3449"/>
      <c r="H104" s="2737" t="str">
        <f>C110</f>
        <v>总价（万元）</v>
      </c>
      <c r="I104" s="2738">
        <f>H125</f>
        <v>0</v>
      </c>
      <c r="J104" s="2780"/>
    </row>
    <row r="105" spans="1:36" ht="12.75">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2.75">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2.75">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5"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2543</v>
      </c>
      <c r="G109" s="3451"/>
      <c r="H109" s="2739" t="str">
        <f>C114</f>
        <v>总额（万元）</v>
      </c>
      <c r="I109" s="52">
        <f>C39</f>
        <v>0</v>
      </c>
      <c r="J109" s="2764"/>
    </row>
    <row r="110" spans="1:36" ht="12.75">
      <c r="A110" s="3448" t="s">
        <v>2546</v>
      </c>
      <c r="B110" s="3449"/>
      <c r="C110" s="2737" t="str">
        <f>B103</f>
        <v>总价（万元）</v>
      </c>
      <c r="D110" s="2738">
        <f>H125</f>
        <v>0</v>
      </c>
      <c r="E110" s="1389"/>
      <c r="F110" s="3450" t="s">
        <v>2544</v>
      </c>
      <c r="G110" s="3451"/>
      <c r="H110" s="2739" t="str">
        <f>C115</f>
        <v>总额（万元）</v>
      </c>
      <c r="I110" s="52">
        <f>C40</f>
        <v>0</v>
      </c>
      <c r="J110" s="2764"/>
    </row>
    <row r="111" spans="1:36" ht="12.75">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2.75">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2550</v>
      </c>
      <c r="B115" s="3451"/>
      <c r="C115" s="2739" t="str">
        <f>C112</f>
        <v>总额（万元）</v>
      </c>
      <c r="D115" s="52">
        <f>C40</f>
        <v>0</v>
      </c>
      <c r="E115" s="1389"/>
      <c r="F115" s="3433"/>
      <c r="G115" s="3434"/>
      <c r="H115" s="2737" t="s">
        <v>2540</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H24" sqref="H2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497</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6287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2209347.75</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[2]基准地价修正!$C$37*D10</f>
        <v>1998057.7499999998</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60941</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150349</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150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150349</v>
      </c>
      <c r="D10" s="1101">
        <f>IF('数据-取费表'!B10&lt;&gt;"住宅",IF(B1="仅计算典型户型",'数据-取费表'!E5,'数据-取费表'!B5),0)</f>
        <v>791.31</v>
      </c>
      <c r="E10" s="1100">
        <f>'数据-取费表'!E12</f>
        <v>190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791.31</v>
      </c>
      <c r="E19" s="111">
        <f>'数据-取费表'!E15</f>
        <v>200</v>
      </c>
      <c r="F19" s="112"/>
      <c r="G19" s="1446" t="s">
        <v>3034</v>
      </c>
    </row>
    <row r="20" spans="1:123" s="91" customFormat="1" ht="13.5" customHeight="1">
      <c r="A20" s="120" t="s">
        <v>1702</v>
      </c>
      <c r="B20" s="89" t="s">
        <v>1703</v>
      </c>
      <c r="C20" s="99">
        <f>ROUND((C5+C19)*F20,0)</f>
        <v>44187</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191339</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189483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1856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338030</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338030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3012453</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2225559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1978275</v>
      </c>
      <c r="D34" s="1096"/>
      <c r="E34" s="115"/>
      <c r="F34" s="1107" t="str">
        <f>IF('数据-取费表'!B26=0,"",'数据-取费表'!E20)</f>
        <v/>
      </c>
      <c r="G34" s="95"/>
    </row>
    <row r="35" spans="1:123" ht="13.5" customHeight="1">
      <c r="A35" s="92" t="s">
        <v>1685</v>
      </c>
      <c r="B35" s="93" t="s">
        <v>1734</v>
      </c>
      <c r="C35" s="115">
        <f>ROUND(C34*F35,0)</f>
        <v>59348</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158262</v>
      </c>
      <c r="D37" s="1096">
        <f>IF(B1="仅计算典型户型",'数据-取费表'!E5,'数据-取费表'!B5)</f>
        <v>791.31</v>
      </c>
      <c r="E37" s="115">
        <f>'数据-取费表'!E23</f>
        <v>200</v>
      </c>
      <c r="F37" s="1108"/>
      <c r="G37" s="124" t="s">
        <v>1739</v>
      </c>
    </row>
    <row r="38" spans="1:123" ht="13.5" customHeight="1">
      <c r="A38" s="92" t="s">
        <v>1740</v>
      </c>
      <c r="B38" s="93" t="s">
        <v>1741</v>
      </c>
      <c r="C38" s="115">
        <f>ROUND(C34*F38,0)</f>
        <v>29674</v>
      </c>
      <c r="D38" s="115"/>
      <c r="E38" s="115"/>
      <c r="F38" s="1108">
        <f>'数据-取费表'!E24</f>
        <v>1.4999999999999999E-2</v>
      </c>
      <c r="G38" s="95" t="s">
        <v>1735</v>
      </c>
    </row>
    <row r="39" spans="1:123" s="91" customFormat="1" ht="13.5" customHeight="1">
      <c r="A39" s="120" t="s">
        <v>1700</v>
      </c>
      <c r="B39" s="89" t="s">
        <v>1703</v>
      </c>
      <c r="C39" s="99">
        <f>ROUND(C33*F20,0)</f>
        <v>44511</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95342</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93473</v>
      </c>
      <c r="D42" s="104"/>
      <c r="E42" s="104"/>
      <c r="F42" s="105"/>
      <c r="G42" s="3554" t="s">
        <v>1745</v>
      </c>
    </row>
    <row r="43" spans="1:123" ht="13.5" customHeight="1">
      <c r="A43" s="92" t="s">
        <v>1685</v>
      </c>
      <c r="B43" s="93" t="s">
        <v>1714</v>
      </c>
      <c r="C43" s="104">
        <f ca="1">ROUND(IF('数据-取费表'!B24&lt;=1,C39*F22*'数据-取费表'!B23/2,C39*(POWER((1+F22),'数据-取费表'!B23/2)-1)),0)</f>
        <v>1869</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340511</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340511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2929122</v>
      </c>
      <c r="D49" s="99"/>
      <c r="E49" s="99"/>
      <c r="F49" s="126"/>
      <c r="G49" s="100" t="s">
        <v>1753</v>
      </c>
    </row>
    <row r="50" spans="1:123" s="122" customFormat="1" ht="24">
      <c r="A50" s="952" t="s">
        <v>1754</v>
      </c>
      <c r="B50" s="89" t="s">
        <v>1755</v>
      </c>
      <c r="C50" s="99"/>
      <c r="D50" s="99"/>
      <c r="E50" s="99"/>
      <c r="F50" s="126">
        <f>IF('数据-取费表'!B26=0,'数据-取费表'!E20,1)</f>
        <v>0.67</v>
      </c>
      <c r="G50" s="113" t="s">
        <v>1756</v>
      </c>
    </row>
    <row r="51" spans="1:123" ht="16.5" customHeight="1">
      <c r="A51" s="952" t="s">
        <v>1757</v>
      </c>
      <c r="B51" s="89" t="s">
        <v>1758</v>
      </c>
      <c r="C51" s="99">
        <f ca="1">ROUND(C49*F50,0)</f>
        <v>1962512</v>
      </c>
      <c r="D51" s="99"/>
      <c r="E51" s="99"/>
      <c r="F51" s="126"/>
      <c r="G51" s="100" t="s">
        <v>1759</v>
      </c>
    </row>
    <row r="52" spans="1:123" s="88" customFormat="1" ht="16.5" thickBot="1">
      <c r="A52" s="127" t="s">
        <v>1760</v>
      </c>
      <c r="B52" s="128"/>
      <c r="C52" s="129">
        <f ca="1">C31+C51</f>
        <v>4974965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0.39400000000000002</v>
      </c>
    </row>
    <row r="57" spans="1:123">
      <c r="B57" s="135" t="s">
        <v>1763</v>
      </c>
      <c r="C57" s="137">
        <f ca="1">1-C56</f>
        <v>0.60599999999999998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15</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0.32999999999999996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-150349</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-150349</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-3007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-23003</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-23003</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149027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90" zoomScaleNormal="60" zoomScaleSheetLayoutView="90" workbookViewId="0">
      <selection activeCell="G5" sqref="G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357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4506</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390405</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389918</v>
      </c>
      <c r="D6" s="36" t="s">
        <v>2461</v>
      </c>
      <c r="E6" s="235" t="s">
        <v>1776</v>
      </c>
      <c r="F6" s="236">
        <f>'数据-取费表'!B30</f>
        <v>1.5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791.31</v>
      </c>
      <c r="G7" s="909"/>
      <c r="H7" s="237"/>
      <c r="I7" s="238"/>
      <c r="J7" s="239"/>
      <c r="K7" s="240"/>
      <c r="L7" s="235" t="s">
        <v>1777</v>
      </c>
      <c r="M7" s="236">
        <f>IF('数据-取费表'!B42="",IF(D1="仅计算典型户型",'数据-取费表'!E5,'数据-取费表'!B5),'数据-取费表'!B42)</f>
        <v>791.31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487</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1962512</v>
      </c>
      <c r="D13" s="1023" t="s">
        <v>1791</v>
      </c>
      <c r="E13" s="1023" t="s">
        <v>1792</v>
      </c>
      <c r="F13" s="1024">
        <f>'数据-取费表'!E20</f>
        <v>0.67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1978275</v>
      </c>
      <c r="D14" s="1256" t="s">
        <v>1795</v>
      </c>
      <c r="E14" s="1257"/>
      <c r="F14" s="757"/>
      <c r="G14" s="910"/>
      <c r="H14" s="253" t="s">
        <v>1774</v>
      </c>
      <c r="I14" s="235" t="s">
        <v>1796</v>
      </c>
      <c r="J14" s="13">
        <f ca="1">C29</f>
        <v>2929122</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59348</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43937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158262</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29674</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2225559</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44511</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43937</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95342</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-43937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340511</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2929122</v>
      </c>
      <c r="D29" s="1034"/>
      <c r="E29" s="1032"/>
      <c r="F29" s="1035"/>
      <c r="G29" s="652"/>
      <c r="H29" s="271" t="s">
        <v>24</v>
      </c>
      <c r="I29" s="272" t="s">
        <v>1869</v>
      </c>
      <c r="J29" s="273">
        <f ca="1">ROUND(J26/(1+F40)^F41,0)</f>
        <v>0</v>
      </c>
      <c r="K29" s="274" t="s">
        <v>1870</v>
      </c>
      <c r="L29" s="275"/>
      <c r="M29" s="276">
        <f>IF(D1="仅计算典型户型",'数据-取费表'!E5,'数据-取费表'!B5)</f>
        <v>791.31</v>
      </c>
    </row>
    <row r="30" spans="1:37" ht="18" customHeight="1" thickTop="1">
      <c r="A30" s="1021" t="s">
        <v>14</v>
      </c>
      <c r="B30" s="1022" t="s">
        <v>1871</v>
      </c>
      <c r="C30" s="243">
        <f ca="1">ROUND(C31+C36+C37+C38,0)</f>
        <v>76780</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25995</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2635</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43937</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2944</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3904</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313625</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3565646</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14.46</v>
      </c>
      <c r="H41" s="908"/>
      <c r="I41" s="135" t="s">
        <v>1762</v>
      </c>
      <c r="J41" s="136">
        <f ca="1">ROUND(C13/C40,3)</f>
        <v>0.55000000000000004</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0.44999999999999996</v>
      </c>
      <c r="K42" s="905"/>
      <c r="L42" s="908"/>
      <c r="M42" s="908"/>
      <c r="Q42" s="656"/>
    </row>
    <row r="43" spans="1:18" s="652" customFormat="1" ht="18" customHeight="1" thickBot="1">
      <c r="A43" s="271" t="s">
        <v>24</v>
      </c>
      <c r="B43" s="272" t="s">
        <v>1891</v>
      </c>
      <c r="C43" s="273">
        <f ca="1">ROUND(C40/F43,0)</f>
        <v>4506</v>
      </c>
      <c r="D43" s="274" t="s">
        <v>1892</v>
      </c>
      <c r="E43" s="275" t="s">
        <v>1893</v>
      </c>
      <c r="F43" s="276">
        <f>IF(D1="仅计算典型户型",'数据-取费表'!E5,'数据-取费表'!B5)</f>
        <v>791.31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3565646</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-403</v>
      </c>
      <c r="D47" s="1456" t="str">
        <f>C2</f>
        <v>万元</v>
      </c>
      <c r="E47" s="649"/>
      <c r="F47" s="649"/>
      <c r="I47" s="1457" t="s">
        <v>1904</v>
      </c>
      <c r="J47" s="981"/>
      <c r="K47" s="982"/>
      <c r="L47" s="995" t="str">
        <f>IF(M48="住宅",0,IF(L49&gt;J52,L61,J61))</f>
        <v>0</v>
      </c>
      <c r="O47" s="1009" t="s">
        <v>769</v>
      </c>
      <c r="P47" s="1006" t="s">
        <v>1905</v>
      </c>
      <c r="Q47" s="1007">
        <f ca="1">C29</f>
        <v>2929122</v>
      </c>
      <c r="R47" s="1008" t="s">
        <v>1900</v>
      </c>
    </row>
    <row r="48" spans="1:18" s="652" customFormat="1" ht="15.75" thickBot="1">
      <c r="A48" s="228" t="s">
        <v>1906</v>
      </c>
      <c r="B48" s="229" t="s">
        <v>1907</v>
      </c>
      <c r="C48" s="229" t="s">
        <v>1908</v>
      </c>
      <c r="D48" s="229" t="s">
        <v>1909</v>
      </c>
      <c r="E48" s="944" t="s">
        <v>1910</v>
      </c>
      <c r="F48" s="945"/>
      <c r="I48" s="1458" t="s">
        <v>1911</v>
      </c>
      <c r="J48" s="1459" t="s">
        <v>3035</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3036</v>
      </c>
      <c r="K49" s="1463" t="s">
        <v>1916</v>
      </c>
      <c r="L49" s="821">
        <f>'数据-取费表'!B13</f>
        <v>14.46</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2003</v>
      </c>
      <c r="K50" s="1465" t="s">
        <v>1921</v>
      </c>
      <c r="L50" s="984"/>
      <c r="O50" s="1009" t="s">
        <v>772</v>
      </c>
      <c r="P50" s="1006" t="s">
        <v>1922</v>
      </c>
      <c r="Q50" s="1007">
        <f>J54</f>
        <v>14.46</v>
      </c>
      <c r="R50" s="1008" t="s">
        <v>1923</v>
      </c>
    </row>
    <row r="51" spans="1:18" s="652" customFormat="1" ht="15.75" thickBot="1">
      <c r="A51" s="237"/>
      <c r="B51" s="238"/>
      <c r="C51" s="239"/>
      <c r="D51" s="240"/>
      <c r="E51" s="255" t="s">
        <v>1777</v>
      </c>
      <c r="F51" s="943">
        <f>F7</f>
        <v>791.31</v>
      </c>
      <c r="I51" s="1461" t="s">
        <v>1924</v>
      </c>
      <c r="J51" s="985">
        <f>SUMPRODUCT((I64:I66=J48)*(J63:L63=J49)*(J64:L66))</f>
        <v>50</v>
      </c>
      <c r="K51" s="1465" t="s">
        <v>1925</v>
      </c>
      <c r="L51" s="984"/>
      <c r="O51" s="1005" t="s">
        <v>773</v>
      </c>
      <c r="P51" s="1006" t="str">
        <f>IF(C2="元","收益价值(元)","收益价值(万元)")</f>
        <v>收益价值(万元)</v>
      </c>
      <c r="Q51" s="1007">
        <f ca="1">ROUND(IF(C2="元",Q45+Q46,(Q45+Q46)/10000),0)</f>
        <v>357</v>
      </c>
      <c r="R51" s="1008" t="s">
        <v>774</v>
      </c>
    </row>
    <row r="52" spans="1:18" s="652" customFormat="1" ht="16.5" thickBot="1">
      <c r="A52" s="237"/>
      <c r="B52" s="238"/>
      <c r="C52" s="239"/>
      <c r="D52" s="240"/>
      <c r="E52" s="235" t="s">
        <v>1779</v>
      </c>
      <c r="F52" s="236">
        <f>F8</f>
        <v>365</v>
      </c>
      <c r="I52" s="1466" t="s">
        <v>1926</v>
      </c>
      <c r="J52" s="986">
        <f>IF(J50="",J51,J50+J51-YEAR('数据-取费表'!B2))</f>
        <v>31</v>
      </c>
      <c r="K52" s="1467" t="s">
        <v>1927</v>
      </c>
      <c r="L52" s="987">
        <f ca="1">ROUND(-PV('数据-取费表'!B15,J52,(C40-C13*J35)),0)</f>
        <v>55598442</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14.46</v>
      </c>
      <c r="K54" s="3557" t="s">
        <v>2460</v>
      </c>
      <c r="L54" s="3558"/>
      <c r="O54" s="1005" t="s">
        <v>767</v>
      </c>
      <c r="P54" s="1006" t="s">
        <v>1899</v>
      </c>
      <c r="Q54" s="1007">
        <f ca="1">C40+J29</f>
        <v>3565646</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1962512</v>
      </c>
      <c r="D57" s="941"/>
      <c r="E57" s="942"/>
      <c r="F57" s="949"/>
      <c r="I57" s="1475" t="s">
        <v>1936</v>
      </c>
      <c r="J57" s="993" t="s">
        <v>3037</v>
      </c>
      <c r="K57" s="1461" t="s">
        <v>1937</v>
      </c>
      <c r="L57" s="821" t="str">
        <f>IF(L49&lt;J52,"——",L49-J52)</f>
        <v>——</v>
      </c>
      <c r="O57" s="1009" t="s">
        <v>770</v>
      </c>
      <c r="P57" s="1006" t="s">
        <v>1938</v>
      </c>
      <c r="Q57" s="1010">
        <f>L53</f>
        <v>0</v>
      </c>
      <c r="R57" s="1008"/>
    </row>
    <row r="58" spans="1:18" s="652" customFormat="1" ht="29.25" thickBot="1">
      <c r="A58" s="948"/>
      <c r="B58" s="235" t="s">
        <v>1868</v>
      </c>
      <c r="C58" s="104">
        <f ca="1">C29</f>
        <v>2929122</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46881</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357</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3565646</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43937</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55598442</v>
      </c>
      <c r="R65" s="1012" t="s">
        <v>1962</v>
      </c>
    </row>
    <row r="66" spans="1:18" s="652" customFormat="1" ht="20.25" thickBot="1">
      <c r="A66" s="253" t="s">
        <v>20</v>
      </c>
      <c r="B66" s="235" t="s">
        <v>1840</v>
      </c>
      <c r="C66" s="13">
        <f ca="1">ROUND(C57*F66,0)</f>
        <v>2944</v>
      </c>
      <c r="D66" s="1259" t="s">
        <v>1841</v>
      </c>
      <c r="E66" s="235" t="s">
        <v>1842</v>
      </c>
      <c r="F66" s="266">
        <f t="shared" si="0"/>
        <v>1.5E-3</v>
      </c>
      <c r="I66" s="1479" t="s">
        <v>1963</v>
      </c>
      <c r="J66" s="1251">
        <v>40</v>
      </c>
      <c r="K66" s="1251">
        <v>30</v>
      </c>
      <c r="L66" s="1251">
        <v>50</v>
      </c>
      <c r="M66" s="1249">
        <v>0.02</v>
      </c>
      <c r="O66" s="1009" t="s">
        <v>770</v>
      </c>
      <c r="P66" s="1013" t="s">
        <v>1964</v>
      </c>
      <c r="Q66" s="1007">
        <f ca="1">ROUND(Q67-Q68*Q69,0)</f>
        <v>313625</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313625</v>
      </c>
      <c r="R67" s="1008" t="s">
        <v>1900</v>
      </c>
    </row>
    <row r="68" spans="1:18" ht="15.75" thickBot="1">
      <c r="A68" s="248" t="s">
        <v>22</v>
      </c>
      <c r="B68" s="41" t="s">
        <v>1850</v>
      </c>
      <c r="C68" s="250">
        <f ca="1">C49-C59</f>
        <v>-46881</v>
      </c>
      <c r="D68" s="1256" t="s">
        <v>1851</v>
      </c>
      <c r="E68" s="1258"/>
      <c r="F68" s="268"/>
      <c r="H68" s="652"/>
      <c r="I68" s="652"/>
      <c r="J68" s="652"/>
      <c r="K68" s="652"/>
      <c r="L68" s="652"/>
      <c r="M68" s="652"/>
      <c r="O68" s="1009" t="s">
        <v>776</v>
      </c>
      <c r="P68" s="1013" t="s">
        <v>1966</v>
      </c>
      <c r="Q68" s="1007">
        <f ca="1">C13</f>
        <v>1962512</v>
      </c>
      <c r="R68" s="1008" t="s">
        <v>1900</v>
      </c>
    </row>
    <row r="69" spans="1:18" ht="15.75" thickBot="1">
      <c r="A69" s="232" t="s">
        <v>23</v>
      </c>
      <c r="B69" s="233" t="s">
        <v>1888</v>
      </c>
      <c r="C69" s="234">
        <f ca="1">ROUND(C68*(1-((1+F71)/(1+F69))^F70)/(F69-F71),0)</f>
        <v>-459372</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14.46</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-581</v>
      </c>
      <c r="D72" s="274" t="s">
        <v>1892</v>
      </c>
      <c r="E72" s="275" t="s">
        <v>1893</v>
      </c>
      <c r="F72" s="276">
        <f>F43</f>
        <v>791.31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357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2785</v>
      </c>
      <c r="B1" s="3082"/>
      <c r="C1" s="3088"/>
      <c r="D1" s="3088"/>
      <c r="E1" s="3083"/>
      <c r="F1" s="3084"/>
      <c r="G1" s="3177"/>
      <c r="J1" s="3180" t="s">
        <v>2641</v>
      </c>
      <c r="K1" s="3181"/>
      <c r="L1" s="3181"/>
      <c r="M1" s="3181"/>
      <c r="N1" s="3181"/>
      <c r="O1" s="3181"/>
      <c r="P1" s="3181"/>
      <c r="Q1" s="3181"/>
      <c r="R1" s="3182"/>
      <c r="S1" s="3183"/>
      <c r="T1" s="3183"/>
      <c r="U1" s="3183"/>
    </row>
    <row r="2" spans="1:23" s="3091" customFormat="1" ht="13.15" customHeight="1">
      <c r="A2" s="3086" t="s">
        <v>2642</v>
      </c>
      <c r="B2" s="3087" t="e">
        <f>C40</f>
        <v>#DIV/0!</v>
      </c>
      <c r="C2" s="3088" t="s">
        <v>2643</v>
      </c>
      <c r="D2" s="3088"/>
      <c r="E2" s="3089"/>
      <c r="F2" s="3090"/>
      <c r="G2" s="3184"/>
      <c r="H2" s="3185"/>
      <c r="I2" s="3186"/>
      <c r="J2" s="3565" t="s">
        <v>2644</v>
      </c>
      <c r="K2" s="3566"/>
      <c r="L2" s="3187" t="s">
        <v>2645</v>
      </c>
      <c r="M2" s="3187" t="s">
        <v>2646</v>
      </c>
      <c r="N2" s="3187" t="s">
        <v>2647</v>
      </c>
      <c r="O2" s="3187" t="s">
        <v>2648</v>
      </c>
      <c r="P2" s="3187" t="s">
        <v>2649</v>
      </c>
      <c r="Q2" s="3188" t="s">
        <v>2650</v>
      </c>
      <c r="R2" s="3189" t="s">
        <v>2651</v>
      </c>
      <c r="S2" s="3183"/>
      <c r="T2" s="3183"/>
      <c r="U2" s="3183"/>
      <c r="V2" s="3186"/>
      <c r="W2" s="3185"/>
    </row>
    <row r="3" spans="1:23" s="3091" customFormat="1" ht="13.15" customHeight="1">
      <c r="A3" s="3093" t="s">
        <v>2652</v>
      </c>
      <c r="B3" s="3094" t="e">
        <f>ROUND(B2*10000/B4,0)</f>
        <v>#DIV/0!</v>
      </c>
      <c r="C3" s="3088" t="s">
        <v>2653</v>
      </c>
      <c r="D3" s="3088"/>
      <c r="E3" s="3089"/>
      <c r="F3" s="3090"/>
      <c r="G3" s="3184"/>
      <c r="H3" s="3185"/>
      <c r="I3" s="3186"/>
      <c r="J3" s="3567" t="s">
        <v>2654</v>
      </c>
      <c r="K3" s="3568"/>
      <c r="L3" s="3190"/>
      <c r="M3" s="3190"/>
      <c r="N3" s="3190"/>
      <c r="O3" s="3190"/>
      <c r="P3" s="3190"/>
      <c r="Q3" s="3191"/>
      <c r="R3" s="3192">
        <f>SUM(L3:Q3)</f>
        <v>0</v>
      </c>
      <c r="S3" s="3183"/>
      <c r="T3" s="3183"/>
      <c r="U3" s="3183"/>
      <c r="V3" s="3186"/>
      <c r="W3" s="3185"/>
    </row>
    <row r="4" spans="1:23" s="3091" customFormat="1" ht="13.15" customHeight="1">
      <c r="A4" s="3095" t="s">
        <v>2655</v>
      </c>
      <c r="B4" s="3152"/>
      <c r="C4" s="3088"/>
      <c r="D4" s="3088"/>
      <c r="E4" s="3089"/>
      <c r="F4" s="3090"/>
      <c r="G4" s="3184"/>
      <c r="H4" s="3185"/>
      <c r="I4" s="3186"/>
      <c r="J4" s="3567" t="s">
        <v>2656</v>
      </c>
      <c r="K4" s="3568"/>
      <c r="L4" s="3193"/>
      <c r="M4" s="3193"/>
      <c r="N4" s="3193"/>
      <c r="O4" s="3193"/>
      <c r="P4" s="3193"/>
      <c r="Q4" s="3194"/>
      <c r="R4" s="3195">
        <f>SUM(L4:Q4)</f>
        <v>0</v>
      </c>
      <c r="S4" s="3183"/>
      <c r="T4" s="3183"/>
      <c r="U4" s="3183"/>
      <c r="V4" s="3186"/>
      <c r="W4" s="3185"/>
    </row>
    <row r="5" spans="1:23" s="3091" customFormat="1" ht="13.15" customHeight="1" thickBot="1">
      <c r="A5" s="3096" t="s">
        <v>2657</v>
      </c>
      <c r="B5" s="3153"/>
      <c r="C5" s="3088"/>
      <c r="D5" s="3097"/>
      <c r="E5" s="3090"/>
      <c r="F5" s="3090"/>
      <c r="G5" s="3184"/>
      <c r="H5" s="3185"/>
      <c r="I5" s="3186"/>
      <c r="J5" s="3196" t="s">
        <v>2658</v>
      </c>
      <c r="K5" s="3197"/>
      <c r="L5" s="3197"/>
      <c r="M5" s="3198"/>
      <c r="N5" s="3198"/>
      <c r="O5" s="3198"/>
      <c r="P5" s="3198"/>
      <c r="Q5" s="3198"/>
      <c r="R5" s="3189">
        <f>SUM(R14,R19,R24,R25,R27,R28)</f>
        <v>0</v>
      </c>
      <c r="S5" s="3183"/>
      <c r="T5" s="3183" t="s">
        <v>2659</v>
      </c>
      <c r="U5" s="3183" t="e">
        <f>ROUND(R5*10000/365/R3,1)</f>
        <v>#DIV/0!</v>
      </c>
      <c r="V5" s="3186"/>
      <c r="W5" s="3185"/>
    </row>
    <row r="6" spans="1:23" s="3091" customFormat="1" ht="13.15" customHeight="1" thickBot="1">
      <c r="A6" s="3573" t="s">
        <v>2660</v>
      </c>
      <c r="B6" s="3574"/>
      <c r="C6" s="3575"/>
      <c r="D6" s="3154"/>
      <c r="E6" s="3098"/>
      <c r="F6" s="3099"/>
      <c r="G6" s="3199"/>
      <c r="H6" s="3185"/>
      <c r="I6" s="3186"/>
      <c r="J6" s="3559">
        <v>1</v>
      </c>
      <c r="K6" s="3560" t="s">
        <v>2661</v>
      </c>
      <c r="L6" s="3200" t="s">
        <v>2662</v>
      </c>
      <c r="M6" s="3201" t="s">
        <v>2663</v>
      </c>
      <c r="N6" s="3201" t="s">
        <v>2664</v>
      </c>
      <c r="O6" s="3201" t="s">
        <v>2665</v>
      </c>
      <c r="P6" s="3201" t="s">
        <v>2666</v>
      </c>
      <c r="Q6" s="3201" t="s">
        <v>2667</v>
      </c>
      <c r="R6" s="3192" t="s">
        <v>2668</v>
      </c>
      <c r="S6" s="3183"/>
      <c r="T6" s="3183" t="s">
        <v>2669</v>
      </c>
      <c r="U6" s="3183"/>
      <c r="V6" s="3186"/>
      <c r="W6" s="3185"/>
    </row>
    <row r="7" spans="1:23" s="3091" customFormat="1" ht="13.15" customHeight="1">
      <c r="A7" s="3101" t="s">
        <v>2670</v>
      </c>
      <c r="B7" s="3102"/>
      <c r="C7" s="3103"/>
      <c r="D7" s="3104">
        <f>SUM(D9,D10,D11,D17,0)</f>
        <v>0</v>
      </c>
      <c r="E7" s="3105" t="e">
        <f>E9+E10+E11+E17</f>
        <v>#DIV/0!</v>
      </c>
      <c r="F7" s="3106"/>
      <c r="G7" s="3202"/>
      <c r="H7" s="3185"/>
      <c r="I7" s="3186"/>
      <c r="J7" s="3559"/>
      <c r="K7" s="3561"/>
      <c r="L7" s="3203" t="s">
        <v>2770</v>
      </c>
      <c r="M7" s="3204"/>
      <c r="N7" s="3204"/>
      <c r="O7" s="3205"/>
      <c r="P7" s="3205"/>
      <c r="Q7" s="3206">
        <v>365</v>
      </c>
      <c r="R7" s="3207">
        <f>ROUND(M7*N7*O7*P7*Q7/10000,0)</f>
        <v>0</v>
      </c>
      <c r="S7" s="3183"/>
      <c r="T7" s="3183" t="s">
        <v>2671</v>
      </c>
      <c r="U7" s="3183"/>
      <c r="V7" s="3186"/>
      <c r="W7" s="3185"/>
    </row>
    <row r="8" spans="1:23" s="3091" customFormat="1" ht="13.15" customHeight="1">
      <c r="A8" s="3107" t="s">
        <v>2672</v>
      </c>
      <c r="B8" s="3576" t="s">
        <v>2673</v>
      </c>
      <c r="C8" s="3577"/>
      <c r="D8" s="3108" t="s">
        <v>2674</v>
      </c>
      <c r="E8" s="3109" t="s">
        <v>2675</v>
      </c>
      <c r="F8" s="3092" t="s">
        <v>2676</v>
      </c>
      <c r="G8" s="3262" t="s">
        <v>2784</v>
      </c>
      <c r="H8" s="3185"/>
      <c r="I8" s="3186"/>
      <c r="J8" s="3559"/>
      <c r="K8" s="3561"/>
      <c r="L8" s="3203" t="s">
        <v>2771</v>
      </c>
      <c r="M8" s="3204"/>
      <c r="N8" s="3204"/>
      <c r="O8" s="3205"/>
      <c r="P8" s="3205"/>
      <c r="Q8" s="3206">
        <v>365</v>
      </c>
      <c r="R8" s="3207">
        <f t="shared" ref="R8:R13" si="0">ROUND(M8*N8*O8*P8*Q8/10000,0)</f>
        <v>0</v>
      </c>
      <c r="S8" s="3183"/>
      <c r="T8" s="3183" t="s">
        <v>2677</v>
      </c>
      <c r="U8" s="3183"/>
      <c r="V8" s="3186"/>
      <c r="W8" s="3185"/>
    </row>
    <row r="9" spans="1:23" s="3091" customFormat="1" ht="13.15" customHeight="1">
      <c r="A9" s="3107">
        <v>1</v>
      </c>
      <c r="B9" s="3576" t="s">
        <v>2678</v>
      </c>
      <c r="C9" s="3577"/>
      <c r="D9" s="3108">
        <f>ROUND(D6*E9,0)</f>
        <v>0</v>
      </c>
      <c r="E9" s="3155"/>
      <c r="F9" s="3110" t="s">
        <v>2679</v>
      </c>
      <c r="G9" s="3208" t="s">
        <v>2782</v>
      </c>
      <c r="H9" s="3185"/>
      <c r="I9" s="3186"/>
      <c r="J9" s="3559"/>
      <c r="K9" s="3561"/>
      <c r="L9" s="3203" t="s">
        <v>2772</v>
      </c>
      <c r="M9" s="3204"/>
      <c r="N9" s="3204"/>
      <c r="O9" s="3205"/>
      <c r="P9" s="3205"/>
      <c r="Q9" s="3206">
        <v>365</v>
      </c>
      <c r="R9" s="3207">
        <f t="shared" si="0"/>
        <v>0</v>
      </c>
      <c r="S9" s="3183"/>
      <c r="T9" s="3183"/>
      <c r="U9" s="3183"/>
      <c r="V9" s="3186"/>
      <c r="W9" s="3185"/>
    </row>
    <row r="10" spans="1:23" s="3091" customFormat="1" ht="13.15" customHeight="1">
      <c r="A10" s="3107">
        <v>2</v>
      </c>
      <c r="B10" s="3576" t="s">
        <v>2680</v>
      </c>
      <c r="C10" s="3577"/>
      <c r="D10" s="3108">
        <f>ROUND(D6*E10,0)</f>
        <v>0</v>
      </c>
      <c r="E10" s="3155"/>
      <c r="F10" s="3110" t="s">
        <v>2681</v>
      </c>
      <c r="G10" s="3208" t="s">
        <v>2783</v>
      </c>
      <c r="H10" s="3185"/>
      <c r="I10" s="3186"/>
      <c r="J10" s="3559"/>
      <c r="K10" s="3561"/>
      <c r="L10" s="3203" t="s">
        <v>2773</v>
      </c>
      <c r="M10" s="3204"/>
      <c r="N10" s="3204"/>
      <c r="O10" s="3205"/>
      <c r="P10" s="3205"/>
      <c r="Q10" s="3206">
        <v>365</v>
      </c>
      <c r="R10" s="3207">
        <f t="shared" si="0"/>
        <v>0</v>
      </c>
      <c r="S10" s="3183"/>
      <c r="T10" s="3183"/>
      <c r="U10" s="3183"/>
      <c r="V10" s="3186"/>
      <c r="W10" s="3185"/>
    </row>
    <row r="11" spans="1:23" s="3091" customFormat="1" ht="13.15" customHeight="1">
      <c r="A11" s="3107">
        <v>3</v>
      </c>
      <c r="B11" s="3576" t="s">
        <v>2682</v>
      </c>
      <c r="C11" s="3577"/>
      <c r="D11" s="3108">
        <f>D12+D14+D15+D16</f>
        <v>0</v>
      </c>
      <c r="E11" s="3111" t="e">
        <f>D11/D6</f>
        <v>#DIV/0!</v>
      </c>
      <c r="F11" s="3092"/>
      <c r="G11" s="3208"/>
      <c r="H11" s="3185"/>
      <c r="I11" s="3186"/>
      <c r="J11" s="3559"/>
      <c r="K11" s="3561"/>
      <c r="L11" s="3203" t="s">
        <v>2774</v>
      </c>
      <c r="M11" s="3204"/>
      <c r="N11" s="3204"/>
      <c r="O11" s="3205"/>
      <c r="P11" s="3205"/>
      <c r="Q11" s="3206">
        <v>365</v>
      </c>
      <c r="R11" s="3207">
        <f t="shared" si="0"/>
        <v>0</v>
      </c>
      <c r="S11" s="3183"/>
      <c r="T11" s="3183"/>
      <c r="U11" s="3183"/>
      <c r="V11" s="3186"/>
      <c r="W11" s="3185"/>
    </row>
    <row r="12" spans="1:23" s="3091" customFormat="1" ht="13.15" customHeight="1">
      <c r="A12" s="3112" t="s">
        <v>2683</v>
      </c>
      <c r="B12" s="3569" t="s">
        <v>2684</v>
      </c>
      <c r="C12" s="3570"/>
      <c r="D12" s="3113">
        <f>ROUND(D13*1.2%*(1-30%),0)</f>
        <v>0</v>
      </c>
      <c r="E12" s="3114">
        <v>1.2E-2</v>
      </c>
      <c r="F12" s="3092" t="s">
        <v>2685</v>
      </c>
      <c r="G12" s="3208"/>
      <c r="H12" s="3185"/>
      <c r="I12" s="3186"/>
      <c r="J12" s="3559"/>
      <c r="K12" s="3561"/>
      <c r="L12" s="3203" t="s">
        <v>2775</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2686</v>
      </c>
      <c r="D13" s="3156"/>
      <c r="E13" s="3117"/>
      <c r="F13" s="3092"/>
      <c r="G13" s="3208"/>
      <c r="H13" s="3185"/>
      <c r="I13" s="3186"/>
      <c r="J13" s="3559"/>
      <c r="K13" s="3561"/>
      <c r="L13" s="3203" t="s">
        <v>2776</v>
      </c>
      <c r="M13" s="3204"/>
      <c r="N13" s="3204"/>
      <c r="O13" s="3205"/>
      <c r="P13" s="3205"/>
      <c r="Q13" s="3206">
        <v>365</v>
      </c>
      <c r="R13" s="3207">
        <f t="shared" si="0"/>
        <v>0</v>
      </c>
      <c r="S13" s="3183"/>
      <c r="T13" s="3183"/>
      <c r="U13" s="3183"/>
      <c r="V13" s="3186"/>
      <c r="W13" s="3185"/>
    </row>
    <row r="14" spans="1:23" s="3091" customFormat="1" ht="13.15" customHeight="1">
      <c r="A14" s="3112" t="s">
        <v>2687</v>
      </c>
      <c r="B14" s="3569" t="s">
        <v>2688</v>
      </c>
      <c r="C14" s="3570"/>
      <c r="D14" s="3113">
        <f>ROUND(E14*B5/10000,0)</f>
        <v>0</v>
      </c>
      <c r="E14" s="3157"/>
      <c r="F14" s="3092" t="s">
        <v>2689</v>
      </c>
      <c r="G14" s="3208"/>
      <c r="H14" s="3185"/>
      <c r="I14" s="3186"/>
      <c r="J14" s="3559"/>
      <c r="K14" s="3562"/>
      <c r="L14" s="3209" t="s">
        <v>2690</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2691</v>
      </c>
      <c r="B15" s="3569" t="s">
        <v>2692</v>
      </c>
      <c r="C15" s="3570"/>
      <c r="D15" s="3113">
        <f>ROUND(D6*E15,0)</f>
        <v>0</v>
      </c>
      <c r="E15" s="3114">
        <v>5.5E-2</v>
      </c>
      <c r="F15" s="3092" t="s">
        <v>2693</v>
      </c>
      <c r="G15" s="3208"/>
      <c r="H15" s="3185"/>
      <c r="I15" s="3186"/>
      <c r="J15" s="3559">
        <v>2</v>
      </c>
      <c r="K15" s="3560" t="s">
        <v>2694</v>
      </c>
      <c r="L15" s="3213" t="s">
        <v>2695</v>
      </c>
      <c r="M15" s="3214" t="s">
        <v>2696</v>
      </c>
      <c r="N15" s="3214" t="s">
        <v>2697</v>
      </c>
      <c r="O15" s="3215" t="s">
        <v>2698</v>
      </c>
      <c r="P15" s="3215" t="s">
        <v>2699</v>
      </c>
      <c r="Q15" s="3152" t="s">
        <v>2700</v>
      </c>
      <c r="R15" s="3216" t="s">
        <v>2701</v>
      </c>
      <c r="S15" s="3183"/>
      <c r="T15" s="3183"/>
      <c r="U15" s="3183"/>
      <c r="V15" s="3186"/>
      <c r="W15" s="3185"/>
    </row>
    <row r="16" spans="1:23" s="3091" customFormat="1" ht="13.15" customHeight="1">
      <c r="A16" s="3112" t="s">
        <v>2702</v>
      </c>
      <c r="B16" s="3569" t="s">
        <v>2703</v>
      </c>
      <c r="C16" s="3570"/>
      <c r="D16" s="3158">
        <f>D6*E16</f>
        <v>0</v>
      </c>
      <c r="E16" s="3159"/>
      <c r="F16" s="3110" t="s">
        <v>2704</v>
      </c>
      <c r="G16" s="3208"/>
      <c r="H16" s="3185"/>
      <c r="I16" s="3186"/>
      <c r="J16" s="3559"/>
      <c r="K16" s="3561"/>
      <c r="L16" s="3203" t="s">
        <v>2777</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2705</v>
      </c>
      <c r="C17" s="3572"/>
      <c r="D17" s="3119">
        <f>ROUND(D6*E17,0)</f>
        <v>0</v>
      </c>
      <c r="E17" s="3160"/>
      <c r="F17" s="3120" t="s">
        <v>2706</v>
      </c>
      <c r="G17" s="3261">
        <v>0.1</v>
      </c>
      <c r="H17" s="3185"/>
      <c r="I17" s="3186"/>
      <c r="J17" s="3559"/>
      <c r="K17" s="3561"/>
      <c r="L17" s="3203" t="s">
        <v>2778</v>
      </c>
      <c r="M17" s="3204"/>
      <c r="N17" s="3204"/>
      <c r="O17" s="3205"/>
      <c r="P17" s="3206">
        <v>365</v>
      </c>
      <c r="Q17" s="3204"/>
      <c r="R17" s="3217">
        <f>ROUND(M17*N17*O17*P17/10000,0)</f>
        <v>0</v>
      </c>
      <c r="S17" s="3183"/>
      <c r="T17" s="3183"/>
      <c r="U17" s="3183"/>
      <c r="V17" s="3186"/>
      <c r="W17" s="3185"/>
    </row>
    <row r="18" spans="1:23" s="3091" customFormat="1" ht="13.15" customHeight="1" thickBot="1">
      <c r="A18" s="3101" t="s">
        <v>2707</v>
      </c>
      <c r="B18" s="3102"/>
      <c r="C18" s="3102"/>
      <c r="D18" s="3121">
        <f>ROUND(D6*E18,0)</f>
        <v>0</v>
      </c>
      <c r="E18" s="3161"/>
      <c r="F18" s="3122" t="s">
        <v>2708</v>
      </c>
      <c r="G18" s="3261">
        <v>0.05</v>
      </c>
      <c r="H18" s="3185"/>
      <c r="I18" s="3186"/>
      <c r="J18" s="3559"/>
      <c r="K18" s="3561"/>
      <c r="L18" s="3203" t="s">
        <v>2779</v>
      </c>
      <c r="M18" s="3204"/>
      <c r="N18" s="3204"/>
      <c r="O18" s="3205"/>
      <c r="P18" s="3206">
        <v>365</v>
      </c>
      <c r="Q18" s="3204"/>
      <c r="R18" s="3217">
        <f>ROUND(M18*N18*O18*P18/10000,0)</f>
        <v>0</v>
      </c>
      <c r="S18" s="3183"/>
      <c r="T18" s="3183"/>
      <c r="U18" s="3183"/>
      <c r="V18" s="3186"/>
      <c r="W18" s="3185"/>
    </row>
    <row r="19" spans="1:23" s="3091" customFormat="1" ht="13.15" customHeight="1" thickBot="1">
      <c r="A19" s="3123" t="s">
        <v>2709</v>
      </c>
      <c r="B19" s="3098"/>
      <c r="C19" s="3098"/>
      <c r="D19" s="3098"/>
      <c r="E19" s="3098"/>
      <c r="F19" s="3099"/>
      <c r="G19" s="3208"/>
      <c r="H19" s="3185"/>
      <c r="I19" s="3186"/>
      <c r="J19" s="3559"/>
      <c r="K19" s="3562"/>
      <c r="L19" s="3209" t="s">
        <v>2690</v>
      </c>
      <c r="M19" s="3210"/>
      <c r="N19" s="3210">
        <f>SUM(N16:N18)</f>
        <v>0</v>
      </c>
      <c r="O19" s="3211"/>
      <c r="P19" s="3218" t="s">
        <v>2780</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2710</v>
      </c>
      <c r="L20" s="3213" t="s">
        <v>2711</v>
      </c>
      <c r="M20" s="3214" t="s">
        <v>2712</v>
      </c>
      <c r="N20" s="3220" t="s">
        <v>2713</v>
      </c>
      <c r="O20" s="3215" t="s">
        <v>2714</v>
      </c>
      <c r="P20" s="3157" t="s">
        <v>2699</v>
      </c>
      <c r="Q20" s="3152" t="s">
        <v>2700</v>
      </c>
      <c r="R20" s="3216" t="s">
        <v>2701</v>
      </c>
      <c r="S20" s="3221"/>
      <c r="T20" s="3221"/>
      <c r="U20" s="3221"/>
      <c r="V20" s="3186"/>
      <c r="W20" s="3185"/>
    </row>
    <row r="21" spans="1:23" s="3091" customFormat="1" ht="13.15" customHeight="1">
      <c r="A21" s="3101"/>
      <c r="B21" s="3102"/>
      <c r="C21" s="3125" t="s">
        <v>2715</v>
      </c>
      <c r="D21" s="3126" t="s">
        <v>2716</v>
      </c>
      <c r="E21" s="3127" t="s">
        <v>2717</v>
      </c>
      <c r="F21" s="3124"/>
      <c r="G21" s="3208"/>
      <c r="H21" s="3185"/>
      <c r="I21" s="3186"/>
      <c r="J21" s="3559"/>
      <c r="K21" s="3561"/>
      <c r="L21" s="3213" t="s">
        <v>2718</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2719</v>
      </c>
      <c r="D22" s="3163" t="s">
        <v>2720</v>
      </c>
      <c r="E22" s="3164" t="s">
        <v>2721</v>
      </c>
      <c r="F22" s="3124"/>
      <c r="G22" s="3223"/>
      <c r="H22" s="3185"/>
      <c r="I22" s="3186"/>
      <c r="J22" s="3559"/>
      <c r="K22" s="3561"/>
      <c r="L22" s="3213" t="s">
        <v>2722</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2723</v>
      </c>
      <c r="C23" s="3129">
        <f>D6</f>
        <v>0</v>
      </c>
      <c r="D23" s="3130">
        <f>C23*(1+D24)</f>
        <v>0</v>
      </c>
      <c r="E23" s="3131">
        <f>D23*(1+E24)</f>
        <v>0</v>
      </c>
      <c r="F23" s="3132"/>
      <c r="G23" s="3224"/>
      <c r="H23" s="3185"/>
      <c r="I23" s="3186"/>
      <c r="J23" s="3559"/>
      <c r="K23" s="3561"/>
      <c r="L23" s="3213" t="s">
        <v>2724</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2725</v>
      </c>
      <c r="C24" s="3135"/>
      <c r="D24" s="3165"/>
      <c r="E24" s="3166"/>
      <c r="F24" s="3136"/>
      <c r="G24" s="3224"/>
      <c r="H24" s="3185"/>
      <c r="I24" s="3186"/>
      <c r="J24" s="3559"/>
      <c r="K24" s="3562"/>
      <c r="L24" s="3209" t="s">
        <v>2690</v>
      </c>
      <c r="M24" s="3210">
        <f>SUM(M21:M23)</f>
        <v>0</v>
      </c>
      <c r="N24" s="3210"/>
      <c r="O24" s="3211"/>
      <c r="P24" s="3218" t="s">
        <v>2780</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2726</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2727</v>
      </c>
      <c r="C26" s="3129">
        <f>D7</f>
        <v>0</v>
      </c>
      <c r="D26" s="3130">
        <f>D23*D27</f>
        <v>0</v>
      </c>
      <c r="E26" s="3131">
        <f>E23*E27</f>
        <v>0</v>
      </c>
      <c r="F26" s="3132"/>
      <c r="G26" s="3224"/>
      <c r="H26" s="3185"/>
      <c r="I26" s="3186"/>
      <c r="J26" s="3563">
        <v>5</v>
      </c>
      <c r="K26" s="3232" t="s">
        <v>2728</v>
      </c>
      <c r="L26" s="3233"/>
      <c r="M26" s="3234"/>
      <c r="N26" s="3235" t="s">
        <v>2729</v>
      </c>
      <c r="O26" s="3235" t="s">
        <v>2730</v>
      </c>
      <c r="P26" s="3236" t="s">
        <v>2731</v>
      </c>
      <c r="Q26" s="3236" t="s">
        <v>2732</v>
      </c>
      <c r="R26" s="3192" t="s">
        <v>2701</v>
      </c>
      <c r="S26" s="3237"/>
      <c r="T26" s="3237"/>
      <c r="U26" s="3237"/>
      <c r="V26" s="3230"/>
      <c r="W26" s="3231"/>
    </row>
    <row r="27" spans="1:23" s="3091" customFormat="1" ht="13.15" customHeight="1">
      <c r="A27" s="3133"/>
      <c r="B27" s="3134" t="s">
        <v>2733</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2734</v>
      </c>
      <c r="F28" s="3136"/>
      <c r="G28" s="3223"/>
      <c r="H28" s="3231"/>
      <c r="I28" s="3230"/>
      <c r="J28" s="3243">
        <v>6</v>
      </c>
      <c r="K28" s="3244" t="s">
        <v>2735</v>
      </c>
      <c r="L28" s="3245" t="s">
        <v>2736</v>
      </c>
      <c r="M28" s="3246"/>
      <c r="N28" s="3245" t="s">
        <v>2737</v>
      </c>
      <c r="O28" s="3247"/>
      <c r="P28" s="3245" t="s">
        <v>2738</v>
      </c>
      <c r="Q28" s="3248">
        <v>1.4999999999999999E-2</v>
      </c>
      <c r="R28" s="3249"/>
      <c r="S28" s="3221"/>
      <c r="T28" s="3221"/>
      <c r="U28" s="3221"/>
      <c r="V28" s="3230"/>
      <c r="W28" s="3231"/>
    </row>
    <row r="29" spans="1:23" s="3137" customFormat="1" ht="13.15" customHeight="1">
      <c r="A29" s="3128">
        <v>3</v>
      </c>
      <c r="B29" s="3100" t="s">
        <v>2739</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2733</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2740</v>
      </c>
      <c r="K31" s="3181"/>
      <c r="L31" s="3181"/>
      <c r="M31" s="3181"/>
      <c r="N31" s="3181"/>
      <c r="O31" s="3181"/>
      <c r="P31" s="3181"/>
      <c r="Q31" s="3181"/>
      <c r="R31" s="3182"/>
      <c r="S31" s="3221"/>
      <c r="T31" s="3183"/>
      <c r="U31" s="3183"/>
      <c r="V31" s="3230"/>
      <c r="W31" s="3231"/>
    </row>
    <row r="32" spans="1:23" s="3137" customFormat="1" ht="13.15" customHeight="1">
      <c r="A32" s="3128">
        <v>4</v>
      </c>
      <c r="B32" s="3100" t="s">
        <v>2741</v>
      </c>
      <c r="C32" s="3129">
        <f>C23-C26-C29</f>
        <v>0</v>
      </c>
      <c r="D32" s="3130">
        <f>D23-D26-D29</f>
        <v>0</v>
      </c>
      <c r="E32" s="3131">
        <f>E23-E26-E29</f>
        <v>0</v>
      </c>
      <c r="F32" s="3132"/>
      <c r="G32" s="3223"/>
      <c r="H32" s="3185"/>
      <c r="I32" s="3186"/>
      <c r="J32" s="3565" t="s">
        <v>2742</v>
      </c>
      <c r="K32" s="3566"/>
      <c r="L32" s="3187" t="s">
        <v>2743</v>
      </c>
      <c r="M32" s="3187" t="s">
        <v>2646</v>
      </c>
      <c r="N32" s="3187" t="s">
        <v>2647</v>
      </c>
      <c r="O32" s="3187" t="s">
        <v>2648</v>
      </c>
      <c r="P32" s="3187" t="s">
        <v>2649</v>
      </c>
      <c r="Q32" s="3188" t="s">
        <v>2744</v>
      </c>
      <c r="R32" s="3250" t="s">
        <v>2745</v>
      </c>
      <c r="S32" s="3221"/>
      <c r="T32" s="3183"/>
      <c r="U32" s="3183"/>
      <c r="V32" s="3230"/>
      <c r="W32" s="3231"/>
    </row>
    <row r="33" spans="1:23" s="3091" customFormat="1" ht="13.15" customHeight="1">
      <c r="A33" s="3128"/>
      <c r="B33" s="3100"/>
      <c r="C33" s="3129"/>
      <c r="D33" s="3140"/>
      <c r="E33" s="3141"/>
      <c r="F33" s="3132"/>
      <c r="G33" s="3223"/>
      <c r="H33" s="3231"/>
      <c r="I33" s="3230"/>
      <c r="J33" s="3567" t="s">
        <v>2746</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2747</v>
      </c>
      <c r="C34" s="3168"/>
      <c r="D34" s="3169"/>
      <c r="E34" s="3170"/>
      <c r="F34" s="3132"/>
      <c r="G34" s="3223"/>
      <c r="H34" s="3231"/>
      <c r="I34" s="3230"/>
      <c r="J34" s="3567" t="s">
        <v>2748</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2749</v>
      </c>
      <c r="C35" s="3171"/>
      <c r="D35" s="3172"/>
      <c r="E35" s="3173"/>
      <c r="F35" s="3132"/>
      <c r="G35" s="3253"/>
      <c r="H35" s="3185"/>
      <c r="I35" s="3230"/>
      <c r="J35" s="3196" t="s">
        <v>2750</v>
      </c>
      <c r="K35" s="3197"/>
      <c r="L35" s="3197"/>
      <c r="M35" s="3198"/>
      <c r="N35" s="3198"/>
      <c r="O35" s="3198"/>
      <c r="P35" s="3198"/>
      <c r="Q35" s="3198"/>
      <c r="R35" s="3254">
        <f>R40+R41+R43</f>
        <v>0</v>
      </c>
      <c r="S35" s="3221"/>
      <c r="T35" s="3183" t="s">
        <v>2751</v>
      </c>
      <c r="U35" s="3183"/>
      <c r="V35" s="3186"/>
      <c r="W35" s="3185"/>
    </row>
    <row r="36" spans="1:23" s="3091" customFormat="1" ht="13.15" customHeight="1" thickBot="1">
      <c r="A36" s="3128">
        <v>7</v>
      </c>
      <c r="B36" s="3142" t="s">
        <v>2752</v>
      </c>
      <c r="C36" s="3174"/>
      <c r="D36" s="3175"/>
      <c r="E36" s="3176"/>
      <c r="F36" s="3143">
        <f>C36+D36+E36</f>
        <v>0</v>
      </c>
      <c r="G36" s="3223"/>
      <c r="H36" s="3185"/>
      <c r="I36" s="3186"/>
      <c r="J36" s="3559">
        <v>1</v>
      </c>
      <c r="K36" s="3560" t="s">
        <v>2753</v>
      </c>
      <c r="L36" s="3200"/>
      <c r="M36" s="3201"/>
      <c r="N36" s="3201"/>
      <c r="O36" s="3201"/>
      <c r="P36" s="3201"/>
      <c r="Q36" s="3201"/>
      <c r="R36" s="3192" t="s">
        <v>2701</v>
      </c>
      <c r="S36" s="3221"/>
      <c r="T36" s="3183" t="s">
        <v>2754</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2755</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2677</v>
      </c>
      <c r="U38" s="3183"/>
      <c r="V38" s="3186"/>
      <c r="W38" s="3185"/>
    </row>
    <row r="39" spans="1:23" s="3091" customFormat="1" ht="13.15" customHeight="1">
      <c r="A39" s="3128">
        <v>9</v>
      </c>
      <c r="B39" s="3100" t="s">
        <v>2756</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2757</v>
      </c>
      <c r="C40" s="3145" t="e">
        <f>C39+D39+E39</f>
        <v>#DIV/0!</v>
      </c>
      <c r="D40" s="3146"/>
      <c r="E40" s="3146"/>
      <c r="F40" s="3147"/>
      <c r="G40" s="3223"/>
      <c r="H40" s="3185"/>
      <c r="I40" s="3186"/>
      <c r="J40" s="3559"/>
      <c r="K40" s="3562"/>
      <c r="L40" s="3209" t="s">
        <v>2758</v>
      </c>
      <c r="M40" s="3210"/>
      <c r="N40" s="3210"/>
      <c r="O40" s="3211"/>
      <c r="P40" s="3211"/>
      <c r="Q40" s="3212"/>
      <c r="R40" s="3189">
        <f>SUM(R37:R39)</f>
        <v>0</v>
      </c>
      <c r="S40" s="3221"/>
      <c r="T40" s="3183"/>
      <c r="U40" s="3183"/>
      <c r="V40" s="3186"/>
      <c r="W40" s="3185"/>
    </row>
    <row r="41" spans="1:23" s="3091" customFormat="1" ht="13.15" customHeight="1" thickBot="1">
      <c r="A41" s="3148">
        <v>11</v>
      </c>
      <c r="B41" s="3149" t="s">
        <v>2759</v>
      </c>
      <c r="C41" s="3149" t="e">
        <f>ROUND(C40*10000/B4,0)</f>
        <v>#DIV/0!</v>
      </c>
      <c r="D41" s="3150"/>
      <c r="E41" s="3150"/>
      <c r="F41" s="3151"/>
      <c r="G41" s="3257"/>
      <c r="H41" s="3185"/>
      <c r="I41" s="3186"/>
      <c r="J41" s="3225">
        <v>2</v>
      </c>
      <c r="K41" s="3226" t="s">
        <v>2760</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2761</v>
      </c>
      <c r="L42" s="3233"/>
      <c r="M42" s="3234"/>
      <c r="N42" s="3235" t="s">
        <v>2762</v>
      </c>
      <c r="O42" s="3235" t="s">
        <v>2763</v>
      </c>
      <c r="P42" s="3236" t="s">
        <v>2764</v>
      </c>
      <c r="Q42" s="3236" t="s">
        <v>2765</v>
      </c>
      <c r="R42" s="3192" t="s">
        <v>2668</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2766</v>
      </c>
      <c r="L44" s="3260" t="s">
        <v>2767</v>
      </c>
      <c r="M44" s="3246"/>
      <c r="N44" s="3260" t="s">
        <v>2768</v>
      </c>
      <c r="O44" s="3246"/>
      <c r="P44" s="3260" t="s">
        <v>2769</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791.31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44670</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15">
      <c r="A15" s="1646" t="s">
        <v>2030</v>
      </c>
      <c r="B15" s="1647" t="s">
        <v>1464</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15">
      <c r="A17" s="1631"/>
      <c r="B17" s="1666" t="s">
        <v>1466</v>
      </c>
      <c r="C17" s="1667">
        <f>估价对象房地状况!C6</f>
        <v>0</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15">
      <c r="A19" s="1631"/>
      <c r="B19" s="1666" t="s">
        <v>1465</v>
      </c>
      <c r="C19" s="1667">
        <f>估价对象房地状况!C7</f>
        <v>0</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15">
      <c r="A21" s="1631"/>
      <c r="B21" s="1679" t="s">
        <v>1467</v>
      </c>
      <c r="C21" s="1667">
        <f>估价对象房地状况!C8</f>
        <v>0</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15">
      <c r="A23" s="1631"/>
      <c r="B23" s="1666" t="s">
        <v>1468</v>
      </c>
      <c r="C23" s="1667">
        <f>估价对象房地状况!C9</f>
        <v>0</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2022-4</v>
      </c>
      <c r="D58" s="1754">
        <f>EDATE(C58,-1)</f>
        <v>44621</v>
      </c>
      <c r="E58" s="1754">
        <f t="shared" ref="E58:O58" si="16">EDATE(D58,-1)</f>
        <v>44593</v>
      </c>
      <c r="F58" s="1754">
        <f t="shared" si="16"/>
        <v>44562</v>
      </c>
      <c r="G58" s="1754">
        <f t="shared" si="16"/>
        <v>44531</v>
      </c>
      <c r="H58" s="1754">
        <f t="shared" si="16"/>
        <v>44501</v>
      </c>
      <c r="I58" s="1754">
        <f t="shared" si="16"/>
        <v>44470</v>
      </c>
      <c r="J58" s="1754">
        <f t="shared" si="16"/>
        <v>44440</v>
      </c>
      <c r="K58" s="1754">
        <f t="shared" si="16"/>
        <v>44409</v>
      </c>
      <c r="L58" s="1754">
        <f t="shared" si="16"/>
        <v>44378</v>
      </c>
      <c r="M58" s="1754">
        <f t="shared" si="16"/>
        <v>44348</v>
      </c>
      <c r="N58" s="1754">
        <f t="shared" si="16"/>
        <v>44317</v>
      </c>
      <c r="O58" s="1754">
        <f t="shared" si="16"/>
        <v>44287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791.31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44670</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15">
      <c r="A15" s="1646" t="s">
        <v>2030</v>
      </c>
      <c r="B15" s="1647" t="s">
        <v>2116</v>
      </c>
      <c r="C15" s="1648">
        <f>估价对象房地状况!C4</f>
        <v>0</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15">
      <c r="A17" s="1631"/>
      <c r="B17" s="1666" t="s">
        <v>1466</v>
      </c>
      <c r="C17" s="1667">
        <f>估价对象房地状况!C6</f>
        <v>0</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15">
      <c r="A19" s="1631"/>
      <c r="B19" s="1666" t="s">
        <v>2117</v>
      </c>
      <c r="C19" s="1667">
        <f>估价对象房地状况!C7</f>
        <v>0</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15">
      <c r="A21" s="1631"/>
      <c r="B21" s="1679" t="s">
        <v>2118</v>
      </c>
      <c r="C21" s="1667">
        <f>估价对象房地状况!C8</f>
        <v>0</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15">
      <c r="A23" s="1631"/>
      <c r="B23" s="1666" t="s">
        <v>1468</v>
      </c>
      <c r="C23" s="2394">
        <f>估价对象房地状况!C9</f>
        <v>0</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2022-4</v>
      </c>
      <c r="D58" s="1754">
        <f>EDATE(C58,-1)</f>
        <v>44621</v>
      </c>
      <c r="E58" s="1754">
        <f t="shared" ref="E58:O58" si="16">EDATE(D58,-1)</f>
        <v>44593</v>
      </c>
      <c r="F58" s="1754">
        <f t="shared" si="16"/>
        <v>44562</v>
      </c>
      <c r="G58" s="1754">
        <f t="shared" si="16"/>
        <v>44531</v>
      </c>
      <c r="H58" s="1754">
        <f t="shared" si="16"/>
        <v>44501</v>
      </c>
      <c r="I58" s="1754">
        <f t="shared" si="16"/>
        <v>44470</v>
      </c>
      <c r="J58" s="1754">
        <f t="shared" si="16"/>
        <v>44440</v>
      </c>
      <c r="K58" s="1754">
        <f t="shared" si="16"/>
        <v>44409</v>
      </c>
      <c r="L58" s="1754">
        <f t="shared" si="16"/>
        <v>44378</v>
      </c>
      <c r="M58" s="1754">
        <f t="shared" si="16"/>
        <v>44348</v>
      </c>
      <c r="N58" s="1754">
        <f t="shared" si="16"/>
        <v>44317</v>
      </c>
      <c r="O58" s="1754">
        <f t="shared" si="16"/>
        <v>44287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791.31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44670</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3"/>
      <c r="Q11" s="283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15">
      <c r="A15" s="1646" t="s">
        <v>2030</v>
      </c>
      <c r="B15" s="2411" t="s">
        <v>2145</v>
      </c>
      <c r="C15" s="1902">
        <f>估价对象房地状况!C5</f>
        <v>0</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15">
      <c r="A17" s="1631"/>
      <c r="B17" s="2413" t="s">
        <v>1466</v>
      </c>
      <c r="C17" s="1909">
        <f>估价对象房地状况!C6</f>
        <v>0</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15">
      <c r="A19" s="1631"/>
      <c r="B19" s="2413" t="s">
        <v>2146</v>
      </c>
      <c r="C19" s="1909">
        <f>估价对象房地状况!C7</f>
        <v>0</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15">
      <c r="A21" s="1631"/>
      <c r="B21" s="2415" t="s">
        <v>2147</v>
      </c>
      <c r="C21" s="1909">
        <f>估价对象房地状况!C8</f>
        <v>0</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15">
      <c r="A23" s="1631"/>
      <c r="B23" s="2413" t="s">
        <v>2148</v>
      </c>
      <c r="C23" s="1909">
        <f>估价对象房地状况!C9</f>
        <v>0</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7"/>
      <c r="Q37" s="2834"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2022-4</v>
      </c>
      <c r="D59" s="1754">
        <f>EDATE(C59,-1)</f>
        <v>44621</v>
      </c>
      <c r="E59" s="1754">
        <f t="shared" ref="E59:O59" si="16">EDATE(D59,-1)</f>
        <v>44593</v>
      </c>
      <c r="F59" s="1754">
        <f t="shared" si="16"/>
        <v>44562</v>
      </c>
      <c r="G59" s="1754">
        <f t="shared" si="16"/>
        <v>44531</v>
      </c>
      <c r="H59" s="1754">
        <f t="shared" si="16"/>
        <v>44501</v>
      </c>
      <c r="I59" s="1754">
        <f t="shared" si="16"/>
        <v>44470</v>
      </c>
      <c r="J59" s="1754">
        <f t="shared" si="16"/>
        <v>44440</v>
      </c>
      <c r="K59" s="1754">
        <f t="shared" si="16"/>
        <v>44409</v>
      </c>
      <c r="L59" s="1754">
        <f t="shared" si="16"/>
        <v>44378</v>
      </c>
      <c r="M59" s="1754">
        <f t="shared" si="16"/>
        <v>44348</v>
      </c>
      <c r="N59" s="1754">
        <f t="shared" si="16"/>
        <v>44317</v>
      </c>
      <c r="O59" s="1754">
        <f t="shared" si="16"/>
        <v>44287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791.31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44670</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2630</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15">
      <c r="A15" s="329" t="s">
        <v>2030</v>
      </c>
      <c r="B15" s="22" t="s">
        <v>2162</v>
      </c>
      <c r="C15" s="1509">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15">
      <c r="A17" s="318"/>
      <c r="B17" s="340" t="s">
        <v>1466</v>
      </c>
      <c r="C17" s="1495">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2146</v>
      </c>
      <c r="C19" s="1495">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15">
      <c r="A21" s="318"/>
      <c r="B21" s="515" t="s">
        <v>2147</v>
      </c>
      <c r="C21" s="1495">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15">
      <c r="A23" s="318"/>
      <c r="B23" s="340" t="s">
        <v>2148</v>
      </c>
      <c r="C23" s="1495">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2022-4</v>
      </c>
      <c r="D52" s="1117">
        <f>EDATE(C52,-1)</f>
        <v>44621</v>
      </c>
      <c r="E52" s="1118">
        <f t="shared" ref="E52:O52" si="16">EDATE(D52,-1)</f>
        <v>44593</v>
      </c>
      <c r="F52" s="1118">
        <f t="shared" si="16"/>
        <v>44562</v>
      </c>
      <c r="G52" s="1118">
        <f t="shared" si="16"/>
        <v>44531</v>
      </c>
      <c r="H52" s="1118">
        <f t="shared" si="16"/>
        <v>44501</v>
      </c>
      <c r="I52" s="1118">
        <f t="shared" si="16"/>
        <v>44470</v>
      </c>
      <c r="J52" s="1118">
        <f t="shared" si="16"/>
        <v>44440</v>
      </c>
      <c r="K52" s="1118">
        <f t="shared" si="16"/>
        <v>44409</v>
      </c>
      <c r="L52" s="1118">
        <f t="shared" si="16"/>
        <v>44378</v>
      </c>
      <c r="M52" s="1118">
        <f t="shared" si="16"/>
        <v>44348</v>
      </c>
      <c r="N52" s="1118">
        <f t="shared" si="16"/>
        <v>44317</v>
      </c>
      <c r="O52" s="1118">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791.31</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44670</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
      <c r="A14" s="294" t="s">
        <v>2030</v>
      </c>
      <c r="B14" s="511" t="s">
        <v>2168</v>
      </c>
      <c r="C14" s="1072">
        <f>IF(B1="工业",估价对象房地状况!G4,估价对象房地状况!C6)</f>
        <v>0</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15">
      <c r="A16" s="297"/>
      <c r="B16" s="513" t="s">
        <v>2146</v>
      </c>
      <c r="C16" s="1074">
        <f>IF(B1="工业",估价对象房地状况!G5,估价对象房地状况!C7)</f>
        <v>0</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15">
      <c r="A18" s="297"/>
      <c r="B18" s="515" t="s">
        <v>2147</v>
      </c>
      <c r="C18" s="1074">
        <f>IF(B1="工业",估价对象房地状况!G6,估价对象房地状况!C8)</f>
        <v>0</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15">
      <c r="A20" s="297"/>
      <c r="B20" s="513" t="s">
        <v>2169</v>
      </c>
      <c r="C20" s="1074">
        <f>IF(B1="工业",估价对象房地状况!G7,估价对象房地状况!C9)</f>
        <v>0</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2022-4</v>
      </c>
      <c r="D48" s="1117">
        <f>EDATE(C48,-1)</f>
        <v>44621</v>
      </c>
      <c r="E48" s="1117">
        <f t="shared" ref="E48:O48" si="16">EDATE(D48,-1)</f>
        <v>44593</v>
      </c>
      <c r="F48" s="1117">
        <f t="shared" si="16"/>
        <v>44562</v>
      </c>
      <c r="G48" s="1117">
        <f t="shared" si="16"/>
        <v>44531</v>
      </c>
      <c r="H48" s="1117">
        <f t="shared" si="16"/>
        <v>44501</v>
      </c>
      <c r="I48" s="1117">
        <f t="shared" si="16"/>
        <v>44470</v>
      </c>
      <c r="J48" s="1117">
        <f t="shared" si="16"/>
        <v>44440</v>
      </c>
      <c r="K48" s="1117">
        <f t="shared" si="16"/>
        <v>44409</v>
      </c>
      <c r="L48" s="1117">
        <f t="shared" si="16"/>
        <v>44378</v>
      </c>
      <c r="M48" s="1117">
        <f t="shared" si="16"/>
        <v>44348</v>
      </c>
      <c r="N48" s="1117">
        <f t="shared" si="16"/>
        <v>44317</v>
      </c>
      <c r="O48" s="1117">
        <f t="shared" si="16"/>
        <v>44287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791.31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44670</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
      <c r="A14" s="329" t="s">
        <v>2030</v>
      </c>
      <c r="B14" s="22" t="s">
        <v>2168</v>
      </c>
      <c r="C14" s="1509">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15">
      <c r="A16" s="318"/>
      <c r="B16" s="513" t="s">
        <v>2146</v>
      </c>
      <c r="C16" s="1495">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15">
      <c r="A18" s="318"/>
      <c r="B18" s="515" t="s">
        <v>2147</v>
      </c>
      <c r="C18" s="1495">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15">
      <c r="A20" s="318"/>
      <c r="B20" s="340" t="s">
        <v>2169</v>
      </c>
      <c r="C20" s="1495">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2022-4</v>
      </c>
      <c r="D46" s="1117">
        <f>EDATE(C46,-1)</f>
        <v>44621</v>
      </c>
      <c r="E46" s="1117">
        <f t="shared" ref="E46:O46" si="16">EDATE(D46,-1)</f>
        <v>44593</v>
      </c>
      <c r="F46" s="1117">
        <f t="shared" si="16"/>
        <v>44562</v>
      </c>
      <c r="G46" s="1117">
        <f t="shared" si="16"/>
        <v>44531</v>
      </c>
      <c r="H46" s="1117">
        <f t="shared" si="16"/>
        <v>44501</v>
      </c>
      <c r="I46" s="1117">
        <f t="shared" si="16"/>
        <v>44470</v>
      </c>
      <c r="J46" s="1117">
        <f t="shared" si="16"/>
        <v>44440</v>
      </c>
      <c r="K46" s="1117">
        <f t="shared" si="16"/>
        <v>44409</v>
      </c>
      <c r="L46" s="1117">
        <f t="shared" si="16"/>
        <v>44378</v>
      </c>
      <c r="M46" s="1117">
        <f t="shared" si="16"/>
        <v>44348</v>
      </c>
      <c r="N46" s="1117">
        <f t="shared" si="16"/>
        <v>44317</v>
      </c>
      <c r="O46" s="1117">
        <f t="shared" si="16"/>
        <v>44287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44670</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169</v>
      </c>
      <c r="G10" s="1686"/>
      <c r="H10" s="1626">
        <f>ROUND(100/'数据-取费表'!B14,0)</f>
        <v>169</v>
      </c>
      <c r="I10" s="1686"/>
      <c r="J10" s="1626">
        <f>ROUND(100/'数据-取费表'!B14,0)</f>
        <v>169</v>
      </c>
      <c r="K10" s="1898"/>
      <c r="L10" s="2917"/>
      <c r="M10" s="2918"/>
      <c r="N10" s="2918"/>
      <c r="O10" s="2963"/>
      <c r="P10" s="3623"/>
      <c r="Q10" s="1563" t="str">
        <f t="shared" si="6"/>
        <v>土地使用年限（年）</v>
      </c>
      <c r="R10" s="1609" t="s">
        <v>25</v>
      </c>
      <c r="S10" s="1610">
        <f t="shared" si="0"/>
        <v>169</v>
      </c>
      <c r="T10" s="1609" t="s">
        <v>25</v>
      </c>
      <c r="U10" s="1610">
        <f t="shared" si="1"/>
        <v>169</v>
      </c>
      <c r="V10" s="1609" t="s">
        <v>25</v>
      </c>
      <c r="W10" s="1610">
        <f t="shared" si="2"/>
        <v>169</v>
      </c>
      <c r="X10" s="1611"/>
      <c r="Y10" s="3487"/>
      <c r="Z10" s="1622" t="str">
        <f t="shared" si="7"/>
        <v>土地使用年限（年）</v>
      </c>
      <c r="AA10" s="1612">
        <f t="shared" si="3"/>
        <v>0.59171597633136097</v>
      </c>
      <c r="AB10" s="1612">
        <f t="shared" si="4"/>
        <v>0.59171597633136097</v>
      </c>
      <c r="AC10" s="1612">
        <f t="shared" si="5"/>
        <v>0.59171597633136097</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15">
      <c r="A15" s="1591" t="s">
        <v>2030</v>
      </c>
      <c r="B15" s="1901" t="s">
        <v>1464</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15">
      <c r="A17" s="1596"/>
      <c r="B17" s="1905" t="s">
        <v>2116</v>
      </c>
      <c r="C17" s="1906">
        <f>估价对象房地状况!C16</f>
        <v>0</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15">
      <c r="A19" s="1596"/>
      <c r="B19" s="1905" t="s">
        <v>2145</v>
      </c>
      <c r="C19" s="1906">
        <f>估价对象房地状况!C17</f>
        <v>0</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15">
      <c r="A21" s="1596"/>
      <c r="B21" s="1905" t="s">
        <v>2168</v>
      </c>
      <c r="C21" s="1909">
        <f>估价对象房地状况!C18</f>
        <v>0</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27">
      <c r="A25" s="1596"/>
      <c r="B25" s="1910" t="s">
        <v>2209</v>
      </c>
      <c r="C25" s="1906">
        <f>估价对象房地状况!C20</f>
        <v>0</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15">
      <c r="A27" s="1596"/>
      <c r="B27" s="1910" t="s">
        <v>2117</v>
      </c>
      <c r="C27" s="1909">
        <f>估价对象房地状况!C21</f>
        <v>0</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15">
      <c r="A29" s="1916"/>
      <c r="B29" s="1910" t="s">
        <v>2118</v>
      </c>
      <c r="C29" s="1917">
        <f>估价对象房地状况!C22</f>
        <v>0</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2022-4-1</v>
      </c>
      <c r="D67" s="1969">
        <f>EDATE(C67,-3)</f>
        <v>44562</v>
      </c>
      <c r="E67" s="1969">
        <f t="shared" ref="E67:O67" si="18">EDATE(D67,-3)</f>
        <v>44470</v>
      </c>
      <c r="F67" s="1969">
        <f t="shared" si="18"/>
        <v>44378</v>
      </c>
      <c r="G67" s="1969">
        <f t="shared" si="18"/>
        <v>44287</v>
      </c>
      <c r="H67" s="1969">
        <f t="shared" si="18"/>
        <v>44197</v>
      </c>
      <c r="I67" s="1969">
        <f t="shared" si="18"/>
        <v>44105</v>
      </c>
      <c r="J67" s="1969">
        <f t="shared" si="18"/>
        <v>44013</v>
      </c>
      <c r="K67" s="1969">
        <f t="shared" si="18"/>
        <v>43922</v>
      </c>
      <c r="L67" s="1969">
        <f t="shared" si="18"/>
        <v>43831</v>
      </c>
      <c r="M67" s="1969">
        <f t="shared" si="18"/>
        <v>43739</v>
      </c>
      <c r="N67" s="1969">
        <f t="shared" si="18"/>
        <v>43647</v>
      </c>
      <c r="O67" s="1969">
        <f t="shared" si="18"/>
        <v>43556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44670</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169</v>
      </c>
      <c r="G10" s="322"/>
      <c r="H10" s="29">
        <f>ROUND(100/'数据-取费表'!B14,0)</f>
        <v>169</v>
      </c>
      <c r="I10" s="322"/>
      <c r="J10" s="29">
        <f>ROUND(100/'数据-取费表'!B14,0)</f>
        <v>169</v>
      </c>
      <c r="K10" s="553"/>
      <c r="L10" s="2948"/>
      <c r="M10" s="2949"/>
      <c r="N10" s="2949"/>
      <c r="O10" s="2950"/>
      <c r="P10" s="3637"/>
      <c r="Q10" s="1255" t="str">
        <f t="shared" si="6"/>
        <v>土地使用年限（年）</v>
      </c>
      <c r="R10" s="627" t="s">
        <v>25</v>
      </c>
      <c r="S10" s="628">
        <f t="shared" si="0"/>
        <v>169</v>
      </c>
      <c r="T10" s="627" t="s">
        <v>25</v>
      </c>
      <c r="U10" s="628">
        <f t="shared" si="1"/>
        <v>169</v>
      </c>
      <c r="V10" s="627" t="s">
        <v>25</v>
      </c>
      <c r="W10" s="628">
        <f t="shared" si="2"/>
        <v>169</v>
      </c>
      <c r="X10" s="629"/>
      <c r="Y10" s="3667"/>
      <c r="Z10" s="19" t="str">
        <f t="shared" si="7"/>
        <v>土地使用年限（年）</v>
      </c>
      <c r="AA10" s="630">
        <f t="shared" si="3"/>
        <v>0.59171597633136097</v>
      </c>
      <c r="AB10" s="630">
        <f t="shared" si="4"/>
        <v>0.59171597633136097</v>
      </c>
      <c r="AC10" s="630">
        <f t="shared" si="5"/>
        <v>0.59171597633136097</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15">
      <c r="A15" s="329" t="s">
        <v>2030</v>
      </c>
      <c r="B15" s="511" t="s">
        <v>2251</v>
      </c>
      <c r="C15" s="1509">
        <f>估价对象房地状况!G15</f>
        <v>0</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15">
      <c r="A17" s="318"/>
      <c r="B17" s="513" t="s">
        <v>2168</v>
      </c>
      <c r="C17" s="1495">
        <f>估价对象房地状况!G16</f>
        <v>0</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15">
      <c r="A21" s="297"/>
      <c r="B21" s="513" t="s">
        <v>2252</v>
      </c>
      <c r="C21" s="1495">
        <f>估价对象房地状况!G18</f>
        <v>0</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15">
      <c r="A23" s="531"/>
      <c r="B23" s="513" t="s">
        <v>2117</v>
      </c>
      <c r="C23" s="1495">
        <f>估价对象房地状况!G19</f>
        <v>0</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15">
      <c r="A25" s="531"/>
      <c r="B25" s="515" t="s">
        <v>2118</v>
      </c>
      <c r="C25" s="1495">
        <f>估价对象房地状况!G20</f>
        <v>0</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2022-4-1</v>
      </c>
      <c r="D62" s="1111">
        <f>EDATE(C62,-3)</f>
        <v>44562</v>
      </c>
      <c r="E62" s="1111">
        <f t="shared" ref="E62:O62" si="18">EDATE(D62,-3)</f>
        <v>44470</v>
      </c>
      <c r="F62" s="1111">
        <f t="shared" si="18"/>
        <v>44378</v>
      </c>
      <c r="G62" s="1111">
        <f t="shared" si="18"/>
        <v>44287</v>
      </c>
      <c r="H62" s="1111">
        <f t="shared" si="18"/>
        <v>44197</v>
      </c>
      <c r="I62" s="1111">
        <f t="shared" si="18"/>
        <v>44105</v>
      </c>
      <c r="J62" s="1111">
        <f t="shared" si="18"/>
        <v>44013</v>
      </c>
      <c r="K62" s="1111">
        <f t="shared" si="18"/>
        <v>43922</v>
      </c>
      <c r="L62" s="1111">
        <f t="shared" si="18"/>
        <v>43831</v>
      </c>
      <c r="M62" s="1111">
        <f t="shared" si="18"/>
        <v>43739</v>
      </c>
      <c r="N62" s="1111">
        <f t="shared" si="18"/>
        <v>43647</v>
      </c>
      <c r="O62" s="1111">
        <f t="shared" si="18"/>
        <v>43556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估价对象为北京市房地产，为XX所有。根据《》[]，估价对象建筑面积为791.31平方米。根据《》[]，估价对象（分摊）出让国有建设用地使用权面积为平方米。估价对象用途为。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2022年4月19日（评估专业人员实地查勘之日）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本次估价的“房地产价值”是指在正常市场情况下，在价值时点2022年4月19日，估价对象规划用途为，假定未设立法定优先受偿款下的房地产市场价值。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791.31</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2634</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f>ROUND(IF(G3&gt;1,IF(R2&lt;7,SUMPRODUCT((B93:B98=R2)*(C92:N92=G2)*(C93:N98)),SUMIF(C92:N92,G2,C100:N100)),IF(R2&lt;7,SUMPRODUCT((B102:B107=R2)*(C92:N92=G2)*(C102:N107)),SUMIF(C92:N92,G2,C109:N109))),4)</f>
        <v>0</v>
      </c>
      <c r="T2" s="2032">
        <f>ROUND($C$5*$C$18*$C$19*$C$20*S2*$C$24,0)</f>
        <v>0</v>
      </c>
      <c r="U2" s="2043"/>
      <c r="V2" s="2032">
        <f t="shared" ref="V2:V8" si="0">ROUND(T2*U2,0)</f>
        <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2636</v>
      </c>
      <c r="F3" s="1532" t="s">
        <v>2273</v>
      </c>
      <c r="G3" s="2044">
        <f>项目基本情况!C15</f>
        <v>1.5</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f>ROUND(IF(G3&gt;1,IF(R3&lt;7,SUMPRODUCT((B93:B98=R3)*(C92:N92=G2)*(C93:N98)),SUMIF(C92:N92,G2,C100:N100)),IF(R3&lt;7,SUMPRODUCT((B102:B107=R3)*(C92:N92=G2)*(C102:N107)),SUMIF(C92:N92,G2,C109:N109))),4)</f>
        <v>0</v>
      </c>
      <c r="T3" s="2032">
        <f t="shared" ref="T3:T16" si="1">ROUND($C$5*$C$18*$C$19*$C$20*S3*$C$24,0)</f>
        <v>0</v>
      </c>
      <c r="U3" s="2043"/>
      <c r="V3" s="2032">
        <f t="shared" si="0"/>
        <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f>ROUND(IF(G3&gt;1,IF(R4&lt;7,SUMPRODUCT((B93:B98=R4)*(C92:N92=G2)*(C93:N98)),SUMIF(C92:N92,G2,C100:N100)),IF(R4&lt;7,SUMPRODUCT((B102:B107=R4)*(C92:N92=G2)*(C102:N107)),SUMIF(C92:N92,G2,C109:N109))),4)</f>
        <v>0</v>
      </c>
      <c r="T4" s="2032">
        <f t="shared" si="1"/>
        <v>0</v>
      </c>
      <c r="U4" s="2043"/>
      <c r="V4" s="2032">
        <f t="shared" si="0"/>
        <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f>ROUND(IF(G3&gt;1,IF(R5&lt;7,SUMPRODUCT((B93:B98=R5)*(C92:N92=G2)*(C93:N98)),SUMIF(C92:N92,G2,C100:N100)),IF(R5&lt;7,SUMPRODUCT((B102:B107=R5)*(C92:N92=G2)*(C102:N107)),SUMIF(C92:N92,G2,C109:N109))),4)</f>
        <v>0</v>
      </c>
      <c r="T5" s="2032">
        <f t="shared" si="1"/>
        <v>0</v>
      </c>
      <c r="U5" s="2043"/>
      <c r="V5" s="2032">
        <f t="shared" si="0"/>
        <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f>ROUND(IF(G3&gt;1,IF(R6&lt;7,SUMPRODUCT((B93:B98=R6)*(C92:N92=G2)*(C93:N98)),SUMIF(C92:N92,G2,C100:N100)),IF(R6&lt;7,SUMPRODUCT((B102:B107=R6)*(C92:N92=G2)*(C102:N107)),SUMIF(C92:N92,G2,C109:N109))),4)</f>
        <v>0</v>
      </c>
      <c r="T6" s="2032">
        <f t="shared" si="1"/>
        <v>0</v>
      </c>
      <c r="U6" s="2043"/>
      <c r="V6" s="2032">
        <f t="shared" si="0"/>
        <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f>ROUND(IF(G3&gt;1,IF(R7&lt;7,SUMPRODUCT((B93:B98=R7)*(C92:N92=G2)*(C93:N98)),SUMIF(C92:N92,G2,C100:N100)),IF(R7&lt;7,SUMPRODUCT((B102:B107=R7)*(C92:N92=G2)*(C102:N107)),SUMIF(C92:N92,G2,C109:N109))),4)</f>
        <v>0</v>
      </c>
      <c r="T7" s="2032">
        <f t="shared" si="1"/>
        <v>0</v>
      </c>
      <c r="U7" s="2043"/>
      <c r="V7" s="2032">
        <f t="shared" si="0"/>
        <v>0</v>
      </c>
      <c r="W7" s="2064" t="s">
        <v>2287</v>
      </c>
      <c r="X7" s="2065">
        <f>G2</f>
        <v>0</v>
      </c>
      <c r="Y7" s="2065" t="s">
        <v>2288</v>
      </c>
      <c r="Z7" s="2066">
        <f>G3</f>
        <v>1.5</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1.5</v>
      </c>
      <c r="Z11" s="2082">
        <f t="shared" ref="Z11:AJ11" si="4">$G$3</f>
        <v>1.5</v>
      </c>
      <c r="AA11" s="2082">
        <f t="shared" si="4"/>
        <v>1.5</v>
      </c>
      <c r="AB11" s="2082">
        <f t="shared" si="4"/>
        <v>1.5</v>
      </c>
      <c r="AC11" s="2082">
        <f t="shared" si="4"/>
        <v>1.5</v>
      </c>
      <c r="AD11" s="2082">
        <f t="shared" si="4"/>
        <v>1.5</v>
      </c>
      <c r="AE11" s="2082">
        <f t="shared" si="4"/>
        <v>1.5</v>
      </c>
      <c r="AF11" s="2082">
        <f t="shared" si="4"/>
        <v>1.5</v>
      </c>
      <c r="AG11" s="2082">
        <f t="shared" si="4"/>
        <v>1.5</v>
      </c>
      <c r="AH11" s="2082">
        <f t="shared" si="4"/>
        <v>1.5</v>
      </c>
      <c r="AI11" s="2082">
        <f t="shared" si="4"/>
        <v>1.5</v>
      </c>
      <c r="AJ11" s="2082">
        <f t="shared" si="4"/>
        <v>1.5</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f>(-0.163*(Y12^2)-0.59*Y12+7617)*(10^(-4))/Y11</f>
        <v>0.50780000000000003</v>
      </c>
      <c r="Z13" s="2077">
        <f t="shared" ref="Z13:AJ13" si="6">(-0.163*(Z12^2)-0.59*Z12+7617)*(10^(-4))/Z11</f>
        <v>0.50780000000000003</v>
      </c>
      <c r="AA13" s="2077">
        <f t="shared" si="6"/>
        <v>0.50780000000000003</v>
      </c>
      <c r="AB13" s="2077">
        <f t="shared" si="6"/>
        <v>0.50780000000000003</v>
      </c>
      <c r="AC13" s="2077">
        <f t="shared" si="6"/>
        <v>0.50780000000000003</v>
      </c>
      <c r="AD13" s="2077">
        <f t="shared" si="6"/>
        <v>0.50780000000000003</v>
      </c>
      <c r="AE13" s="2077">
        <f t="shared" si="6"/>
        <v>0.50780000000000003</v>
      </c>
      <c r="AF13" s="2077">
        <f t="shared" si="6"/>
        <v>0.50780000000000003</v>
      </c>
      <c r="AG13" s="2077">
        <f t="shared" si="6"/>
        <v>0.50780000000000003</v>
      </c>
      <c r="AH13" s="2077">
        <f t="shared" si="6"/>
        <v>0.50780000000000003</v>
      </c>
      <c r="AI13" s="2077">
        <f t="shared" si="6"/>
        <v>0.50780000000000003</v>
      </c>
      <c r="AJ13" s="2077">
        <f t="shared" si="6"/>
        <v>0.50780000000000003</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2637</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44670</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0.52329999999999999</v>
      </c>
      <c r="D20" s="2130" t="s">
        <v>2354</v>
      </c>
      <c r="E20" s="3072">
        <f>存贷款利率!E20/100</f>
        <v>4.3499999999999997E-2</v>
      </c>
      <c r="F20" s="2130" t="s">
        <v>2343</v>
      </c>
      <c r="G20" s="3073">
        <f>SUMIF(M26:P26,E2,M28:P28)</f>
        <v>0.05</v>
      </c>
      <c r="H20" s="2130" t="s">
        <v>2355</v>
      </c>
      <c r="I20" s="2131">
        <f>'数据-取费表'!B13</f>
        <v>14.46</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1.5</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1.5</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f>ROUND(IF(G3&gt;1,IF(I3&lt;7,SUMPRODUCT((B93:B98=I3)*(C92:N92=G2)*(C93:N98)),SUMIF(C92:N92,G2,C100:N100)),IF(I3&lt;7,SUMPRODUCT((B102:B107=I3)*(C92:N92=G2)*(C102:N107)),SUMIF(C92:N92,G2,C109:N109))),4)</f>
        <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791.31</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24.75">
      <c r="A48" s="2206" t="s">
        <v>2414</v>
      </c>
      <c r="B48" s="2210">
        <f>估价对象房地状况!C16</f>
        <v>0</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14.25">
      <c r="A49" s="2206" t="s">
        <v>2415</v>
      </c>
      <c r="B49" s="2218">
        <f>估价对象房地状况!C18</f>
        <v>0</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4">
      <c r="A54" s="2222" t="s">
        <v>2422</v>
      </c>
      <c r="B54" s="2223">
        <f>估价对象房地状况!C21</f>
        <v>0</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4">
      <c r="A55" s="2222" t="s">
        <v>2423</v>
      </c>
      <c r="B55" s="2218">
        <f>估价对象房地状况!C22</f>
        <v>0</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24.75" thickBot="1">
      <c r="A56" s="2224" t="s">
        <v>2424</v>
      </c>
      <c r="B56" s="2225">
        <f>估价对象房地状况!C20</f>
        <v>0</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24">
      <c r="A59" s="2206" t="s">
        <v>2429</v>
      </c>
      <c r="B59" s="2210">
        <f>估价对象房地状况!C17</f>
        <v>0</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14.25">
      <c r="A60" s="2206" t="s">
        <v>2415</v>
      </c>
      <c r="B60" s="2218">
        <f>估价对象房地状况!C18</f>
        <v>0</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4">
      <c r="A65" s="2206" t="s">
        <v>2422</v>
      </c>
      <c r="B65" s="2223">
        <f>估价对象房地状况!C21</f>
        <v>0</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4">
      <c r="A66" s="2206" t="s">
        <v>2423</v>
      </c>
      <c r="B66" s="2223">
        <f>估价对象房地状况!C22</f>
        <v>0</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24.75" thickBot="1">
      <c r="A67" s="2224" t="s">
        <v>2424</v>
      </c>
      <c r="B67" s="2229">
        <f>估价对象房地状况!C20</f>
        <v>0</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24">
      <c r="A70" s="2206" t="s">
        <v>2431</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14.25">
      <c r="A71" s="2206" t="s">
        <v>2415</v>
      </c>
      <c r="B71" s="2218">
        <f>估价对象房地状况!C18</f>
        <v>0</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4">
      <c r="A74" s="2206" t="s">
        <v>2422</v>
      </c>
      <c r="B74" s="2223">
        <f>估价对象房地状况!C21</f>
        <v>0</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4">
      <c r="A75" s="2206" t="s">
        <v>2423</v>
      </c>
      <c r="B75" s="2223">
        <f>估价对象房地状况!C22</f>
        <v>0</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24">
      <c r="A77" s="2206" t="s">
        <v>2424</v>
      </c>
      <c r="B77" s="2210">
        <f>估价对象房地状况!C20</f>
        <v>0</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24">
      <c r="A81" s="2206" t="s">
        <v>2435</v>
      </c>
      <c r="B81" s="2218">
        <f>估价对象房地状况!G15</f>
        <v>0</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14.25">
      <c r="A82" s="2206" t="s">
        <v>2415</v>
      </c>
      <c r="B82" s="2218">
        <f>估价对象房地状况!G16</f>
        <v>0</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4">
      <c r="A85" s="2206" t="s">
        <v>2422</v>
      </c>
      <c r="B85" s="2223">
        <f>估价对象房地状况!G19</f>
        <v>0</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4">
      <c r="A86" s="2206" t="s">
        <v>2423</v>
      </c>
      <c r="B86" s="2223">
        <f>估价对象房地状况!G20</f>
        <v>0</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15" thickBot="1">
      <c r="A88" s="2224" t="s">
        <v>2436</v>
      </c>
      <c r="B88" s="2231">
        <f>估价对象房地状况!G18</f>
        <v>0</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1.5</v>
      </c>
      <c r="D101" s="2242">
        <f t="shared" ref="D101:N101" si="32">$G$3</f>
        <v>1.5</v>
      </c>
      <c r="E101" s="2242">
        <f t="shared" si="32"/>
        <v>1.5</v>
      </c>
      <c r="F101" s="2242">
        <f t="shared" si="32"/>
        <v>1.5</v>
      </c>
      <c r="G101" s="2242">
        <f t="shared" si="32"/>
        <v>1.5</v>
      </c>
      <c r="H101" s="2242">
        <f t="shared" si="32"/>
        <v>1.5</v>
      </c>
      <c r="I101" s="2242">
        <f t="shared" si="32"/>
        <v>1.5</v>
      </c>
      <c r="J101" s="2242">
        <f t="shared" si="32"/>
        <v>1.5</v>
      </c>
      <c r="K101" s="2242">
        <f t="shared" si="32"/>
        <v>1.5</v>
      </c>
      <c r="L101" s="2242">
        <f t="shared" si="32"/>
        <v>1.5</v>
      </c>
      <c r="M101" s="2242">
        <f t="shared" si="32"/>
        <v>1.5</v>
      </c>
      <c r="N101" s="2242">
        <f t="shared" si="32"/>
        <v>1.5</v>
      </c>
      <c r="Q101" s="2976"/>
      <c r="R101" s="2976"/>
      <c r="S101" s="2976"/>
      <c r="T101" s="2976"/>
      <c r="U101" s="2976"/>
      <c r="V101" s="2976"/>
      <c r="W101" s="2976"/>
    </row>
    <row r="102" spans="1:23">
      <c r="A102" s="3685"/>
      <c r="B102" s="2237">
        <v>1</v>
      </c>
      <c r="C102" s="2238">
        <f>1.9362/C101</f>
        <v>1.2907999999999999</v>
      </c>
      <c r="D102" s="2238">
        <f>1.9362/D101</f>
        <v>1.2907999999999999</v>
      </c>
      <c r="E102" s="2238">
        <f>1.8629/E101</f>
        <v>1.2419333333333333</v>
      </c>
      <c r="F102" s="2238">
        <f>1.8629/F101</f>
        <v>1.2419333333333333</v>
      </c>
      <c r="G102" s="2238">
        <f>1.8629/G101</f>
        <v>1.2419333333333333</v>
      </c>
      <c r="H102" s="2238">
        <f>1.8629/H101</f>
        <v>1.2419333333333333</v>
      </c>
      <c r="I102" s="2238">
        <f>1.8629/I101</f>
        <v>1.2419333333333333</v>
      </c>
      <c r="J102" s="2238">
        <f>1.942/J101</f>
        <v>1.2946666666666666</v>
      </c>
      <c r="K102" s="2238">
        <f>1.942/K101</f>
        <v>1.2946666666666666</v>
      </c>
      <c r="L102" s="2238">
        <f>1.942/L101</f>
        <v>1.2946666666666666</v>
      </c>
      <c r="M102" s="2238">
        <f>1.942/M101</f>
        <v>1.2946666666666666</v>
      </c>
      <c r="N102" s="2238">
        <f>1.942/N101</f>
        <v>1.2946666666666666</v>
      </c>
      <c r="Q102" s="2976"/>
      <c r="R102" s="2976"/>
      <c r="S102" s="2976"/>
      <c r="T102" s="2976"/>
      <c r="U102" s="2976"/>
      <c r="V102" s="2976"/>
      <c r="W102" s="2976"/>
    </row>
    <row r="103" spans="1:23">
      <c r="A103" s="3685"/>
      <c r="B103" s="2237">
        <v>2</v>
      </c>
      <c r="C103" s="2238">
        <f>1.4198/C101</f>
        <v>0.94653333333333334</v>
      </c>
      <c r="D103" s="2238">
        <f>1.4198/D101</f>
        <v>0.94653333333333334</v>
      </c>
      <c r="E103" s="2238">
        <f>1.3372/E101</f>
        <v>0.89146666666666663</v>
      </c>
      <c r="F103" s="2238">
        <f>1.3372/F101</f>
        <v>0.89146666666666663</v>
      </c>
      <c r="G103" s="2238">
        <f>1.3372/G101</f>
        <v>0.89146666666666663</v>
      </c>
      <c r="H103" s="2238">
        <f>1.3372/H101</f>
        <v>0.89146666666666663</v>
      </c>
      <c r="I103" s="2238">
        <f>1.3372/I101</f>
        <v>0.89146666666666663</v>
      </c>
      <c r="J103" s="2238">
        <f>1.2799/J101</f>
        <v>0.85326666666666673</v>
      </c>
      <c r="K103" s="2238">
        <f>1.2799/K101</f>
        <v>0.85326666666666673</v>
      </c>
      <c r="L103" s="2238">
        <f>1.2799/L101</f>
        <v>0.85326666666666673</v>
      </c>
      <c r="M103" s="2238">
        <f>1.2799/M101</f>
        <v>0.85326666666666673</v>
      </c>
      <c r="N103" s="2238">
        <f>1.2799/N101</f>
        <v>0.85326666666666673</v>
      </c>
      <c r="Q103" s="2976"/>
      <c r="R103" s="2976"/>
      <c r="S103" s="2976"/>
      <c r="T103" s="2976"/>
      <c r="U103" s="2976"/>
      <c r="V103" s="2976"/>
      <c r="W103" s="2976"/>
    </row>
    <row r="104" spans="1:23">
      <c r="A104" s="3685"/>
      <c r="B104" s="2237">
        <v>3</v>
      </c>
      <c r="C104" s="2238">
        <f>1.1594/C101</f>
        <v>0.77293333333333336</v>
      </c>
      <c r="D104" s="2238">
        <f>1.1594/D101</f>
        <v>0.77293333333333336</v>
      </c>
      <c r="E104" s="2238">
        <f>1.0788/E101</f>
        <v>0.71919999999999995</v>
      </c>
      <c r="F104" s="2238">
        <f>1.0788/F101</f>
        <v>0.71919999999999995</v>
      </c>
      <c r="G104" s="2238">
        <f>1.0788/G101</f>
        <v>0.71919999999999995</v>
      </c>
      <c r="H104" s="2238">
        <f>1.0788/H101</f>
        <v>0.71919999999999995</v>
      </c>
      <c r="I104" s="2238">
        <f>1.0788/I101</f>
        <v>0.71919999999999995</v>
      </c>
      <c r="J104" s="2238">
        <f>1.0072/J101</f>
        <v>0.67146666666666677</v>
      </c>
      <c r="K104" s="2238">
        <f>1.0072/K101</f>
        <v>0.67146666666666677</v>
      </c>
      <c r="L104" s="2238">
        <f>1.0072/L101</f>
        <v>0.67146666666666677</v>
      </c>
      <c r="M104" s="2238">
        <f>1.0072/M101</f>
        <v>0.67146666666666677</v>
      </c>
      <c r="N104" s="2238">
        <f>1.0072/N101</f>
        <v>0.67146666666666677</v>
      </c>
      <c r="Q104" s="2976"/>
      <c r="R104" s="2976"/>
      <c r="S104" s="2976"/>
      <c r="T104" s="2976"/>
      <c r="U104" s="2976"/>
      <c r="V104" s="2976"/>
      <c r="W104" s="2976"/>
    </row>
    <row r="105" spans="1:23">
      <c r="A105" s="3685"/>
      <c r="B105" s="2237">
        <v>4</v>
      </c>
      <c r="C105" s="2238">
        <f>0.9622/C101</f>
        <v>0.64146666666666674</v>
      </c>
      <c r="D105" s="2238">
        <f>0.9622/D101</f>
        <v>0.64146666666666674</v>
      </c>
      <c r="E105" s="2238">
        <f>0.8656/E101</f>
        <v>0.57706666666666673</v>
      </c>
      <c r="F105" s="2238">
        <f>0.8656/F101</f>
        <v>0.57706666666666673</v>
      </c>
      <c r="G105" s="2238">
        <f>0.8656/G101</f>
        <v>0.57706666666666673</v>
      </c>
      <c r="H105" s="2238">
        <f>0.8656/H101</f>
        <v>0.57706666666666673</v>
      </c>
      <c r="I105" s="2238">
        <f>0.8656/I101</f>
        <v>0.57706666666666673</v>
      </c>
      <c r="J105" s="2238">
        <f>0.7525/J101</f>
        <v>0.50166666666666659</v>
      </c>
      <c r="K105" s="2238">
        <f>0.7525/K101</f>
        <v>0.50166666666666659</v>
      </c>
      <c r="L105" s="2238">
        <f>0.7525/L101</f>
        <v>0.50166666666666659</v>
      </c>
      <c r="M105" s="2238">
        <f>0.7525/M101</f>
        <v>0.50166666666666659</v>
      </c>
      <c r="N105" s="2238">
        <f>0.7525/N101</f>
        <v>0.50166666666666659</v>
      </c>
      <c r="Q105" s="2976"/>
      <c r="R105" s="2976"/>
      <c r="S105" s="2976"/>
      <c r="T105" s="2976"/>
      <c r="U105" s="2976"/>
      <c r="V105" s="2976"/>
      <c r="W105" s="2976"/>
    </row>
    <row r="106" spans="1:23">
      <c r="A106" s="3685"/>
      <c r="B106" s="2237">
        <v>5</v>
      </c>
      <c r="C106" s="2238">
        <f>0.8417/C101</f>
        <v>0.56113333333333337</v>
      </c>
      <c r="D106" s="2238">
        <f>0.8417/D101</f>
        <v>0.56113333333333337</v>
      </c>
      <c r="E106" s="2238">
        <f>0.7371/E101</f>
        <v>0.4914</v>
      </c>
      <c r="F106" s="2238">
        <f>0.7371/F101</f>
        <v>0.4914</v>
      </c>
      <c r="G106" s="2238">
        <f>0.7371/G101</f>
        <v>0.4914</v>
      </c>
      <c r="H106" s="2238">
        <f>0.7371/H101</f>
        <v>0.4914</v>
      </c>
      <c r="I106" s="2238">
        <f>0.7371/I101</f>
        <v>0.4914</v>
      </c>
      <c r="J106" s="2238">
        <f>0.5659/J101</f>
        <v>0.37726666666666664</v>
      </c>
      <c r="K106" s="2238">
        <f>0.5659/K101</f>
        <v>0.37726666666666664</v>
      </c>
      <c r="L106" s="2238">
        <f>0.5659/L101</f>
        <v>0.37726666666666664</v>
      </c>
      <c r="M106" s="2238">
        <f>0.5659/M101</f>
        <v>0.37726666666666664</v>
      </c>
      <c r="N106" s="2238">
        <f>0.5659/N101</f>
        <v>0.37726666666666664</v>
      </c>
      <c r="Q106" s="2976"/>
      <c r="R106" s="2976"/>
      <c r="S106" s="2976"/>
      <c r="T106" s="2976"/>
      <c r="U106" s="2976"/>
      <c r="V106" s="2976"/>
      <c r="W106" s="2976"/>
    </row>
    <row r="107" spans="1:23">
      <c r="A107" s="3685"/>
      <c r="B107" s="2237">
        <v>6</v>
      </c>
      <c r="C107" s="2238">
        <f>0.7608/C101</f>
        <v>0.50719999999999998</v>
      </c>
      <c r="D107" s="2238">
        <f>0.7608/D101</f>
        <v>0.50719999999999998</v>
      </c>
      <c r="E107" s="2238">
        <f>0.6482/E101</f>
        <v>0.43213333333333331</v>
      </c>
      <c r="F107" s="2238">
        <f>0.6482/F101</f>
        <v>0.43213333333333331</v>
      </c>
      <c r="G107" s="2238">
        <f>0.6482/G101</f>
        <v>0.43213333333333331</v>
      </c>
      <c r="H107" s="2238">
        <f>0.6482/H101</f>
        <v>0.43213333333333331</v>
      </c>
      <c r="I107" s="2238">
        <f>0.6482/I101</f>
        <v>0.43213333333333331</v>
      </c>
      <c r="J107" s="2238">
        <f>0.4525/J101</f>
        <v>0.30166666666666669</v>
      </c>
      <c r="K107" s="2238">
        <f>0.4525/K101</f>
        <v>0.30166666666666669</v>
      </c>
      <c r="L107" s="2238">
        <f>0.4525/L101</f>
        <v>0.30166666666666669</v>
      </c>
      <c r="M107" s="2238">
        <f>0.4525/M101</f>
        <v>0.30166666666666669</v>
      </c>
      <c r="N107" s="2238">
        <f>0.4525/N101</f>
        <v>0.30166666666666669</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f>(-0.163*(C108^2)-0.59*C108+7617)*(10^(-4))/C101</f>
        <v>0.50780000000000003</v>
      </c>
      <c r="D109" s="2240">
        <f>(-0.163*(D108^2)-0.59*D108+7617)*(10^(-4))/D101</f>
        <v>0.50780000000000003</v>
      </c>
      <c r="E109" s="2240">
        <f>(-0.161*(E108^2)-7.509*E108+6533)*(10^(-4))/E101</f>
        <v>0.43553333333333333</v>
      </c>
      <c r="F109" s="2240">
        <f>(-0.161*(F108^2)-7.509*F108+6533)*(10^(-4))/F101</f>
        <v>0.43553333333333333</v>
      </c>
      <c r="G109" s="2240">
        <f>(-0.161*(G108^2)-7.509*G108+6533)*(10^(-4))/G101</f>
        <v>0.43553333333333333</v>
      </c>
      <c r="H109" s="2240">
        <f>(-0.161*(H108^2)-7.509*H108+6533)*(10^(-4))/H101</f>
        <v>0.43553333333333333</v>
      </c>
      <c r="I109" s="2240">
        <f>(-0.161*(I108^2)-7.509*I108+6533)*(10^(-4))/I101</f>
        <v>0.43553333333333333</v>
      </c>
      <c r="J109" s="2240">
        <f>(-0.214*(J108^2)-21.991*J108+4665)*(10^(-4))/J101</f>
        <v>0.311</v>
      </c>
      <c r="K109" s="2240">
        <f>(-0.214*(K108^2)-21.991*K108+4665)*(10^(-4))/K101</f>
        <v>0.311</v>
      </c>
      <c r="L109" s="2240">
        <f>(-0.214*(L108^2)-21.991*L108+4665)*(10^(-4))/L101</f>
        <v>0.311</v>
      </c>
      <c r="M109" s="2240">
        <f>(-0.214*(M108^2)-21.991*M108+4665)*(10^(-4))/M101</f>
        <v>0.311</v>
      </c>
      <c r="N109" s="2240">
        <f>(-0.214*(N108^2)-21.991*N108+4665)*(10^(-4))/N101</f>
        <v>0.311</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1.5</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0.9194</v>
      </c>
      <c r="C115" s="2256">
        <f>B115</f>
        <v>0.9194</v>
      </c>
      <c r="D115" s="2256">
        <f>ROUND(0.8331-0.0109*B113,4)</f>
        <v>0.81679999999999997</v>
      </c>
      <c r="E115" s="2256">
        <f>D115</f>
        <v>0.81679999999999997</v>
      </c>
      <c r="F115" s="2256">
        <f>E115</f>
        <v>0.81679999999999997</v>
      </c>
      <c r="G115" s="2256">
        <f>F115</f>
        <v>0.81679999999999997</v>
      </c>
      <c r="H115" s="2256">
        <f>G115</f>
        <v>0.81679999999999997</v>
      </c>
      <c r="I115" s="2256">
        <f>ROUND(0.689-0.0155*B113,4)</f>
        <v>0.66579999999999995</v>
      </c>
      <c r="J115" s="2256">
        <f t="shared" ref="J115:M118" si="34">I115</f>
        <v>0.66579999999999995</v>
      </c>
      <c r="K115" s="2256">
        <f t="shared" si="34"/>
        <v>0.66579999999999995</v>
      </c>
      <c r="L115" s="2256">
        <f t="shared" si="34"/>
        <v>0.66579999999999995</v>
      </c>
      <c r="M115" s="2257">
        <f t="shared" si="34"/>
        <v>0.66579999999999995</v>
      </c>
    </row>
    <row r="116" spans="1:13">
      <c r="A116" s="2255" t="s">
        <v>2335</v>
      </c>
      <c r="B116" s="2256">
        <f>ROUND(0.949-0.012*B113,4)</f>
        <v>0.93100000000000005</v>
      </c>
      <c r="C116" s="2256">
        <f>B116</f>
        <v>0.93100000000000005</v>
      </c>
      <c r="D116" s="2256">
        <f>ROUND(0.8567-0.013*B113,4)</f>
        <v>0.83720000000000006</v>
      </c>
      <c r="E116" s="2256">
        <f t="shared" ref="E116:H117" si="35">D116</f>
        <v>0.83720000000000006</v>
      </c>
      <c r="F116" s="2256">
        <f t="shared" si="35"/>
        <v>0.83720000000000006</v>
      </c>
      <c r="G116" s="2256">
        <f t="shared" si="35"/>
        <v>0.83720000000000006</v>
      </c>
      <c r="H116" s="2256">
        <f t="shared" si="35"/>
        <v>0.83720000000000006</v>
      </c>
      <c r="I116" s="2256">
        <f>ROUND(0.7694-0.014*B113,4)</f>
        <v>0.74839999999999995</v>
      </c>
      <c r="J116" s="2256">
        <f t="shared" si="34"/>
        <v>0.74839999999999995</v>
      </c>
      <c r="K116" s="2256">
        <f t="shared" si="34"/>
        <v>0.74839999999999995</v>
      </c>
      <c r="L116" s="2256">
        <f t="shared" si="34"/>
        <v>0.74839999999999995</v>
      </c>
      <c r="M116" s="2257">
        <f t="shared" si="34"/>
        <v>0.74839999999999995</v>
      </c>
    </row>
    <row r="117" spans="1:13">
      <c r="A117" s="2255" t="s">
        <v>2336</v>
      </c>
      <c r="B117" s="2256">
        <f>ROUND(0.8808-0.006*B113,4)</f>
        <v>0.87180000000000002</v>
      </c>
      <c r="C117" s="2256">
        <f>B117</f>
        <v>0.87180000000000002</v>
      </c>
      <c r="D117" s="2256">
        <f>ROUND(0.8748-0.008*B113,4)</f>
        <v>0.86280000000000001</v>
      </c>
      <c r="E117" s="2256">
        <f t="shared" si="35"/>
        <v>0.86280000000000001</v>
      </c>
      <c r="F117" s="2256">
        <f t="shared" si="35"/>
        <v>0.86280000000000001</v>
      </c>
      <c r="G117" s="2256">
        <f t="shared" si="35"/>
        <v>0.86280000000000001</v>
      </c>
      <c r="H117" s="2256">
        <f t="shared" si="35"/>
        <v>0.86280000000000001</v>
      </c>
      <c r="I117" s="2256">
        <f>ROUND(0.7412-0.0095*B113,4)</f>
        <v>0.72699999999999998</v>
      </c>
      <c r="J117" s="2256">
        <f t="shared" si="34"/>
        <v>0.72699999999999998</v>
      </c>
      <c r="K117" s="2256">
        <f t="shared" si="34"/>
        <v>0.72699999999999998</v>
      </c>
      <c r="L117" s="2256">
        <f t="shared" si="34"/>
        <v>0.72699999999999998</v>
      </c>
      <c r="M117" s="2257">
        <f t="shared" si="34"/>
        <v>0.72699999999999998</v>
      </c>
    </row>
    <row r="118" spans="1:13" ht="13.5" thickBot="1">
      <c r="A118" s="2258" t="s">
        <v>2337</v>
      </c>
      <c r="B118" s="2259">
        <f>ROUND(0.7275-0.01*B113,4)</f>
        <v>0.71250000000000002</v>
      </c>
      <c r="C118" s="2259">
        <f>B118</f>
        <v>0.71250000000000002</v>
      </c>
      <c r="D118" s="2259">
        <f>ROUND(0.7043-0.012*B113,4)</f>
        <v>0.68630000000000002</v>
      </c>
      <c r="E118" s="2259">
        <f>D118</f>
        <v>0.68630000000000002</v>
      </c>
      <c r="F118" s="2259">
        <f>E118</f>
        <v>0.68630000000000002</v>
      </c>
      <c r="G118" s="2259">
        <f>ROUND(0.6299-0.0122*B113,4)</f>
        <v>0.61160000000000003</v>
      </c>
      <c r="H118" s="2259">
        <f>G118</f>
        <v>0.61160000000000003</v>
      </c>
      <c r="I118" s="2259">
        <f>ROUND(0.5667-0.0136*B113,4)</f>
        <v>0.54630000000000001</v>
      </c>
      <c r="J118" s="2259">
        <f t="shared" si="34"/>
        <v>0.54630000000000001</v>
      </c>
      <c r="K118" s="2259">
        <f t="shared" si="34"/>
        <v>0.54630000000000001</v>
      </c>
      <c r="L118" s="2259">
        <f t="shared" si="34"/>
        <v>0.54630000000000001</v>
      </c>
      <c r="M118" s="2260">
        <f t="shared" si="34"/>
        <v>0.54630000000000001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25">
      <c r="A5" s="680" t="s">
        <v>535</v>
      </c>
      <c r="B5" s="691">
        <f>估价对象房地状况!C6</f>
        <v>0</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f>估价对象房地状况!C7</f>
        <v>0</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f>估价对象房地状况!C9</f>
        <v>0</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25">
      <c r="A16" s="680" t="s">
        <v>535</v>
      </c>
      <c r="B16" s="681">
        <f>估价对象房地状况!C6</f>
        <v>0</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f>估价对象房地状况!C7</f>
        <v>0</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f>估价对象房地状况!C9</f>
        <v>0</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25">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25">
      <c r="A27" s="680" t="s">
        <v>535</v>
      </c>
      <c r="B27" s="681">
        <f>估价对象房地状况!C6</f>
        <v>0</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f>估价对象房地状况!C7</f>
        <v>0</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f>估价对象房地状况!C9</f>
        <v>0</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14.25">
      <c r="A37" s="680" t="s">
        <v>547</v>
      </c>
      <c r="B37" s="681">
        <f>估价对象房地状况!G3</f>
        <v>0</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14.25">
      <c r="A38" s="680" t="s">
        <v>535</v>
      </c>
      <c r="B38" s="681">
        <f>估价对象房地状况!G4</f>
        <v>0</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f>估价对象房地状况!G19</f>
        <v>0</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15" thickBot="1">
      <c r="A44" s="694" t="s">
        <v>548</v>
      </c>
      <c r="B44" s="701">
        <f>估价对象房地状况!G18</f>
        <v>0</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2794</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2795</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2796</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2797</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2798</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2799</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2800</v>
      </c>
      <c r="B19" s="3289" t="s">
        <v>2801</v>
      </c>
      <c r="C19" s="3316" t="s">
        <v>561</v>
      </c>
      <c r="D19" s="3288"/>
      <c r="E19" s="3284" t="s">
        <v>3018</v>
      </c>
      <c r="F19" s="3317"/>
      <c r="G19" s="3317"/>
    </row>
    <row r="20" spans="1:13" ht="19.5" customHeight="1">
      <c r="A20" s="3712" t="s">
        <v>2794</v>
      </c>
      <c r="B20" s="3715" t="s">
        <v>2802</v>
      </c>
      <c r="C20" s="3290" t="s">
        <v>2803</v>
      </c>
      <c r="D20" s="3291"/>
      <c r="E20" s="3292">
        <v>1</v>
      </c>
      <c r="F20" s="3293" t="s">
        <v>2804</v>
      </c>
      <c r="G20" s="3293"/>
    </row>
    <row r="21" spans="1:13" ht="19.5" customHeight="1">
      <c r="A21" s="3713"/>
      <c r="B21" s="3711"/>
      <c r="C21" s="740" t="s">
        <v>2805</v>
      </c>
      <c r="D21" s="741"/>
      <c r="E21" s="3294">
        <v>1</v>
      </c>
      <c r="F21" s="3293" t="s">
        <v>2806</v>
      </c>
      <c r="G21" s="3293"/>
    </row>
    <row r="22" spans="1:13" ht="19.5" customHeight="1">
      <c r="A22" s="3713"/>
      <c r="B22" s="3711"/>
      <c r="C22" s="740" t="s">
        <v>2807</v>
      </c>
      <c r="D22" s="741"/>
      <c r="E22" s="3294">
        <v>0.9</v>
      </c>
      <c r="F22" s="3293" t="s">
        <v>2808</v>
      </c>
      <c r="G22" s="3293"/>
    </row>
    <row r="23" spans="1:13" ht="19.5" customHeight="1">
      <c r="A23" s="3713"/>
      <c r="B23" s="3711"/>
      <c r="C23" s="740" t="s">
        <v>2809</v>
      </c>
      <c r="D23" s="741"/>
      <c r="E23" s="3294">
        <v>0.9</v>
      </c>
      <c r="F23" s="3293" t="s">
        <v>2810</v>
      </c>
      <c r="G23" s="3293"/>
    </row>
    <row r="24" spans="1:13" ht="19.5" customHeight="1">
      <c r="A24" s="3713"/>
      <c r="B24" s="3711"/>
      <c r="C24" s="740" t="s">
        <v>2811</v>
      </c>
      <c r="D24" s="741"/>
      <c r="E24" s="3294">
        <v>0.8</v>
      </c>
      <c r="F24" s="3293" t="s">
        <v>2812</v>
      </c>
      <c r="G24" s="3293"/>
    </row>
    <row r="25" spans="1:13" ht="19.5" customHeight="1" thickBot="1">
      <c r="A25" s="3714"/>
      <c r="B25" s="3716"/>
      <c r="C25" s="3295" t="s">
        <v>2813</v>
      </c>
      <c r="D25" s="3296"/>
      <c r="E25" s="3297">
        <v>0.8</v>
      </c>
      <c r="F25" s="3293" t="s">
        <v>2814</v>
      </c>
      <c r="G25" s="3293"/>
    </row>
    <row r="26" spans="1:13" ht="19.5" customHeight="1" thickBot="1">
      <c r="A26" s="3298" t="s">
        <v>2795</v>
      </c>
      <c r="B26" s="3299" t="s">
        <v>2802</v>
      </c>
      <c r="C26" s="3300" t="s">
        <v>2815</v>
      </c>
      <c r="D26" s="3301"/>
      <c r="E26" s="3302">
        <v>1</v>
      </c>
      <c r="F26" s="3293" t="s">
        <v>2856</v>
      </c>
      <c r="G26" s="3293"/>
    </row>
    <row r="27" spans="1:13" ht="19.5" customHeight="1">
      <c r="A27" s="3717" t="s">
        <v>2799</v>
      </c>
      <c r="B27" s="3715" t="s">
        <v>2799</v>
      </c>
      <c r="C27" s="3290" t="s">
        <v>2816</v>
      </c>
      <c r="D27" s="3291"/>
      <c r="E27" s="3292">
        <v>1</v>
      </c>
      <c r="F27" s="3293" t="s">
        <v>2857</v>
      </c>
      <c r="G27" s="3293"/>
    </row>
    <row r="28" spans="1:13" ht="19.5" customHeight="1">
      <c r="A28" s="3718"/>
      <c r="B28" s="3711"/>
      <c r="C28" s="740" t="s">
        <v>2817</v>
      </c>
      <c r="D28" s="741"/>
      <c r="E28" s="3294">
        <v>1</v>
      </c>
      <c r="F28" s="3293" t="s">
        <v>2858</v>
      </c>
      <c r="G28" s="3293"/>
    </row>
    <row r="29" spans="1:13" ht="19.5" customHeight="1">
      <c r="A29" s="3718"/>
      <c r="B29" s="3711"/>
      <c r="C29" s="740" t="s">
        <v>2818</v>
      </c>
      <c r="D29" s="741"/>
      <c r="E29" s="3294">
        <v>0.8</v>
      </c>
      <c r="F29" s="3293" t="s">
        <v>2859</v>
      </c>
      <c r="G29" s="3293"/>
    </row>
    <row r="30" spans="1:13" ht="19.5" customHeight="1">
      <c r="A30" s="3718"/>
      <c r="B30" s="3711"/>
      <c r="C30" s="740" t="s">
        <v>2819</v>
      </c>
      <c r="D30" s="741"/>
      <c r="E30" s="3294">
        <v>0.8</v>
      </c>
      <c r="F30" s="3293" t="s">
        <v>2860</v>
      </c>
      <c r="G30" s="3293"/>
    </row>
    <row r="31" spans="1:13" ht="19.5" customHeight="1">
      <c r="A31" s="3718"/>
      <c r="B31" s="3711"/>
      <c r="C31" s="740" t="s">
        <v>2820</v>
      </c>
      <c r="D31" s="741"/>
      <c r="E31" s="3294">
        <v>0.8</v>
      </c>
      <c r="F31" s="3293" t="s">
        <v>2861</v>
      </c>
      <c r="G31" s="3293"/>
    </row>
    <row r="32" spans="1:13" ht="19.5" customHeight="1">
      <c r="A32" s="3718"/>
      <c r="B32" s="3711"/>
      <c r="C32" s="740" t="s">
        <v>2821</v>
      </c>
      <c r="D32" s="741"/>
      <c r="E32" s="3294">
        <v>0.7</v>
      </c>
      <c r="F32" s="3293" t="s">
        <v>2862</v>
      </c>
      <c r="G32" s="3293"/>
    </row>
    <row r="33" spans="1:7" ht="19.5" customHeight="1">
      <c r="A33" s="3718"/>
      <c r="B33" s="3711"/>
      <c r="C33" s="740" t="s">
        <v>2822</v>
      </c>
      <c r="D33" s="741"/>
      <c r="E33" s="3294">
        <v>0.8</v>
      </c>
      <c r="F33" s="3293" t="s">
        <v>2863</v>
      </c>
      <c r="G33" s="3293"/>
    </row>
    <row r="34" spans="1:7" ht="19.5" customHeight="1">
      <c r="A34" s="3718"/>
      <c r="B34" s="3711"/>
      <c r="C34" s="740" t="s">
        <v>2823</v>
      </c>
      <c r="D34" s="741"/>
      <c r="E34" s="3294">
        <v>0.6</v>
      </c>
      <c r="F34" s="3293" t="s">
        <v>2864</v>
      </c>
      <c r="G34" s="3293"/>
    </row>
    <row r="35" spans="1:7" ht="19.5" customHeight="1">
      <c r="A35" s="3718"/>
      <c r="B35" s="3711"/>
      <c r="C35" s="740" t="s">
        <v>2824</v>
      </c>
      <c r="D35" s="741"/>
      <c r="E35" s="3294">
        <v>0.2</v>
      </c>
      <c r="F35" s="3293" t="s">
        <v>2865</v>
      </c>
      <c r="G35" s="3293"/>
    </row>
    <row r="36" spans="1:7" ht="19.5" customHeight="1">
      <c r="A36" s="3718"/>
      <c r="B36" s="3711"/>
      <c r="C36" s="740" t="s">
        <v>2825</v>
      </c>
      <c r="D36" s="741"/>
      <c r="E36" s="3294">
        <v>0.2</v>
      </c>
      <c r="F36" s="3293" t="s">
        <v>2866</v>
      </c>
      <c r="G36" s="3293"/>
    </row>
    <row r="37" spans="1:7" ht="19.5" customHeight="1">
      <c r="A37" s="3718"/>
      <c r="B37" s="3709" t="s">
        <v>2826</v>
      </c>
      <c r="C37" s="740" t="s">
        <v>2827</v>
      </c>
      <c r="D37" s="741"/>
      <c r="E37" s="3294">
        <v>0.6</v>
      </c>
      <c r="F37" s="3293" t="s">
        <v>2867</v>
      </c>
      <c r="G37" s="3293"/>
    </row>
    <row r="38" spans="1:7" ht="19.5" customHeight="1">
      <c r="A38" s="3718"/>
      <c r="B38" s="3711"/>
      <c r="C38" s="740" t="s">
        <v>2828</v>
      </c>
      <c r="D38" s="741"/>
      <c r="E38" s="3294">
        <v>0.6</v>
      </c>
      <c r="F38" s="3293" t="s">
        <v>2868</v>
      </c>
      <c r="G38" s="3293"/>
    </row>
    <row r="39" spans="1:7" ht="19.5" customHeight="1" thickBot="1">
      <c r="A39" s="3719"/>
      <c r="B39" s="3716"/>
      <c r="C39" s="3295" t="s">
        <v>2829</v>
      </c>
      <c r="D39" s="3296"/>
      <c r="E39" s="3297">
        <v>0.6</v>
      </c>
      <c r="F39" s="3293" t="s">
        <v>2869</v>
      </c>
      <c r="G39" s="3293"/>
    </row>
    <row r="40" spans="1:7" ht="19.5" customHeight="1" thickBot="1">
      <c r="A40" s="3298" t="s">
        <v>2830</v>
      </c>
      <c r="B40" s="3299" t="s">
        <v>2830</v>
      </c>
      <c r="C40" s="3300" t="s">
        <v>2831</v>
      </c>
      <c r="D40" s="3301"/>
      <c r="E40" s="3302">
        <v>1</v>
      </c>
      <c r="F40" s="3293" t="s">
        <v>2870</v>
      </c>
      <c r="G40" s="3293"/>
    </row>
    <row r="41" spans="1:7" ht="19.5" customHeight="1">
      <c r="A41" s="3712" t="s">
        <v>2832</v>
      </c>
      <c r="B41" s="3715" t="s">
        <v>2833</v>
      </c>
      <c r="C41" s="3290" t="s">
        <v>2834</v>
      </c>
      <c r="D41" s="3291"/>
      <c r="E41" s="3292">
        <v>1</v>
      </c>
      <c r="F41" s="3293" t="s">
        <v>2835</v>
      </c>
      <c r="G41" s="3293"/>
    </row>
    <row r="42" spans="1:7" ht="19.5" customHeight="1">
      <c r="A42" s="3713"/>
      <c r="B42" s="3711"/>
      <c r="C42" s="740" t="s">
        <v>2836</v>
      </c>
      <c r="D42" s="741"/>
      <c r="E42" s="3294">
        <v>1</v>
      </c>
      <c r="F42" s="3293" t="s">
        <v>2837</v>
      </c>
      <c r="G42" s="3293"/>
    </row>
    <row r="43" spans="1:7" ht="19.5" customHeight="1">
      <c r="A43" s="3713"/>
      <c r="B43" s="3710"/>
      <c r="C43" s="740" t="s">
        <v>2838</v>
      </c>
      <c r="D43" s="741"/>
      <c r="E43" s="3294">
        <v>1.5</v>
      </c>
      <c r="F43" s="3293" t="s">
        <v>2839</v>
      </c>
      <c r="G43" s="3293"/>
    </row>
    <row r="44" spans="1:7" ht="19.5" customHeight="1">
      <c r="A44" s="3713"/>
      <c r="B44" s="3303" t="s">
        <v>2799</v>
      </c>
      <c r="C44" s="740" t="s">
        <v>2798</v>
      </c>
      <c r="D44" s="741"/>
      <c r="E44" s="3294">
        <v>2</v>
      </c>
      <c r="F44" s="3293" t="s">
        <v>2840</v>
      </c>
      <c r="G44" s="3293"/>
    </row>
    <row r="45" spans="1:7" ht="19.5" customHeight="1">
      <c r="A45" s="3713"/>
      <c r="B45" s="3709" t="s">
        <v>2841</v>
      </c>
      <c r="C45" s="740" t="s">
        <v>2842</v>
      </c>
      <c r="D45" s="741"/>
      <c r="E45" s="3294">
        <v>1</v>
      </c>
      <c r="F45" s="3293" t="s">
        <v>2843</v>
      </c>
      <c r="G45" s="3293"/>
    </row>
    <row r="46" spans="1:7" ht="19.5" customHeight="1">
      <c r="A46" s="3713"/>
      <c r="B46" s="3711"/>
      <c r="C46" s="740" t="s">
        <v>2844</v>
      </c>
      <c r="D46" s="741"/>
      <c r="E46" s="3294">
        <v>1</v>
      </c>
      <c r="F46" s="3293" t="s">
        <v>2845</v>
      </c>
      <c r="G46" s="3293"/>
    </row>
    <row r="47" spans="1:7" ht="19.5" customHeight="1">
      <c r="A47" s="3713"/>
      <c r="B47" s="3711"/>
      <c r="C47" s="740" t="s">
        <v>2846</v>
      </c>
      <c r="D47" s="741"/>
      <c r="E47" s="3294">
        <v>1</v>
      </c>
      <c r="F47" s="3293" t="s">
        <v>2847</v>
      </c>
      <c r="G47" s="3293"/>
    </row>
    <row r="48" spans="1:7" ht="19.5" customHeight="1">
      <c r="A48" s="3713"/>
      <c r="B48" s="3711"/>
      <c r="C48" s="740" t="s">
        <v>2848</v>
      </c>
      <c r="D48" s="741"/>
      <c r="E48" s="3294">
        <v>1</v>
      </c>
      <c r="F48" s="3293" t="s">
        <v>2849</v>
      </c>
      <c r="G48" s="3293"/>
    </row>
    <row r="49" spans="1:7" ht="19.5" customHeight="1">
      <c r="A49" s="3713"/>
      <c r="B49" s="3711"/>
      <c r="C49" s="740" t="s">
        <v>2850</v>
      </c>
      <c r="D49" s="741"/>
      <c r="E49" s="3294">
        <v>1</v>
      </c>
      <c r="F49" s="3293" t="s">
        <v>2851</v>
      </c>
      <c r="G49" s="3293"/>
    </row>
    <row r="50" spans="1:7" ht="19.5" customHeight="1">
      <c r="A50" s="3713"/>
      <c r="B50" s="3711"/>
      <c r="C50" s="740" t="s">
        <v>2852</v>
      </c>
      <c r="D50" s="741"/>
      <c r="E50" s="3294">
        <v>1</v>
      </c>
      <c r="F50" s="3293" t="s">
        <v>2853</v>
      </c>
      <c r="G50" s="3293"/>
    </row>
    <row r="51" spans="1:7" ht="19.5" customHeight="1" thickBot="1">
      <c r="A51" s="3714"/>
      <c r="B51" s="3716"/>
      <c r="C51" s="3295" t="s">
        <v>2854</v>
      </c>
      <c r="D51" s="3296"/>
      <c r="E51" s="3297">
        <v>1</v>
      </c>
      <c r="F51" s="3293" t="s">
        <v>2855</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2871</v>
      </c>
      <c r="D72" s="3303"/>
      <c r="E72" s="3309" t="s">
        <v>1</v>
      </c>
      <c r="F72" s="3303" t="s">
        <v>1</v>
      </c>
    </row>
    <row r="73" spans="1:7" ht="13.5">
      <c r="A73" s="3303">
        <v>1</v>
      </c>
      <c r="B73" s="3709" t="s">
        <v>2872</v>
      </c>
      <c r="C73" s="3284" t="s">
        <v>2873</v>
      </c>
      <c r="D73" s="3284" t="s">
        <v>2874</v>
      </c>
      <c r="E73" s="3309">
        <v>0.2</v>
      </c>
      <c r="F73" s="3303">
        <v>25</v>
      </c>
    </row>
    <row r="74" spans="1:7" ht="24">
      <c r="A74" s="3303">
        <v>2</v>
      </c>
      <c r="B74" s="3711"/>
      <c r="C74" s="3284" t="s">
        <v>2875</v>
      </c>
      <c r="D74" s="3284" t="s">
        <v>2876</v>
      </c>
      <c r="E74" s="3309">
        <v>0.2</v>
      </c>
      <c r="F74" s="3303">
        <v>25</v>
      </c>
    </row>
    <row r="75" spans="1:7" ht="24">
      <c r="A75" s="3303">
        <v>3</v>
      </c>
      <c r="B75" s="3711"/>
      <c r="C75" s="3284" t="s">
        <v>2877</v>
      </c>
      <c r="D75" s="3284" t="s">
        <v>2878</v>
      </c>
      <c r="E75" s="3309">
        <v>0.2</v>
      </c>
      <c r="F75" s="3303">
        <v>25</v>
      </c>
    </row>
    <row r="76" spans="1:7" ht="13.5">
      <c r="A76" s="3303">
        <v>4</v>
      </c>
      <c r="B76" s="3711"/>
      <c r="C76" s="3284" t="s">
        <v>2879</v>
      </c>
      <c r="D76" s="3284" t="s">
        <v>2880</v>
      </c>
      <c r="E76" s="3309">
        <v>0.15</v>
      </c>
      <c r="F76" s="3303">
        <v>20</v>
      </c>
    </row>
    <row r="77" spans="1:7" ht="24">
      <c r="A77" s="3303">
        <v>5</v>
      </c>
      <c r="B77" s="3711"/>
      <c r="C77" s="3284" t="s">
        <v>2881</v>
      </c>
      <c r="D77" s="3284" t="s">
        <v>2882</v>
      </c>
      <c r="E77" s="3309">
        <v>0.15</v>
      </c>
      <c r="F77" s="3303">
        <v>20</v>
      </c>
    </row>
    <row r="78" spans="1:7" ht="24">
      <c r="A78" s="3303">
        <v>6</v>
      </c>
      <c r="B78" s="3711"/>
      <c r="C78" s="3284" t="s">
        <v>2883</v>
      </c>
      <c r="D78" s="3284" t="s">
        <v>2884</v>
      </c>
      <c r="E78" s="3309">
        <v>0.15</v>
      </c>
      <c r="F78" s="3303">
        <v>20</v>
      </c>
    </row>
    <row r="79" spans="1:7" ht="24">
      <c r="A79" s="3303">
        <v>7</v>
      </c>
      <c r="B79" s="3711"/>
      <c r="C79" s="3284" t="s">
        <v>2885</v>
      </c>
      <c r="D79" s="3284" t="s">
        <v>2886</v>
      </c>
      <c r="E79" s="3309">
        <v>0.15</v>
      </c>
      <c r="F79" s="3303">
        <v>20</v>
      </c>
    </row>
    <row r="80" spans="1:7" ht="24">
      <c r="A80" s="3303">
        <v>8</v>
      </c>
      <c r="B80" s="3711"/>
      <c r="C80" s="3284" t="s">
        <v>2887</v>
      </c>
      <c r="D80" s="3284" t="s">
        <v>2888</v>
      </c>
      <c r="E80" s="3309">
        <v>0.1</v>
      </c>
      <c r="F80" s="3303">
        <v>15</v>
      </c>
    </row>
    <row r="81" spans="1:6" ht="24">
      <c r="A81" s="3303">
        <v>9</v>
      </c>
      <c r="B81" s="3711"/>
      <c r="C81" s="3284" t="s">
        <v>2889</v>
      </c>
      <c r="D81" s="3284" t="s">
        <v>2890</v>
      </c>
      <c r="E81" s="3309">
        <v>0.1</v>
      </c>
      <c r="F81" s="3303">
        <v>15</v>
      </c>
    </row>
    <row r="82" spans="1:6" ht="24">
      <c r="A82" s="3303">
        <v>10</v>
      </c>
      <c r="B82" s="3711"/>
      <c r="C82" s="3284" t="s">
        <v>2891</v>
      </c>
      <c r="D82" s="3284" t="s">
        <v>2892</v>
      </c>
      <c r="E82" s="3309">
        <v>0.1</v>
      </c>
      <c r="F82" s="3303">
        <v>15</v>
      </c>
    </row>
    <row r="83" spans="1:6" ht="24">
      <c r="A83" s="3303">
        <v>11</v>
      </c>
      <c r="B83" s="3711"/>
      <c r="C83" s="3284" t="s">
        <v>2893</v>
      </c>
      <c r="D83" s="3284" t="s">
        <v>2894</v>
      </c>
      <c r="E83" s="3309">
        <v>0.1</v>
      </c>
      <c r="F83" s="3303">
        <v>15</v>
      </c>
    </row>
    <row r="84" spans="1:6" ht="24">
      <c r="A84" s="3303">
        <v>12</v>
      </c>
      <c r="B84" s="3711"/>
      <c r="C84" s="3284" t="s">
        <v>2895</v>
      </c>
      <c r="D84" s="3284" t="s">
        <v>2896</v>
      </c>
      <c r="E84" s="3309">
        <v>0.1</v>
      </c>
      <c r="F84" s="3303">
        <v>15</v>
      </c>
    </row>
    <row r="85" spans="1:6" ht="13.5">
      <c r="A85" s="3303">
        <v>13</v>
      </c>
      <c r="B85" s="3711"/>
      <c r="C85" s="3284" t="s">
        <v>2897</v>
      </c>
      <c r="D85" s="3284" t="s">
        <v>2898</v>
      </c>
      <c r="E85" s="3309">
        <v>0.1</v>
      </c>
      <c r="F85" s="3303">
        <v>15</v>
      </c>
    </row>
    <row r="86" spans="1:6" ht="13.5">
      <c r="A86" s="3303">
        <v>14</v>
      </c>
      <c r="B86" s="3711"/>
      <c r="C86" s="3284" t="s">
        <v>2899</v>
      </c>
      <c r="D86" s="3284" t="s">
        <v>2900</v>
      </c>
      <c r="E86" s="3309">
        <v>0.1</v>
      </c>
      <c r="F86" s="3303">
        <v>15</v>
      </c>
    </row>
    <row r="87" spans="1:6" ht="13.5">
      <c r="A87" s="3303">
        <v>15</v>
      </c>
      <c r="B87" s="3711"/>
      <c r="C87" s="3284" t="s">
        <v>2901</v>
      </c>
      <c r="D87" s="3284" t="s">
        <v>2902</v>
      </c>
      <c r="E87" s="3309">
        <v>0.1</v>
      </c>
      <c r="F87" s="3303">
        <v>15</v>
      </c>
    </row>
    <row r="88" spans="1:6" ht="24">
      <c r="A88" s="3303">
        <v>16</v>
      </c>
      <c r="B88" s="3711"/>
      <c r="C88" s="3284" t="s">
        <v>2903</v>
      </c>
      <c r="D88" s="3284" t="s">
        <v>2904</v>
      </c>
      <c r="E88" s="3309">
        <v>0.1</v>
      </c>
      <c r="F88" s="3303">
        <v>15</v>
      </c>
    </row>
    <row r="89" spans="1:6" ht="24">
      <c r="A89" s="3303">
        <v>17</v>
      </c>
      <c r="B89" s="3710"/>
      <c r="C89" s="3284" t="s">
        <v>2905</v>
      </c>
      <c r="D89" s="3284" t="s">
        <v>2906</v>
      </c>
      <c r="E89" s="3309">
        <v>0.1</v>
      </c>
      <c r="F89" s="3303">
        <v>15</v>
      </c>
    </row>
    <row r="90" spans="1:6" ht="13.5">
      <c r="A90" s="3303">
        <v>18</v>
      </c>
      <c r="B90" s="3709" t="s">
        <v>2907</v>
      </c>
      <c r="C90" s="3284" t="s">
        <v>2908</v>
      </c>
      <c r="D90" s="3284" t="s">
        <v>2909</v>
      </c>
      <c r="E90" s="3309">
        <v>0.2</v>
      </c>
      <c r="F90" s="3303">
        <v>25</v>
      </c>
    </row>
    <row r="91" spans="1:6" ht="24">
      <c r="A91" s="3303">
        <v>19</v>
      </c>
      <c r="B91" s="3711"/>
      <c r="C91" s="3284" t="s">
        <v>2910</v>
      </c>
      <c r="D91" s="3284" t="s">
        <v>2911</v>
      </c>
      <c r="E91" s="3309">
        <v>0.2</v>
      </c>
      <c r="F91" s="3303">
        <v>25</v>
      </c>
    </row>
    <row r="92" spans="1:6" ht="13.5">
      <c r="A92" s="3303">
        <v>20</v>
      </c>
      <c r="B92" s="3711"/>
      <c r="C92" s="3284" t="s">
        <v>2912</v>
      </c>
      <c r="D92" s="3284" t="s">
        <v>2913</v>
      </c>
      <c r="E92" s="3309">
        <v>0.15</v>
      </c>
      <c r="F92" s="3303">
        <v>20</v>
      </c>
    </row>
    <row r="93" spans="1:6" ht="24">
      <c r="A93" s="3303">
        <v>21</v>
      </c>
      <c r="B93" s="3711"/>
      <c r="C93" s="3284" t="s">
        <v>2914</v>
      </c>
      <c r="D93" s="3284" t="s">
        <v>2915</v>
      </c>
      <c r="E93" s="3309">
        <v>0.15</v>
      </c>
      <c r="F93" s="3303">
        <v>20</v>
      </c>
    </row>
    <row r="94" spans="1:6" ht="24">
      <c r="A94" s="3303">
        <v>22</v>
      </c>
      <c r="B94" s="3711"/>
      <c r="C94" s="3284" t="s">
        <v>2916</v>
      </c>
      <c r="D94" s="3284" t="s">
        <v>2917</v>
      </c>
      <c r="E94" s="3309">
        <v>0.15</v>
      </c>
      <c r="F94" s="3303">
        <v>20</v>
      </c>
    </row>
    <row r="95" spans="1:6" ht="36">
      <c r="A95" s="3303">
        <v>23</v>
      </c>
      <c r="B95" s="3711"/>
      <c r="C95" s="3284" t="s">
        <v>2918</v>
      </c>
      <c r="D95" s="3284" t="s">
        <v>2919</v>
      </c>
      <c r="E95" s="3309">
        <v>0.15</v>
      </c>
      <c r="F95" s="3303">
        <v>20</v>
      </c>
    </row>
    <row r="96" spans="1:6" ht="13.5">
      <c r="A96" s="3303">
        <v>24</v>
      </c>
      <c r="B96" s="3711"/>
      <c r="C96" s="3284" t="s">
        <v>2920</v>
      </c>
      <c r="D96" s="3284" t="s">
        <v>2921</v>
      </c>
      <c r="E96" s="3309">
        <v>0.1</v>
      </c>
      <c r="F96" s="3303">
        <v>15</v>
      </c>
    </row>
    <row r="97" spans="1:6" ht="24">
      <c r="A97" s="3303">
        <v>25</v>
      </c>
      <c r="B97" s="3711"/>
      <c r="C97" s="3284" t="s">
        <v>2922</v>
      </c>
      <c r="D97" s="3284" t="s">
        <v>2923</v>
      </c>
      <c r="E97" s="3309">
        <v>0.1</v>
      </c>
      <c r="F97" s="3303">
        <v>15</v>
      </c>
    </row>
    <row r="98" spans="1:6" ht="24">
      <c r="A98" s="3303">
        <v>26</v>
      </c>
      <c r="B98" s="3711"/>
      <c r="C98" s="3284" t="s">
        <v>2924</v>
      </c>
      <c r="D98" s="3284" t="s">
        <v>2925</v>
      </c>
      <c r="E98" s="3309">
        <v>0.1</v>
      </c>
      <c r="F98" s="3303">
        <v>15</v>
      </c>
    </row>
    <row r="99" spans="1:6" ht="24">
      <c r="A99" s="3303">
        <v>27</v>
      </c>
      <c r="B99" s="3711"/>
      <c r="C99" s="3284" t="s">
        <v>2926</v>
      </c>
      <c r="D99" s="3284" t="s">
        <v>2927</v>
      </c>
      <c r="E99" s="3309">
        <v>0.1</v>
      </c>
      <c r="F99" s="3303">
        <v>15</v>
      </c>
    </row>
    <row r="100" spans="1:6" ht="24">
      <c r="A100" s="3303">
        <v>28</v>
      </c>
      <c r="B100" s="3711"/>
      <c r="C100" s="3284" t="s">
        <v>2928</v>
      </c>
      <c r="D100" s="3284" t="s">
        <v>2929</v>
      </c>
      <c r="E100" s="3309">
        <v>0.1</v>
      </c>
      <c r="F100" s="3303">
        <v>15</v>
      </c>
    </row>
    <row r="101" spans="1:6" ht="24">
      <c r="A101" s="3303">
        <v>29</v>
      </c>
      <c r="B101" s="3711"/>
      <c r="C101" s="3284" t="s">
        <v>2930</v>
      </c>
      <c r="D101" s="3284" t="s">
        <v>2931</v>
      </c>
      <c r="E101" s="3309">
        <v>0.1</v>
      </c>
      <c r="F101" s="3303">
        <v>15</v>
      </c>
    </row>
    <row r="102" spans="1:6" ht="24">
      <c r="A102" s="3303">
        <v>30</v>
      </c>
      <c r="B102" s="3711"/>
      <c r="C102" s="3284" t="s">
        <v>2932</v>
      </c>
      <c r="D102" s="3284" t="s">
        <v>2933</v>
      </c>
      <c r="E102" s="3309">
        <v>0.1</v>
      </c>
      <c r="F102" s="3303">
        <v>15</v>
      </c>
    </row>
    <row r="103" spans="1:6" ht="24">
      <c r="A103" s="3303">
        <v>31</v>
      </c>
      <c r="B103" s="3711"/>
      <c r="C103" s="3284" t="s">
        <v>2934</v>
      </c>
      <c r="D103" s="3284" t="s">
        <v>2935</v>
      </c>
      <c r="E103" s="3309">
        <v>0.1</v>
      </c>
      <c r="F103" s="3303">
        <v>15</v>
      </c>
    </row>
    <row r="104" spans="1:6" ht="24">
      <c r="A104" s="3303">
        <v>32</v>
      </c>
      <c r="B104" s="3711"/>
      <c r="C104" s="3284" t="s">
        <v>2936</v>
      </c>
      <c r="D104" s="3284" t="s">
        <v>2937</v>
      </c>
      <c r="E104" s="3309">
        <v>0.1</v>
      </c>
      <c r="F104" s="3303">
        <v>15</v>
      </c>
    </row>
    <row r="105" spans="1:6" ht="24">
      <c r="A105" s="3303">
        <v>33</v>
      </c>
      <c r="B105" s="3711"/>
      <c r="C105" s="3284" t="s">
        <v>2938</v>
      </c>
      <c r="D105" s="3284" t="s">
        <v>2939</v>
      </c>
      <c r="E105" s="3309">
        <v>0.1</v>
      </c>
      <c r="F105" s="3303">
        <v>15</v>
      </c>
    </row>
    <row r="106" spans="1:6" ht="24">
      <c r="A106" s="3303">
        <v>34</v>
      </c>
      <c r="B106" s="3710"/>
      <c r="C106" s="3284" t="s">
        <v>2940</v>
      </c>
      <c r="D106" s="3284" t="s">
        <v>2941</v>
      </c>
      <c r="E106" s="3309">
        <v>0.1</v>
      </c>
      <c r="F106" s="3303">
        <v>15</v>
      </c>
    </row>
    <row r="107" spans="1:6" ht="24">
      <c r="A107" s="3303">
        <v>35</v>
      </c>
      <c r="B107" s="3709" t="s">
        <v>2942</v>
      </c>
      <c r="C107" s="3303" t="s">
        <v>2943</v>
      </c>
      <c r="D107" s="3284" t="s">
        <v>2944</v>
      </c>
      <c r="E107" s="3309">
        <v>0.15</v>
      </c>
      <c r="F107" s="3303">
        <v>20</v>
      </c>
    </row>
    <row r="108" spans="1:6" ht="24">
      <c r="A108" s="3303">
        <v>36</v>
      </c>
      <c r="B108" s="3711"/>
      <c r="C108" s="3303" t="s">
        <v>2945</v>
      </c>
      <c r="D108" s="3284" t="s">
        <v>2946</v>
      </c>
      <c r="E108" s="3309">
        <v>0.15</v>
      </c>
      <c r="F108" s="3303">
        <v>20</v>
      </c>
    </row>
    <row r="109" spans="1:6" ht="24">
      <c r="A109" s="3303">
        <v>37</v>
      </c>
      <c r="B109" s="3711"/>
      <c r="C109" s="3303" t="s">
        <v>2947</v>
      </c>
      <c r="D109" s="3284" t="s">
        <v>2948</v>
      </c>
      <c r="E109" s="3309">
        <v>0.15</v>
      </c>
      <c r="F109" s="3303">
        <v>20</v>
      </c>
    </row>
    <row r="110" spans="1:6" ht="13.5">
      <c r="A110" s="3303">
        <v>38</v>
      </c>
      <c r="B110" s="3711"/>
      <c r="C110" s="3303" t="s">
        <v>2949</v>
      </c>
      <c r="D110" s="3284" t="s">
        <v>2950</v>
      </c>
      <c r="E110" s="3309">
        <v>0.1</v>
      </c>
      <c r="F110" s="3303">
        <v>15</v>
      </c>
    </row>
    <row r="111" spans="1:6" ht="24">
      <c r="A111" s="3303">
        <v>39</v>
      </c>
      <c r="B111" s="3711"/>
      <c r="C111" s="3303" t="s">
        <v>2951</v>
      </c>
      <c r="D111" s="3284" t="s">
        <v>2952</v>
      </c>
      <c r="E111" s="3309">
        <v>0.1</v>
      </c>
      <c r="F111" s="3303">
        <v>15</v>
      </c>
    </row>
    <row r="112" spans="1:6" ht="24">
      <c r="A112" s="3303">
        <v>40</v>
      </c>
      <c r="B112" s="3710"/>
      <c r="C112" s="3303" t="s">
        <v>2953</v>
      </c>
      <c r="D112" s="3284" t="s">
        <v>2954</v>
      </c>
      <c r="E112" s="3309">
        <v>0.1</v>
      </c>
      <c r="F112" s="3303">
        <v>15</v>
      </c>
    </row>
    <row r="113" spans="1:6" ht="24">
      <c r="A113" s="3303">
        <v>41</v>
      </c>
      <c r="B113" s="3708" t="s">
        <v>2955</v>
      </c>
      <c r="C113" s="3303" t="s">
        <v>2956</v>
      </c>
      <c r="D113" s="3284" t="s">
        <v>2957</v>
      </c>
      <c r="E113" s="3309">
        <v>0.1</v>
      </c>
      <c r="F113" s="3303">
        <v>15</v>
      </c>
    </row>
    <row r="114" spans="1:6" ht="13.5">
      <c r="A114" s="3303">
        <v>42</v>
      </c>
      <c r="B114" s="3708"/>
      <c r="C114" s="3303" t="s">
        <v>2958</v>
      </c>
      <c r="D114" s="3284" t="s">
        <v>2959</v>
      </c>
      <c r="E114" s="3309">
        <v>0.1</v>
      </c>
      <c r="F114" s="3303">
        <v>15</v>
      </c>
    </row>
    <row r="115" spans="1:6" ht="24">
      <c r="A115" s="3303">
        <v>43</v>
      </c>
      <c r="B115" s="3708"/>
      <c r="C115" s="3303" t="s">
        <v>2960</v>
      </c>
      <c r="D115" s="3284" t="s">
        <v>2961</v>
      </c>
      <c r="E115" s="3309">
        <v>0.1</v>
      </c>
      <c r="F115" s="3303">
        <v>15</v>
      </c>
    </row>
    <row r="116" spans="1:6" ht="24">
      <c r="A116" s="3303">
        <v>44</v>
      </c>
      <c r="B116" s="3709" t="s">
        <v>2962</v>
      </c>
      <c r="C116" s="3303" t="s">
        <v>2963</v>
      </c>
      <c r="D116" s="3284" t="s">
        <v>2964</v>
      </c>
      <c r="E116" s="3309">
        <v>0.1</v>
      </c>
      <c r="F116" s="3303">
        <v>15</v>
      </c>
    </row>
    <row r="117" spans="1:6" ht="24">
      <c r="A117" s="3303">
        <v>45</v>
      </c>
      <c r="B117" s="3710"/>
      <c r="C117" s="3284" t="s">
        <v>2965</v>
      </c>
      <c r="D117" s="3284" t="s">
        <v>2966</v>
      </c>
      <c r="E117" s="3309">
        <v>0.1</v>
      </c>
      <c r="F117" s="3303">
        <v>15</v>
      </c>
    </row>
    <row r="118" spans="1:6" ht="24">
      <c r="A118" s="3303">
        <v>46</v>
      </c>
      <c r="B118" s="3709" t="s">
        <v>2967</v>
      </c>
      <c r="C118" s="3303" t="s">
        <v>2968</v>
      </c>
      <c r="D118" s="3284" t="s">
        <v>2969</v>
      </c>
      <c r="E118" s="3309">
        <v>0.1</v>
      </c>
      <c r="F118" s="3303">
        <v>15</v>
      </c>
    </row>
    <row r="119" spans="1:6" ht="24">
      <c r="A119" s="3303">
        <v>47</v>
      </c>
      <c r="B119" s="3710"/>
      <c r="C119" s="3303" t="s">
        <v>2970</v>
      </c>
      <c r="D119" s="3284" t="s">
        <v>2971</v>
      </c>
      <c r="E119" s="3309">
        <v>0.1</v>
      </c>
      <c r="F119" s="3303">
        <v>15</v>
      </c>
    </row>
    <row r="120" spans="1:6" ht="24">
      <c r="A120" s="3303">
        <v>48</v>
      </c>
      <c r="B120" s="3709" t="s">
        <v>2972</v>
      </c>
      <c r="C120" s="3303" t="s">
        <v>2973</v>
      </c>
      <c r="D120" s="3284" t="s">
        <v>2974</v>
      </c>
      <c r="E120" s="3309">
        <v>0.1</v>
      </c>
      <c r="F120" s="3303">
        <v>15</v>
      </c>
    </row>
    <row r="121" spans="1:6" ht="13.5">
      <c r="A121" s="3303">
        <v>49</v>
      </c>
      <c r="B121" s="3710"/>
      <c r="C121" s="3303" t="s">
        <v>2975</v>
      </c>
      <c r="D121" s="3284" t="s">
        <v>2976</v>
      </c>
      <c r="E121" s="3309">
        <v>0.1</v>
      </c>
      <c r="F121" s="3303">
        <v>15</v>
      </c>
    </row>
    <row r="122" spans="1:6" ht="24">
      <c r="A122" s="3303">
        <v>50</v>
      </c>
      <c r="B122" s="3708" t="s">
        <v>2977</v>
      </c>
      <c r="C122" s="3303" t="s">
        <v>2978</v>
      </c>
      <c r="D122" s="3284" t="s">
        <v>2979</v>
      </c>
      <c r="E122" s="3309">
        <v>0.1</v>
      </c>
      <c r="F122" s="3303">
        <v>15</v>
      </c>
    </row>
    <row r="123" spans="1:6" ht="24">
      <c r="A123" s="3303">
        <v>51</v>
      </c>
      <c r="B123" s="3708"/>
      <c r="C123" s="3303" t="s">
        <v>2980</v>
      </c>
      <c r="D123" s="3284" t="s">
        <v>2981</v>
      </c>
      <c r="E123" s="3309">
        <v>0.1</v>
      </c>
      <c r="F123" s="3303">
        <v>15</v>
      </c>
    </row>
    <row r="124" spans="1:6" ht="24">
      <c r="A124" s="3303">
        <v>52</v>
      </c>
      <c r="B124" s="3708" t="s">
        <v>2982</v>
      </c>
      <c r="C124" s="3303" t="s">
        <v>2983</v>
      </c>
      <c r="D124" s="3284" t="s">
        <v>2984</v>
      </c>
      <c r="E124" s="3309">
        <v>0.1</v>
      </c>
      <c r="F124" s="3303">
        <v>15</v>
      </c>
    </row>
    <row r="125" spans="1:6" ht="24">
      <c r="A125" s="3303">
        <v>53</v>
      </c>
      <c r="B125" s="3708"/>
      <c r="C125" s="3303" t="s">
        <v>2985</v>
      </c>
      <c r="D125" s="3284" t="s">
        <v>2986</v>
      </c>
      <c r="E125" s="3309">
        <v>0.1</v>
      </c>
      <c r="F125" s="3303">
        <v>15</v>
      </c>
    </row>
    <row r="126" spans="1:6" ht="24">
      <c r="A126" s="3303">
        <v>54</v>
      </c>
      <c r="B126" s="3303" t="s">
        <v>2987</v>
      </c>
      <c r="C126" s="3303" t="s">
        <v>2988</v>
      </c>
      <c r="D126" s="3284" t="s">
        <v>2989</v>
      </c>
      <c r="E126" s="3309">
        <v>0.1</v>
      </c>
      <c r="F126" s="3303">
        <v>15</v>
      </c>
    </row>
    <row r="127" spans="1:6" ht="13.5">
      <c r="A127" s="3303">
        <v>55</v>
      </c>
      <c r="B127" s="3708" t="s">
        <v>2990</v>
      </c>
      <c r="C127" s="3303" t="s">
        <v>2991</v>
      </c>
      <c r="D127" s="3284" t="s">
        <v>2992</v>
      </c>
      <c r="E127" s="3309">
        <v>0.1</v>
      </c>
      <c r="F127" s="3303">
        <v>15</v>
      </c>
    </row>
    <row r="128" spans="1:6" ht="13.5">
      <c r="A128" s="3303">
        <v>56</v>
      </c>
      <c r="B128" s="3708"/>
      <c r="C128" s="3303" t="s">
        <v>2993</v>
      </c>
      <c r="D128" s="3284" t="s">
        <v>2994</v>
      </c>
      <c r="E128" s="3309">
        <v>0.1</v>
      </c>
      <c r="F128" s="3303">
        <v>15</v>
      </c>
    </row>
    <row r="129" spans="1:6" ht="24">
      <c r="A129" s="3303">
        <v>57</v>
      </c>
      <c r="B129" s="3708"/>
      <c r="C129" s="3303" t="s">
        <v>2995</v>
      </c>
      <c r="D129" s="3284" t="s">
        <v>2996</v>
      </c>
      <c r="E129" s="3309">
        <v>0.1</v>
      </c>
      <c r="F129" s="3303">
        <v>15</v>
      </c>
    </row>
    <row r="130" spans="1:6" ht="24">
      <c r="A130" s="3303">
        <v>58</v>
      </c>
      <c r="B130" s="3708" t="s">
        <v>2997</v>
      </c>
      <c r="C130" s="3303" t="s">
        <v>2998</v>
      </c>
      <c r="D130" s="3284" t="s">
        <v>2999</v>
      </c>
      <c r="E130" s="3309">
        <v>0.1</v>
      </c>
      <c r="F130" s="3303">
        <v>15</v>
      </c>
    </row>
    <row r="131" spans="1:6" ht="24">
      <c r="A131" s="3303">
        <v>59</v>
      </c>
      <c r="B131" s="3708"/>
      <c r="C131" s="3303" t="s">
        <v>3000</v>
      </c>
      <c r="D131" s="3284" t="s">
        <v>3001</v>
      </c>
      <c r="E131" s="3309">
        <v>0.1</v>
      </c>
      <c r="F131" s="3303">
        <v>15</v>
      </c>
    </row>
    <row r="132" spans="1:6" ht="24">
      <c r="A132" s="3303">
        <v>60</v>
      </c>
      <c r="B132" s="3709" t="s">
        <v>3002</v>
      </c>
      <c r="C132" s="3303" t="s">
        <v>3003</v>
      </c>
      <c r="D132" s="3284" t="s">
        <v>3004</v>
      </c>
      <c r="E132" s="3309">
        <v>0.1</v>
      </c>
      <c r="F132" s="3303">
        <v>15</v>
      </c>
    </row>
    <row r="133" spans="1:6" ht="24">
      <c r="A133" s="3303">
        <v>61</v>
      </c>
      <c r="B133" s="3710"/>
      <c r="C133" s="3303" t="s">
        <v>3005</v>
      </c>
      <c r="D133" s="3284" t="s">
        <v>3006</v>
      </c>
      <c r="E133" s="3309">
        <v>0.1</v>
      </c>
      <c r="F133" s="3303">
        <v>15</v>
      </c>
    </row>
    <row r="134" spans="1:6" ht="24">
      <c r="A134" s="3303">
        <v>62</v>
      </c>
      <c r="B134" s="3303" t="s">
        <v>3007</v>
      </c>
      <c r="C134" s="3303" t="s">
        <v>3008</v>
      </c>
      <c r="D134" s="3284" t="s">
        <v>3009</v>
      </c>
      <c r="E134" s="3309">
        <v>0.1</v>
      </c>
      <c r="F134" s="3303">
        <v>15</v>
      </c>
    </row>
    <row r="135" spans="1:6" ht="24">
      <c r="A135" s="3303">
        <v>63</v>
      </c>
      <c r="B135" s="3708" t="s">
        <v>3010</v>
      </c>
      <c r="C135" s="3303" t="s">
        <v>3011</v>
      </c>
      <c r="D135" s="3284" t="s">
        <v>3012</v>
      </c>
      <c r="E135" s="3309">
        <v>0.1</v>
      </c>
      <c r="F135" s="3303">
        <v>15</v>
      </c>
    </row>
    <row r="136" spans="1:6" ht="13.5">
      <c r="A136" s="3303">
        <v>64</v>
      </c>
      <c r="B136" s="3708"/>
      <c r="C136" s="3303" t="s">
        <v>3013</v>
      </c>
      <c r="D136" s="3284" t="s">
        <v>3014</v>
      </c>
      <c r="E136" s="3309">
        <v>0.1</v>
      </c>
      <c r="F136" s="3303">
        <v>15</v>
      </c>
    </row>
    <row r="137" spans="1:6" ht="24">
      <c r="A137" s="3303">
        <v>65</v>
      </c>
      <c r="B137" s="3303" t="s">
        <v>3015</v>
      </c>
      <c r="C137" s="3303" t="s">
        <v>3016</v>
      </c>
      <c r="D137" s="3284" t="s">
        <v>3017</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2791</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2790</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2789</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2788</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2787</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2786</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2640</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2639</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2638</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2632</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2631</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44670</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4.25">
      <c r="A19" s="3068"/>
      <c r="B19" s="1209" t="s">
        <v>2633</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791.31</v>
      </c>
      <c r="D6" s="3331"/>
      <c r="E6" s="1287"/>
    </row>
    <row r="7" spans="1:5" ht="14.25">
      <c r="A7" s="1287"/>
      <c r="B7" s="3325" t="s">
        <v>594</v>
      </c>
      <c r="C7" s="1293" t="str">
        <f>IF('数据-取费表'!B3="万元","总价（万元）","总价（元）")</f>
        <v>总价（万元）</v>
      </c>
      <c r="D7" s="1294">
        <f>IF('数据-取费表'!E3="否",结果表!I102,'结果表 (1修多)'!I104)</f>
        <v>0</v>
      </c>
      <c r="E7" s="1287"/>
    </row>
    <row r="8" spans="1:5" ht="14.25">
      <c r="A8" s="1287"/>
      <c r="B8" s="3325"/>
      <c r="C8" s="1295" t="s">
        <v>924</v>
      </c>
      <c r="D8" s="1296" t="str">
        <f>IF('数据-取费表'!B3="万元",NUMBERSTRING(INT(D7*10000),2)&amp;"元整",NUMBERSTRING(INT(D7),2)&amp;"元整")</f>
        <v>零元整</v>
      </c>
      <c r="E8" s="1287"/>
    </row>
    <row r="9" spans="1:5" ht="14.25">
      <c r="A9" s="1287"/>
      <c r="B9" s="3325"/>
      <c r="C9" s="1297" t="s">
        <v>1020</v>
      </c>
      <c r="D9" s="1294" t="e">
        <f>IF('数据-取费表'!E3="否",结果表!I103,'结果表 (1修多)'!I105)</f>
        <v>#DIV/0!</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IF('数据-取费表'!E3="否",结果表!I110,'结果表 (1修多)'!I112)</f>
        <v>0</v>
      </c>
      <c r="E15" s="1287"/>
    </row>
    <row r="16" spans="1:5" ht="14.25">
      <c r="A16" s="1287"/>
      <c r="B16" s="3332"/>
      <c r="C16" s="1295" t="s">
        <v>924</v>
      </c>
      <c r="D16" s="1294" t="str">
        <f>IF('数据-取费表'!B3="万元",NUMBERSTRING(INT(D15*10000),2)&amp;"元整",NUMBERSTRING(INT(D15),2)&amp;"元整")</f>
        <v>零元整</v>
      </c>
      <c r="E16" s="1287"/>
    </row>
    <row r="17" spans="1:5" ht="14.25">
      <c r="A17" s="1287"/>
      <c r="B17" s="3332"/>
      <c r="C17" s="1297" t="s">
        <v>1020</v>
      </c>
      <c r="D17" s="1294" t="e">
        <f>IF('数据-取费表'!E3="否",结果表!I111,'结果表 (1修多)'!I113)</f>
        <v>#DIV/0!</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IF('数据-取费表'!E3="否",结果表!I102,'结果表 (1修多)'!I104)</f>
        <v>0</v>
      </c>
      <c r="E28" s="1287"/>
    </row>
    <row r="29" spans="1:5" ht="14.25">
      <c r="A29" s="1287"/>
      <c r="B29" s="3334"/>
      <c r="C29" s="1306" t="s">
        <v>924</v>
      </c>
      <c r="D29" s="1307" t="str">
        <f>IF('数据-取费表'!B3="万元",NUMBERSTRING(INT(D28*10000),2)&amp;"元整",NUMBERSTRING(INT(D28),2)&amp;"元整")</f>
        <v>零元整</v>
      </c>
      <c r="E29" s="1287"/>
    </row>
    <row r="30" spans="1:5" ht="14.25">
      <c r="A30" s="1287"/>
      <c r="B30" s="3335"/>
      <c r="C30" s="1297" t="s">
        <v>927</v>
      </c>
      <c r="D30" s="1308" t="e">
        <f>IF('数据-取费表'!E3="否",结果表!I103,'结果表 (1修多)'!I105)</f>
        <v>#DIV/0!</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IF('数据-取费表'!E3="否",结果表!I110,'结果表 (1修多)'!I112)</f>
        <v>0</v>
      </c>
      <c r="E36" s="1287"/>
    </row>
    <row r="37" spans="1:5" ht="14.25">
      <c r="A37" s="1287"/>
      <c r="B37" s="3336"/>
      <c r="C37" s="1306" t="s">
        <v>924</v>
      </c>
      <c r="D37" s="1311" t="str">
        <f>IF('数据-取费表'!B3="万元",NUMBERSTRING(INT(D36*10000),2)&amp;"元整",NUMBERSTRING(INT(D36),2)&amp;"元整")</f>
        <v>零元整</v>
      </c>
      <c r="E37" s="1287"/>
    </row>
    <row r="38" spans="1:5" ht="14.25">
      <c r="A38" s="1287"/>
      <c r="B38" s="3336"/>
      <c r="C38" s="1297" t="s">
        <v>928</v>
      </c>
      <c r="D38" s="1308" t="e">
        <f>IF('数据-取费表'!E3="否",结果表!D113,'结果表 (1修多)'!D117)</f>
        <v>#DIV/0!</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791.31</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0" t="s">
        <v>1030</v>
      </c>
      <c r="B5" s="3350"/>
      <c r="C5" s="3350"/>
      <c r="D5" s="3348" t="str">
        <f>IF('数据-取费表'!E3="否",结果表!D122,'结果表 (1修多)'!D126)</f>
        <v>零元整</v>
      </c>
      <c r="E5" s="3348"/>
      <c r="F5" s="3348" t="str">
        <f>IF('数据-取费表'!E3="否",结果表!F122,'结果表 (1修多)'!F126)</f>
        <v>零元整</v>
      </c>
      <c r="G5" s="3348"/>
      <c r="H5" s="3348" t="str">
        <f>IF('数据-取费表'!E3="否",结果表!H122,'结果表 (1修多)'!H126)</f>
        <v>零元整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IF('数据-取费表'!E3="否",结果表!D125,'结果表 (1修多)'!D129)</f>
        <v>0</v>
      </c>
      <c r="E8" s="3349"/>
      <c r="F8" s="3349"/>
      <c r="G8" s="3349"/>
      <c r="H8" s="3349"/>
      <c r="I8" s="3349"/>
    </row>
    <row r="9" spans="1:9" ht="15">
      <c r="A9" s="3350" t="s">
        <v>1030</v>
      </c>
      <c r="B9" s="3350"/>
      <c r="C9" s="3350"/>
      <c r="D9" s="3348" t="e">
        <f>IF('数据-取费表'!E3="否",结果表!D126,'结果表 (1修多)'!D130)</f>
        <v>#DIV/0!</v>
      </c>
      <c r="E9" s="3348"/>
      <c r="F9" s="3348"/>
      <c r="G9" s="3348"/>
      <c r="H9" s="3348"/>
      <c r="I9" s="3348"/>
    </row>
    <row r="10" spans="1:9" ht="15.75">
      <c r="A10" s="3349" t="str">
        <f>IF('数据-取费表'!E3="否",结果表!A127,'结果表 (1修多)'!A131)</f>
        <v/>
      </c>
      <c r="B10" s="3349"/>
      <c r="C10" s="3349"/>
      <c r="D10" s="3349" t="e">
        <f>IF('数据-取费表'!E3="否",结果表!D127,'结果表 (1修多)'!D130)</f>
        <v>#DIV/0!</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1"/>
      <c r="C13" s="3361"/>
      <c r="D13" s="3361"/>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1"/>
      <c r="C14" s="3361"/>
      <c r="D14" s="3361"/>
    </row>
    <row r="15" spans="1:4" ht="15.75" customHeight="1">
      <c r="A15" s="3359" t="str">
        <f>IF(项目基本情况!D4="抵押","4.本次评估估价师所知悉的法定优先受偿款情况说明如下：","——")</f>
        <v>4.本次评估估价师所知悉的法定优先受偿款情况说明如下：</v>
      </c>
      <c r="B15" s="3361"/>
      <c r="C15" s="3361"/>
      <c r="D15" s="3361"/>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0" t="s">
        <v>1045</v>
      </c>
      <c r="B17" s="3360"/>
      <c r="C17" s="3360"/>
      <c r="D17" s="3360"/>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44672</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f ca="1">IF(C10&lt;B2,"已过期",1120100036)</f>
        <v>1120100036</v>
      </c>
      <c r="C10" s="2991">
        <v>44675</v>
      </c>
      <c r="D10" s="2998" t="str">
        <f t="shared" ca="1" si="0"/>
        <v>崔锴（注册号：1120100036）</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2792</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2793</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2781</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本次估价的“房地产价值”是指在正常市场情况下，在价值时点2022年4月19日，估价对象规划用途为，假定未设立法定优先受偿款下的房地产市场价值。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2022-04-21T01:47:27Z</dcterms:modified>
</cp:coreProperties>
</file>