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33" i="79" l="1"/>
  <c r="G33" i="79"/>
  <c r="E33" i="79"/>
  <c r="I33" i="33"/>
  <c r="G33" i="33"/>
  <c r="E33" i="33"/>
  <c r="C8" i="77" l="1"/>
  <c r="C36" i="77"/>
  <c r="C33" i="79" l="1"/>
  <c r="C33" i="33" l="1"/>
  <c r="I47" i="79" l="1"/>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F43" i="15"/>
  <c r="M27" i="67"/>
  <c r="F7" i="15"/>
  <c r="F35" i="67"/>
  <c r="F6" i="67"/>
  <c r="F37" i="67"/>
  <c r="E12" i="76"/>
  <c r="M27" i="15"/>
  <c r="M22" i="67"/>
  <c r="L47" i="15"/>
  <c r="M6" i="67"/>
  <c r="M21" i="67"/>
  <c r="F38" i="15"/>
  <c r="D6" i="73"/>
  <c r="M8" i="15"/>
  <c r="D3" i="73"/>
  <c r="D34" i="9"/>
  <c r="F16" i="67"/>
  <c r="D35" i="9"/>
  <c r="E11" i="76"/>
  <c r="M29" i="15"/>
  <c r="E13" i="76"/>
  <c r="AO9" i="1"/>
  <c r="E7" i="76"/>
  <c r="E2" i="68"/>
  <c r="F20" i="31"/>
  <c r="D2" i="37"/>
  <c r="M24" i="67"/>
  <c r="AO7" i="1"/>
  <c r="D19" i="9"/>
  <c r="M23" i="67"/>
  <c r="L47" i="67"/>
  <c r="F26" i="15"/>
  <c r="F16" i="15"/>
  <c r="F26" i="67"/>
  <c r="F36" i="15"/>
  <c r="D2" i="36"/>
  <c r="M28" i="15"/>
  <c r="B13" i="76"/>
  <c r="D20" i="9"/>
  <c r="D7" i="73"/>
  <c r="B7" i="76"/>
  <c r="J15" i="15"/>
  <c r="B11" i="76"/>
  <c r="D5" i="73"/>
  <c r="D2" i="34"/>
  <c r="M24" i="15"/>
  <c r="F43" i="67"/>
  <c r="M9" i="15"/>
  <c r="AO8" i="1"/>
  <c r="F6" i="73"/>
  <c r="M22" i="15"/>
  <c r="D2" i="35"/>
  <c r="E8" i="76"/>
  <c r="AO10" i="1"/>
  <c r="M8" i="67"/>
  <c r="B8" i="76"/>
  <c r="F40" i="67"/>
  <c r="E9" i="76"/>
  <c r="C76" i="15"/>
  <c r="D4" i="73"/>
  <c r="C76" i="67"/>
  <c r="AO13" i="1"/>
  <c r="M26" i="15"/>
  <c r="B10" i="76"/>
  <c r="F3" i="73"/>
  <c r="F13" i="15"/>
  <c r="AO11" i="1"/>
  <c r="M23" i="15"/>
  <c r="F42" i="15"/>
  <c r="F7" i="73"/>
  <c r="E2" i="69"/>
  <c r="C19" i="9"/>
  <c r="M6" i="15"/>
  <c r="D2" i="21"/>
  <c r="M29" i="67"/>
  <c r="F9" i="15"/>
  <c r="B12" i="76"/>
  <c r="B9" i="76"/>
  <c r="F13" i="67"/>
  <c r="F5" i="73"/>
  <c r="L48" i="15"/>
  <c r="F38" i="67"/>
  <c r="M9" i="67"/>
  <c r="F40" i="15"/>
  <c r="M26" i="67"/>
  <c r="AO12" i="1"/>
  <c r="F4" i="73"/>
  <c r="D2" i="33"/>
  <c r="F8" i="15"/>
  <c r="C20" i="9"/>
  <c r="F37" i="15"/>
  <c r="F42" i="67"/>
  <c r="E10" i="76"/>
  <c r="F7" i="67"/>
  <c r="F9" i="67"/>
  <c r="D126" i="9" l="1"/>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L48" i="67"/>
  <c r="F41" i="67"/>
  <c r="C16" i="15"/>
  <c r="M28" i="67"/>
  <c r="F36" i="67"/>
  <c r="C17" i="67"/>
  <c r="J15" i="67"/>
  <c r="G1" i="73"/>
  <c r="C14" i="67"/>
  <c r="C16" i="67"/>
  <c r="F8" i="67"/>
  <c r="D12" i="52" l="1"/>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E6" i="76"/>
  <c r="C17" i="15"/>
  <c r="AE6" i="1"/>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C14" i="15"/>
  <c r="B6" i="76"/>
  <c r="F69" i="15" l="1"/>
  <c r="J29" i="15"/>
  <c r="R49" i="33"/>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B3" i="33" l="1"/>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G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68" l="1"/>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G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3" i="9"/>
  <c r="D52" i="9"/>
  <c r="H4" i="52"/>
  <c r="C104" i="9"/>
  <c r="I4" i="52"/>
  <c r="C105" i="9"/>
  <c r="N58" i="9"/>
  <c r="P57" i="9"/>
  <c r="B22" i="72"/>
  <c r="M48" i="9"/>
  <c r="B48" i="72"/>
  <c r="C81" i="9"/>
  <c r="D9" i="52"/>
  <c r="H119" i="9"/>
  <c r="H5" i="52"/>
  <c r="F4" i="52"/>
  <c r="B51" i="72"/>
  <c r="N60" i="9"/>
  <c r="N59" i="9"/>
  <c r="N61" i="9"/>
  <c r="B32" i="72"/>
  <c r="E4" i="52"/>
  <c r="E97" i="9"/>
  <c r="C68" i="9"/>
  <c r="D54" i="9"/>
  <c r="B53" i="72"/>
  <c r="D8" i="52"/>
  <c r="D122" i="9"/>
  <c r="D123" i="9"/>
  <c r="F119" i="9"/>
  <c r="F5" i="52"/>
  <c r="D119" i="9"/>
  <c r="D5" i="52"/>
  <c r="B49" i="72"/>
  <c r="B30" i="72"/>
  <c r="D13" i="53"/>
  <c r="D14" i="53"/>
  <c r="B20" i="72"/>
  <c r="D5" i="53"/>
  <c r="D6" i="53"/>
  <c r="E118" i="9"/>
  <c r="D118" i="9"/>
  <c r="D4" i="52"/>
  <c r="B47" i="72"/>
  <c r="D56" i="9"/>
  <c r="M54" i="9"/>
  <c r="N57" i="9"/>
  <c r="B52" i="72"/>
  <c r="C78" i="9"/>
  <c r="C73" i="9"/>
  <c r="C93" i="9"/>
  <c r="C86" i="9"/>
  <c r="H107" i="9"/>
  <c r="H108" i="9"/>
  <c r="D15" i="53"/>
  <c r="B31" i="72"/>
  <c r="F118" i="9"/>
  <c r="G118" i="9"/>
  <c r="G4" i="52"/>
  <c r="E81" i="9"/>
  <c r="E96" i="9"/>
  <c r="C96" i="9"/>
  <c r="C64" i="9"/>
  <c r="C63" i="9"/>
  <c r="C67" i="9"/>
  <c r="D59" i="9"/>
  <c r="M55" i="9"/>
  <c r="D55" i="9"/>
  <c r="M53" i="9"/>
  <c r="H102" i="9"/>
  <c r="D7" i="53"/>
  <c r="B21" i="72"/>
  <c r="C72" i="9"/>
  <c r="C79" i="9"/>
  <c r="C80" i="9"/>
  <c r="E80"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<sst xmlns="http://schemas.openxmlformats.org/spreadsheetml/2006/main" count="7884" uniqueCount="3289">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</sst>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9" t="s">
        <v>832</v>
      </c>
      <c r="C54" s="1736" t="s">
        <v>1248</v>
      </c>
    </row>
    <row r="55" spans="1:4">
      <c r="A55" s="3192"/>
      <c r="B55" s="1739" t="s">
        <v>833</v>
      </c>
      <c r="C55" s="1736" t="s">
        <v>1249</v>
      </c>
    </row>
    <row r="56" spans="1:4">
      <c r="A56" s="3192"/>
      <c r="B56" s="1739" t="s">
        <v>834</v>
      </c>
      <c r="C56" s="1736" t="s">
        <v>1253</v>
      </c>
    </row>
    <row r="57" spans="1:4">
      <c r="A57" s="319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203"/>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2916</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44341</v>
      </c>
      <c r="C3" s="2598" t="s">
        <v>2918</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2922</v>
      </c>
      <c r="B7" s="2611"/>
      <c r="C7" s="2609"/>
      <c r="D7" s="2610"/>
      <c r="E7" s="2887"/>
      <c r="F7" s="2889"/>
      <c r="G7" s="2889"/>
      <c r="H7" s="2889"/>
      <c r="I7" s="2889"/>
      <c r="J7" s="2665"/>
      <c r="K7" s="2840"/>
      <c r="L7" s="2837"/>
      <c r="M7" s="2837"/>
      <c r="N7" s="2665"/>
      <c r="O7" s="2676"/>
      <c r="P7" s="2665"/>
      <c r="Q7" s="2665"/>
      <c r="R7" s="2665"/>
    </row>
    <row r="8" spans="1:28">
      <c r="A8" s="2612" t="s">
        <v>2923</v>
      </c>
      <c r="B8" s="2613" t="s">
        <v>3200</v>
      </c>
      <c r="C8" s="2614"/>
      <c r="D8" s="3204" t="s">
        <v>2924</v>
      </c>
      <c r="E8" s="2615"/>
      <c r="F8" s="2616"/>
      <c r="G8" s="2888"/>
      <c r="H8" s="2888"/>
      <c r="I8" s="2888"/>
      <c r="J8" s="2665"/>
      <c r="K8" s="2838"/>
      <c r="L8" s="2837"/>
      <c r="M8" s="2837"/>
      <c r="N8" s="2665"/>
      <c r="O8" s="2676"/>
      <c r="P8" s="2665"/>
      <c r="Q8" s="2665"/>
      <c r="R8" s="2665"/>
    </row>
    <row r="9" spans="1:28" ht="13.5" thickBot="1">
      <c r="A9" s="2617" t="s">
        <v>2925</v>
      </c>
      <c r="B9" s="2618" t="s">
        <v>3201</v>
      </c>
      <c r="C9" s="2619"/>
      <c r="D9" s="3205"/>
      <c r="E9" s="2618" t="s">
        <v>70</v>
      </c>
      <c r="F9" s="2620"/>
      <c r="G9" s="2890"/>
      <c r="H9" s="2890"/>
      <c r="I9" s="2890"/>
      <c r="J9" s="2665"/>
      <c r="K9" s="2840"/>
      <c r="L9" s="2837"/>
      <c r="M9" s="2837"/>
      <c r="N9" s="2665"/>
      <c r="O9" s="2676"/>
      <c r="P9" s="2665"/>
      <c r="Q9" s="2665"/>
      <c r="R9" s="2665"/>
    </row>
    <row r="10" spans="1:28" ht="13.5" thickTop="1">
      <c r="A10" s="2621" t="s">
        <v>2926</v>
      </c>
      <c r="B10" s="2622" t="s">
        <v>3202</v>
      </c>
      <c r="C10" s="2623" t="s">
        <v>3217</v>
      </c>
      <c r="D10" s="2606"/>
      <c r="E10" s="2624" t="s">
        <v>2927</v>
      </c>
      <c r="F10" s="2891"/>
      <c r="G10" s="2892"/>
      <c r="H10" s="2893"/>
      <c r="I10" s="2894"/>
      <c r="J10" s="2665"/>
      <c r="K10" s="2840"/>
      <c r="L10" s="2837"/>
      <c r="M10" s="2837"/>
      <c r="N10" s="2665"/>
      <c r="O10" s="2676"/>
      <c r="P10" s="2665"/>
      <c r="Q10" s="2665"/>
      <c r="R10" s="2665"/>
    </row>
    <row r="11" spans="1:28">
      <c r="A11" s="2625" t="s">
        <v>2928</v>
      </c>
      <c r="B11" s="2626" t="s">
        <v>3209</v>
      </c>
      <c r="C11" s="2627"/>
      <c r="D11" s="2628"/>
      <c r="E11" s="2594"/>
      <c r="F11" s="2594"/>
      <c r="G11" s="2594"/>
      <c r="H11" s="2594"/>
      <c r="I11" s="2594"/>
      <c r="J11" s="2665"/>
      <c r="K11" s="2840"/>
      <c r="L11" s="2837"/>
      <c r="M11" s="2837"/>
      <c r="N11" s="2665"/>
      <c r="O11" s="2676"/>
      <c r="P11" s="2665"/>
      <c r="Q11" s="2665"/>
      <c r="R11" s="2665"/>
    </row>
    <row r="12" spans="1:28">
      <c r="A12" s="2629" t="s">
        <v>2929</v>
      </c>
      <c r="B12" s="2626" t="s">
        <v>3216</v>
      </c>
      <c r="C12" s="329" t="s">
        <v>2930</v>
      </c>
      <c r="D12" s="2630" t="s">
        <v>2931</v>
      </c>
      <c r="E12" s="2630" t="s">
        <v>2932</v>
      </c>
      <c r="F12" s="2630" t="s">
        <v>2933</v>
      </c>
      <c r="G12" s="2630" t="s">
        <v>2934</v>
      </c>
      <c r="H12" s="2630" t="s">
        <v>2935</v>
      </c>
      <c r="I12" s="2630" t="s">
        <v>2936</v>
      </c>
      <c r="J12" s="2665"/>
      <c r="K12" s="2840"/>
      <c r="L12" s="2837"/>
      <c r="M12" s="2837"/>
      <c r="N12" s="2665"/>
      <c r="O12" s="2676"/>
      <c r="P12" s="2665"/>
      <c r="Q12" s="2665"/>
      <c r="R12" s="2665"/>
    </row>
    <row r="13" spans="1:28">
      <c r="A13" s="1241"/>
      <c r="B13" s="2631"/>
      <c r="C13" s="2632" t="s">
        <v>2937</v>
      </c>
      <c r="D13" s="965"/>
      <c r="E13" s="965"/>
      <c r="F13" s="965"/>
      <c r="G13" s="965"/>
      <c r="H13" s="965"/>
      <c r="I13" s="965"/>
      <c r="J13" s="2665"/>
      <c r="K13" s="2840"/>
      <c r="L13" s="2837"/>
      <c r="M13" s="2837"/>
      <c r="N13" s="2665"/>
      <c r="O13" s="2676"/>
      <c r="P13" s="2665"/>
      <c r="Q13" s="2665"/>
      <c r="R13" s="2665"/>
    </row>
    <row r="14" spans="1:28">
      <c r="A14" s="1241"/>
      <c r="B14" s="2631"/>
      <c r="C14" s="2632" t="s">
        <v>2938</v>
      </c>
      <c r="D14" s="2633"/>
      <c r="E14" s="2633">
        <v>40</v>
      </c>
      <c r="F14" s="2633"/>
      <c r="G14" s="2633"/>
      <c r="H14" s="2633"/>
      <c r="I14" s="2633"/>
      <c r="J14" s="2665"/>
      <c r="K14" s="2841"/>
      <c r="L14" s="2837"/>
      <c r="M14" s="2837"/>
      <c r="N14" s="2665"/>
      <c r="O14" s="2676"/>
      <c r="P14" s="2665"/>
      <c r="Q14" s="2665"/>
      <c r="R14" s="2665"/>
    </row>
    <row r="15" spans="1:28">
      <c r="A15" s="326"/>
      <c r="B15" s="2634"/>
      <c r="C15" s="2635" t="s">
        <v>2939</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2940</v>
      </c>
      <c r="B16" s="3211"/>
      <c r="C16" s="3212"/>
      <c r="D16" s="3213"/>
      <c r="E16" s="2639" t="s">
        <v>2941</v>
      </c>
      <c r="F16" s="3214"/>
      <c r="G16" s="3215"/>
      <c r="H16" s="3215"/>
      <c r="I16" s="3216"/>
      <c r="J16" s="2665"/>
      <c r="K16" s="2842"/>
      <c r="L16" s="2677"/>
      <c r="M16" s="2677"/>
      <c r="N16" s="2733"/>
      <c r="O16" s="2677"/>
      <c r="P16" s="2733"/>
      <c r="Q16" s="2665"/>
      <c r="R16" s="2665"/>
    </row>
    <row r="17" spans="1:28">
      <c r="A17" s="319" t="s">
        <v>2942</v>
      </c>
      <c r="B17" s="308" t="s">
        <v>2943</v>
      </c>
      <c r="C17" s="11">
        <f>'数据-汇总表'!E3</f>
        <v>994.5</v>
      </c>
      <c r="D17" s="2545" t="s">
        <v>2944</v>
      </c>
      <c r="E17" s="3217" t="s">
        <v>2945</v>
      </c>
      <c r="F17" s="3218"/>
      <c r="G17" s="3218"/>
      <c r="H17" s="3218"/>
      <c r="I17" s="3219"/>
      <c r="J17" s="2665"/>
      <c r="K17" s="2843"/>
      <c r="L17" s="2677"/>
      <c r="M17" s="2677"/>
      <c r="N17" s="2733"/>
      <c r="O17" s="2677"/>
      <c r="P17" s="2733"/>
      <c r="Q17" s="2665"/>
      <c r="R17" s="2665"/>
      <c r="S17" s="2665"/>
      <c r="T17" s="2665"/>
      <c r="U17" s="2665"/>
      <c r="V17" s="2665"/>
    </row>
    <row r="18" spans="1:28" ht="24.75" thickBot="1">
      <c r="A18" s="2640" t="s">
        <v>2946</v>
      </c>
      <c r="B18" s="1250" t="s">
        <v>2947</v>
      </c>
      <c r="C18" s="2641">
        <f>'数据-汇总表'!D3</f>
        <v>0</v>
      </c>
      <c r="D18" s="1252" t="s">
        <v>2948</v>
      </c>
      <c r="E18" s="3220" t="s">
        <v>2949</v>
      </c>
      <c r="F18" s="3221"/>
      <c r="G18" s="3221"/>
      <c r="H18" s="3221"/>
      <c r="I18" s="3222"/>
      <c r="J18" s="2665"/>
      <c r="K18" s="2843"/>
      <c r="L18" s="2677"/>
      <c r="M18" s="2677"/>
      <c r="N18" s="2733"/>
      <c r="O18" s="2677"/>
      <c r="P18" s="2733"/>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2952</v>
      </c>
      <c r="B20" s="3207" t="s">
        <v>2953</v>
      </c>
      <c r="C20" s="3208"/>
      <c r="D20" s="3209" t="s">
        <v>2954</v>
      </c>
      <c r="E20" s="3210"/>
      <c r="F20" s="2872" t="s">
        <v>1742</v>
      </c>
      <c r="G20" s="2889"/>
      <c r="H20" s="2889"/>
      <c r="I20" s="2889"/>
      <c r="J20" s="2665"/>
      <c r="K20" s="320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5"/>
      <c r="K21" s="32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5"/>
      <c r="K22" s="32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4" t="s">
        <v>2961</v>
      </c>
      <c r="B27" s="326" t="s">
        <v>2962</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4"/>
      <c r="B28" s="308" t="s">
        <v>2963</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4"/>
      <c r="B29" s="308" t="s">
        <v>2964</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5"/>
      <c r="B30" s="308" t="s">
        <v>2965</v>
      </c>
      <c r="C30" s="3196"/>
      <c r="D30" s="3197"/>
      <c r="E30" s="2889"/>
      <c r="F30" s="2889"/>
      <c r="G30" s="2889"/>
      <c r="H30" s="2889"/>
      <c r="I30" s="2889"/>
      <c r="J30" s="2665"/>
      <c r="K30" s="2840"/>
      <c r="L30" s="2837"/>
      <c r="M30" s="2837"/>
      <c r="N30" s="2665"/>
      <c r="O30" s="2676"/>
      <c r="P30" s="2665"/>
      <c r="Q30" s="2665"/>
      <c r="R30" s="2665"/>
      <c r="S30" s="2665"/>
      <c r="T30" s="2665"/>
      <c r="U30" s="2665"/>
      <c r="V30" s="2665"/>
    </row>
    <row r="31" spans="1:28">
      <c r="A31" s="3198" t="s">
        <v>2966</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199"/>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199"/>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2967</v>
      </c>
      <c r="B34" s="2214"/>
      <c r="C34" s="2214"/>
      <c r="D34" s="2214"/>
      <c r="E34" s="2214"/>
      <c r="F34" s="2214"/>
      <c r="G34" s="2214"/>
      <c r="H34" s="2214"/>
      <c r="I34" s="2889"/>
      <c r="J34" s="2665"/>
      <c r="K34" s="2653">
        <f>COUNTIF(B34:H34,"——")</f>
        <v>0</v>
      </c>
      <c r="L34" s="329" t="s">
        <v>2968</v>
      </c>
      <c r="M34" s="329" t="s">
        <v>2969</v>
      </c>
      <c r="N34" s="329" t="s">
        <v>2970</v>
      </c>
      <c r="O34" s="329" t="s">
        <v>2971</v>
      </c>
      <c r="P34" s="329" t="s">
        <v>2972</v>
      </c>
      <c r="Q34" s="329" t="s">
        <v>2973</v>
      </c>
      <c r="R34" s="329" t="s">
        <v>2974</v>
      </c>
      <c r="S34" s="3193" t="s">
        <v>2975</v>
      </c>
      <c r="T34" s="2654" t="str">
        <f>NUMBERSTRING(7-K34,1)&amp;"通"</f>
        <v>七通</v>
      </c>
      <c r="U34" s="2665"/>
      <c r="V34" s="2665"/>
    </row>
    <row r="35" spans="1:30" ht="25.5">
      <c r="A35" s="2655"/>
      <c r="B35" s="3200" t="s">
        <v>2976</v>
      </c>
      <c r="C35" s="3200"/>
      <c r="D35" s="3200"/>
      <c r="E35" s="3200"/>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5"/>
      <c r="G36" s="2889"/>
      <c r="H36" s="2889"/>
      <c r="I36" s="2889"/>
      <c r="J36" s="2665"/>
      <c r="K36" s="2840"/>
      <c r="L36" s="2837"/>
      <c r="M36" s="2837"/>
      <c r="N36" s="2665"/>
      <c r="O36" s="2676"/>
      <c r="P36" s="2665"/>
      <c r="Q36" s="2665"/>
      <c r="R36" s="2665"/>
      <c r="S36" s="2665"/>
      <c r="T36" s="2665"/>
      <c r="U36" s="2665"/>
      <c r="V36" s="2665"/>
    </row>
    <row r="37" spans="1:30">
      <c r="A37" s="2855" t="s">
        <v>2977</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2978</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2980</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3203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3204</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34" t="s">
        <v>1817</v>
      </c>
      <c r="B2" s="3234"/>
      <c r="C2" s="3234"/>
      <c r="D2" s="904" t="s">
        <v>1793</v>
      </c>
      <c r="E2" s="1824" t="s">
        <v>1794</v>
      </c>
      <c r="F2" s="2884"/>
      <c r="G2" s="2875"/>
      <c r="H2" s="2876"/>
      <c r="I2" s="2548" t="s">
        <v>1818</v>
      </c>
      <c r="J2" s="2884"/>
      <c r="K2" s="2884"/>
      <c r="L2" s="2884"/>
      <c r="M2" s="2884"/>
      <c r="N2" s="2886"/>
      <c r="O2" s="2884"/>
      <c r="P2" s="2884"/>
    </row>
    <row r="3" spans="1:16" ht="15.75" thickBot="1">
      <c r="A3" s="3235" t="s">
        <v>1791</v>
      </c>
      <c r="B3" s="3235"/>
      <c r="C3" s="3235"/>
      <c r="D3" s="46">
        <f>'数据-基础表'!AY6</f>
        <v>0</v>
      </c>
      <c r="E3" s="46">
        <f>'数据-基础表'!AZ5</f>
        <v>994.5</v>
      </c>
      <c r="F3" s="2884"/>
      <c r="G3" s="1307"/>
      <c r="H3" s="1157" t="s">
        <v>1792</v>
      </c>
      <c r="I3" s="964" t="e">
        <f>ROUND('数据-基础表'!B3/'数据-基础表'!A3,2)</f>
        <v>#DIV/0!</v>
      </c>
      <c r="J3" s="2884"/>
      <c r="K3" s="2884"/>
      <c r="L3" s="2884"/>
      <c r="M3" s="2884"/>
      <c r="N3" s="2886"/>
      <c r="O3" s="2884"/>
      <c r="P3" s="2884"/>
    </row>
    <row r="4" spans="1:16" ht="15">
      <c r="A4" s="3236"/>
      <c r="B4" s="3237"/>
      <c r="C4" s="3238"/>
      <c r="D4" s="1826" t="s">
        <v>1793</v>
      </c>
      <c r="E4" s="1827" t="s">
        <v>1794</v>
      </c>
      <c r="F4" s="2884"/>
      <c r="G4" s="2877" t="s">
        <v>1819</v>
      </c>
      <c r="H4" s="1157" t="s">
        <v>1799</v>
      </c>
      <c r="I4" s="964" t="e">
        <f>ROUND(SUMIF('数据-基础表'!I9:AS9,"地上",'数据-基础表'!I5:AS5)/'数据-基础表'!A3,2)</f>
        <v>#DIV/0!</v>
      </c>
      <c r="J4" s="2884"/>
      <c r="K4" s="2884"/>
      <c r="L4" s="2884"/>
      <c r="M4" s="2884"/>
      <c r="N4" s="2886"/>
      <c r="O4" s="2884"/>
      <c r="P4" s="2884"/>
    </row>
    <row r="5" spans="1:16">
      <c r="A5" s="47" t="s">
        <v>1795</v>
      </c>
      <c r="B5" s="3239" t="s">
        <v>1796</v>
      </c>
      <c r="C5" s="3239"/>
      <c r="D5" s="48">
        <f>ROUND($D$3*E5/$E$3,2)</f>
        <v>0</v>
      </c>
      <c r="E5" s="49">
        <f>SUMIF('数据-基础表'!$11:$11,"住宅",'数据-基础表'!$5:$5)</f>
        <v>0</v>
      </c>
      <c r="F5" s="2884"/>
      <c r="G5" s="1307"/>
      <c r="H5" s="1157" t="s">
        <v>1792</v>
      </c>
      <c r="I5" s="964" t="e">
        <f>ROUND(E31/D31,2)</f>
        <v>#DIV/0!</v>
      </c>
      <c r="J5" s="2884"/>
      <c r="K5" s="2884"/>
      <c r="L5" s="2884"/>
      <c r="M5" s="2884"/>
      <c r="N5" s="2884"/>
      <c r="O5" s="2884"/>
      <c r="P5" s="2884"/>
    </row>
    <row r="6" spans="1:16" ht="15" thickBot="1">
      <c r="A6" s="1829"/>
      <c r="B6" s="3239" t="s">
        <v>1797</v>
      </c>
      <c r="C6" s="3239"/>
      <c r="D6" s="48">
        <f>ROUND($D$3*E6/$E$3,2)</f>
        <v>0</v>
      </c>
      <c r="E6" s="49">
        <f>E3-E5</f>
        <v>994.5</v>
      </c>
      <c r="F6" s="2884"/>
      <c r="G6" s="2878" t="s">
        <v>1798</v>
      </c>
      <c r="H6" s="1308" t="s">
        <v>1799</v>
      </c>
      <c r="I6" s="2879" t="e">
        <f>ROUND(F31/D31,2)</f>
        <v>#DIV/0!</v>
      </c>
      <c r="J6" s="2884"/>
      <c r="K6" s="2884"/>
      <c r="L6" s="2884"/>
      <c r="M6" s="2884"/>
      <c r="N6" s="2884"/>
      <c r="O6" s="2884"/>
      <c r="P6" s="2884"/>
    </row>
    <row r="7" spans="1:16" ht="15.75" thickBot="1">
      <c r="A7" s="3231"/>
      <c r="B7" s="3232"/>
      <c r="C7" s="3233"/>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0</v>
      </c>
      <c r="E16" s="53">
        <f>SUM(E8:E15)</f>
        <v>994.5</v>
      </c>
      <c r="F16" s="2884"/>
      <c r="G16" s="2885"/>
      <c r="H16" s="1833" t="s">
        <v>1821</v>
      </c>
      <c r="I16" s="1834"/>
      <c r="J16" s="1301"/>
      <c r="K16" s="3228" t="s">
        <v>1821</v>
      </c>
      <c r="L16" s="3229"/>
      <c r="M16" s="3229"/>
      <c r="N16" s="3229"/>
      <c r="O16" s="3229"/>
      <c r="P16" s="3230"/>
    </row>
    <row r="17" spans="1:19" ht="15">
      <c r="A17" s="1835" t="s">
        <v>1822</v>
      </c>
      <c r="B17" s="1836" t="s">
        <v>1823</v>
      </c>
      <c r="C17" s="1837" t="s">
        <v>1824</v>
      </c>
      <c r="D17" s="1838" t="s">
        <v>1812</v>
      </c>
      <c r="E17" s="1839" t="s">
        <v>1813</v>
      </c>
      <c r="F17" s="1840"/>
      <c r="G17" s="1841"/>
      <c r="H17" s="1842" t="s">
        <v>1825</v>
      </c>
      <c r="I17" s="1843" t="s">
        <v>1810</v>
      </c>
      <c r="J17" s="1301"/>
      <c r="K17" s="3225" t="s">
        <v>1826</v>
      </c>
      <c r="L17" s="3226"/>
      <c r="M17" s="3227"/>
      <c r="N17" s="3225" t="s">
        <v>1827</v>
      </c>
      <c r="O17" s="3226"/>
      <c r="P17" s="322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136" t="s">
        <v>3205</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3210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3190</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3211</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0" t="s">
        <v>3030</v>
      </c>
      <c r="B1" s="3241"/>
      <c r="C1" s="3241"/>
      <c r="D1" s="3241"/>
      <c r="E1" s="3241"/>
      <c r="F1" s="3241"/>
      <c r="G1" s="324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39" hidden="1" thickBot="1">
      <c r="A3" s="2667" t="s">
        <v>3028</v>
      </c>
      <c r="B3" s="2689" t="s">
        <v>2999</v>
      </c>
      <c r="C3" s="3143" t="s">
        <v>3283</v>
      </c>
      <c r="D3" s="2690"/>
      <c r="E3" s="2668" t="s">
        <v>3028</v>
      </c>
      <c r="F3" s="2691" t="s">
        <v>3000</v>
      </c>
      <c r="G3" s="2692" t="s">
        <v>3029</v>
      </c>
      <c r="H3" s="907"/>
      <c r="I3" s="907"/>
      <c r="J3" s="907"/>
      <c r="K3" s="907"/>
      <c r="L3" s="907"/>
      <c r="M3" s="907"/>
      <c r="N3" s="907"/>
      <c r="O3" s="907"/>
      <c r="P3" s="907"/>
      <c r="Q3" s="907"/>
      <c r="R3" s="907"/>
    </row>
    <row r="4" spans="1:29" ht="39" thickBot="1">
      <c r="A4" s="2668"/>
      <c r="B4" s="329" t="s">
        <v>3001</v>
      </c>
      <c r="C4" s="3143" t="s">
        <v>3283</v>
      </c>
      <c r="D4" s="2690"/>
      <c r="E4" s="2694"/>
      <c r="F4" s="1557" t="s">
        <v>3002</v>
      </c>
      <c r="G4" s="2695" t="s">
        <v>3003</v>
      </c>
      <c r="H4" s="907"/>
      <c r="I4" s="907"/>
      <c r="J4" s="907"/>
      <c r="K4" s="907"/>
      <c r="L4" s="907"/>
      <c r="M4" s="907"/>
      <c r="N4" s="907"/>
      <c r="O4" s="907"/>
      <c r="P4" s="907"/>
      <c r="Q4" s="907"/>
      <c r="R4" s="907"/>
    </row>
    <row r="5" spans="1:29" ht="36.75" hidden="1">
      <c r="A5" s="2668"/>
      <c r="B5" s="329" t="s">
        <v>3004</v>
      </c>
      <c r="C5" s="2693" t="s">
        <v>3005</v>
      </c>
      <c r="D5" s="2690"/>
      <c r="E5" s="2694"/>
      <c r="F5" s="329" t="s">
        <v>3006</v>
      </c>
      <c r="G5" s="2695" t="s">
        <v>3007</v>
      </c>
      <c r="H5" s="907"/>
      <c r="I5" s="907"/>
      <c r="J5" s="907"/>
      <c r="K5" s="907"/>
      <c r="L5" s="907"/>
      <c r="M5" s="907"/>
      <c r="N5" s="907"/>
      <c r="O5" s="907"/>
      <c r="P5" s="907"/>
      <c r="Q5" s="907"/>
      <c r="R5" s="907"/>
    </row>
    <row r="6" spans="1:29" ht="63.75">
      <c r="A6" s="2668"/>
      <c r="B6" s="329" t="s">
        <v>3008</v>
      </c>
      <c r="C6" s="3144" t="s">
        <v>3285</v>
      </c>
      <c r="D6" s="2690"/>
      <c r="E6" s="2694"/>
      <c r="F6" s="329" t="s">
        <v>3009</v>
      </c>
      <c r="G6" s="2695" t="s">
        <v>3010</v>
      </c>
      <c r="H6" s="907"/>
      <c r="I6" s="907"/>
      <c r="J6" s="907"/>
      <c r="K6" s="907"/>
      <c r="L6" s="907"/>
      <c r="M6" s="907"/>
      <c r="N6" s="907"/>
      <c r="O6" s="907"/>
      <c r="P6" s="907"/>
      <c r="Q6" s="907"/>
      <c r="R6" s="907"/>
    </row>
    <row r="7" spans="1:29" ht="171.75" thickBot="1">
      <c r="A7" s="2668"/>
      <c r="B7" s="329" t="s">
        <v>3006</v>
      </c>
      <c r="C7" s="3146" t="s">
        <v>3287</v>
      </c>
      <c r="D7" s="2696"/>
      <c r="E7" s="2697"/>
      <c r="F7" s="2698" t="s">
        <v>3011</v>
      </c>
      <c r="G7" s="2699" t="s">
        <v>3012</v>
      </c>
      <c r="H7" s="907"/>
      <c r="I7" s="907"/>
      <c r="J7" s="907"/>
      <c r="K7" s="907"/>
      <c r="L7" s="907"/>
      <c r="M7" s="907"/>
      <c r="N7" s="907"/>
      <c r="O7" s="907"/>
      <c r="P7" s="907"/>
      <c r="Q7" s="907"/>
      <c r="R7" s="907"/>
    </row>
    <row r="8" spans="1:29" ht="24.75">
      <c r="A8" s="2668"/>
      <c r="B8" s="329" t="s">
        <v>3009</v>
      </c>
      <c r="C8" s="3146" t="s">
        <v>3284</v>
      </c>
      <c r="D8" s="2696"/>
      <c r="E8" s="2696"/>
      <c r="F8" s="2700"/>
      <c r="G8" s="2700"/>
      <c r="H8" s="907"/>
      <c r="I8" s="907"/>
      <c r="J8" s="907"/>
      <c r="K8" s="907"/>
      <c r="L8" s="907"/>
      <c r="M8" s="907"/>
      <c r="N8" s="907"/>
      <c r="O8" s="907"/>
      <c r="P8" s="907"/>
      <c r="Q8" s="907"/>
      <c r="R8" s="907"/>
    </row>
    <row r="9" spans="1:29" ht="82.5">
      <c r="A9" s="2668"/>
      <c r="B9" s="329" t="s">
        <v>3013</v>
      </c>
      <c r="C9" s="3145" t="s">
        <v>3288</v>
      </c>
      <c r="D9" s="2690"/>
      <c r="E9" s="2696"/>
      <c r="F9" s="2700"/>
      <c r="G9" s="2700"/>
      <c r="H9" s="907"/>
      <c r="I9" s="907"/>
      <c r="J9" s="907"/>
      <c r="K9" s="907"/>
      <c r="L9" s="907"/>
      <c r="M9" s="907"/>
      <c r="N9" s="907"/>
      <c r="O9" s="907"/>
      <c r="P9" s="907"/>
      <c r="Q9" s="907"/>
      <c r="R9" s="907"/>
    </row>
    <row r="10" spans="1:29" s="2705" customFormat="1" ht="24.75" thickBot="1">
      <c r="A10" s="2669"/>
      <c r="B10" s="2701" t="s">
        <v>3014</v>
      </c>
      <c r="C10" s="3147" t="s">
        <v>3286</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3031</v>
      </c>
      <c r="B13" s="2708"/>
      <c r="C13" s="2708"/>
      <c r="D13" s="2706"/>
      <c r="E13" s="2708"/>
      <c r="F13" s="2708"/>
      <c r="G13" s="2708"/>
    </row>
    <row r="14" spans="1:29" ht="15" thickBot="1">
      <c r="A14" s="2718"/>
      <c r="B14" s="2718"/>
      <c r="C14" s="2719" t="s">
        <v>3015</v>
      </c>
      <c r="D14" s="2690"/>
      <c r="E14" s="2720"/>
      <c r="F14" s="2720"/>
      <c r="G14" s="2686" t="s">
        <v>3016</v>
      </c>
    </row>
    <row r="15" spans="1:29" ht="51">
      <c r="A15" s="2670" t="s">
        <v>3017</v>
      </c>
      <c r="B15" s="2721" t="s">
        <v>2999</v>
      </c>
      <c r="C15" s="2722" t="str">
        <f>C3</f>
        <v>估价对象周边有光耀东方广场、西单商场（万方店）、北京长安商场等项目，商业繁华程度较好。</v>
      </c>
      <c r="D15" s="2690"/>
      <c r="E15" s="2671" t="s">
        <v>3018</v>
      </c>
      <c r="F15" s="2721" t="s">
        <v>3019</v>
      </c>
      <c r="G15" s="2723" t="str">
        <f>G3</f>
        <v>估价对象位于XX开发区，园区建设成熟度XX，产业集聚程度XX</v>
      </c>
    </row>
    <row r="16" spans="1:29" ht="51">
      <c r="A16" s="2672"/>
      <c r="B16" s="2724" t="s">
        <v>3001</v>
      </c>
      <c r="C16" s="2725" t="str">
        <f>C4</f>
        <v>估价对象周边有光耀东方广场、西单商场（万方店）、北京长安商场等项目，商业繁华程度较好。</v>
      </c>
      <c r="D16" s="2690"/>
      <c r="E16" s="2673"/>
      <c r="F16" s="2726" t="s">
        <v>3002</v>
      </c>
      <c r="G16" s="2727" t="str">
        <f>G4</f>
        <v>估价对象周边道路状况、公共交通通达情况、停车便捷程度，综合评价交通便捷度较好</v>
      </c>
    </row>
    <row r="17" spans="1:18" ht="38.25">
      <c r="A17" s="2672"/>
      <c r="B17" s="2724" t="s">
        <v>3004</v>
      </c>
      <c r="C17" s="2725" t="str">
        <f>C5</f>
        <v>估价对象位于XX商圈，周边办公楼项目较多，入驻率高，办公集聚程度较好</v>
      </c>
      <c r="D17" s="2696"/>
      <c r="E17" s="2673"/>
      <c r="F17" s="2726" t="s">
        <v>3020</v>
      </c>
      <c r="G17" s="2728"/>
    </row>
    <row r="18" spans="1:18" ht="63.75">
      <c r="A18" s="2672"/>
      <c r="B18" s="2726" t="s">
        <v>3008</v>
      </c>
      <c r="C18" s="2727" t="str">
        <f>C6</f>
        <v>距地铁1、9号线军事博物馆站约400米，距地铁1号线木樨地约900米；周边有1路、21路、65路、85路、78路等多条公交线路经过，交通便捷度好。</v>
      </c>
      <c r="D18" s="2696"/>
      <c r="E18" s="2673"/>
      <c r="F18" s="2726" t="s">
        <v>3011</v>
      </c>
      <c r="G18" s="2727" t="str">
        <f>G7</f>
        <v>该园区内是否有污染型企业，绿化情况，卫生条件，整体环境状况判断</v>
      </c>
    </row>
    <row r="19" spans="1:18" ht="25.5">
      <c r="A19" s="2672"/>
      <c r="B19" s="2726" t="s">
        <v>3021</v>
      </c>
      <c r="C19" s="2728"/>
      <c r="D19" s="2690"/>
      <c r="E19" s="2673"/>
      <c r="F19" s="329" t="s">
        <v>3006</v>
      </c>
      <c r="G19" s="2727" t="str">
        <f>G5</f>
        <v>估价对象所在区域公共配套设施齐备情况</v>
      </c>
    </row>
    <row r="20" spans="1:18" ht="63.75">
      <c r="A20" s="2672"/>
      <c r="B20" s="2726" t="s">
        <v>3022</v>
      </c>
      <c r="C20" s="2725" t="str">
        <f>C9</f>
        <v>自然环境：紫竹院公园、玉渊潭公园、玲珑公园等自然景观；
人文环境：中国人民军事博物馆等人文场所；
综合评价环境状况好。</v>
      </c>
      <c r="D20" s="2696"/>
      <c r="E20" s="2673"/>
      <c r="F20" s="329" t="s">
        <v>3009</v>
      </c>
      <c r="G20" s="2727" t="str">
        <f>G6</f>
        <v>估价对象所在区域基础设施水平</v>
      </c>
    </row>
    <row r="21" spans="1:18" ht="178.5">
      <c r="A21" s="2672"/>
      <c r="B21" s="329" t="s">
        <v>3006</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3023</v>
      </c>
      <c r="G21" s="2729"/>
    </row>
    <row r="22" spans="1:18" ht="13.5" customHeight="1">
      <c r="A22" s="2672"/>
      <c r="B22" s="329" t="s">
        <v>3009</v>
      </c>
      <c r="C22" s="2727" t="str">
        <f>C8</f>
        <v>估价对象所在区域基础设施水平-七通</v>
      </c>
      <c r="D22" s="2690"/>
      <c r="E22" s="2673"/>
      <c r="F22" s="2726" t="s">
        <v>3014</v>
      </c>
      <c r="G22" s="2728"/>
    </row>
    <row r="23" spans="1:18" s="907" customFormat="1" ht="15" thickBot="1">
      <c r="A23" s="2672"/>
      <c r="B23" s="2726" t="s">
        <v>3023</v>
      </c>
      <c r="C23" s="2729"/>
      <c r="D23" s="1927"/>
      <c r="E23" s="2674"/>
      <c r="F23" s="2730" t="s">
        <v>3024</v>
      </c>
      <c r="G23" s="2731"/>
      <c r="H23" s="2715"/>
      <c r="I23" s="2716"/>
      <c r="J23" s="2715"/>
      <c r="K23" s="2715"/>
      <c r="L23" s="2716"/>
      <c r="M23" s="2715"/>
      <c r="N23" s="2715"/>
      <c r="O23" s="2716"/>
      <c r="P23" s="2715"/>
      <c r="Q23" s="2715"/>
      <c r="R23" s="2717"/>
    </row>
    <row r="24" spans="1:18" s="907" customFormat="1" ht="26.25" thickBot="1">
      <c r="A24" s="2675"/>
      <c r="B24" s="2730" t="s">
        <v>3025</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994.5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44341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SUM(D14:D23)</f>
        <v>6148</v>
      </c>
      <c r="C5" s="2736">
        <f>ROUND(B5*10000/$B$1,0)</f>
        <v>61820</v>
      </c>
      <c r="D5" s="2736" t="e">
        <f>ROUND(B5*10000/$B$2,0)</f>
        <v>#DIV/0!</v>
      </c>
      <c r="E5" s="2913"/>
      <c r="F5" s="2914"/>
      <c r="G5" s="2914"/>
      <c r="H5" s="2915"/>
      <c r="I5" s="2915"/>
      <c r="J5" s="2915"/>
      <c r="K5" s="2915"/>
    </row>
    <row r="6" spans="1:11" ht="16.5">
      <c r="A6" s="2736" t="s">
        <v>1322</v>
      </c>
      <c r="B6" s="2736">
        <f>SUM(G14:G23)</f>
        <v>6148</v>
      </c>
      <c r="C6" s="2736">
        <f>ROUND(B6*10000/$B$1,0)</f>
        <v>61820</v>
      </c>
      <c r="D6" s="2736" t="e">
        <f>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994.5</v>
      </c>
      <c r="C14" s="2742">
        <f>结果表!C118</f>
        <v>0</v>
      </c>
      <c r="D14" s="2742">
        <f>'比较法-商业 (2)'!B2</f>
        <v>6148</v>
      </c>
      <c r="E14" s="2742">
        <f>ROUND(D14*10000/B14,0)</f>
        <v>61820</v>
      </c>
      <c r="F14" s="2742" t="e">
        <f>ROUND(D14*10000/C14,0)</f>
        <v>#DIV/0!</v>
      </c>
      <c r="G14" s="2742">
        <f>D14</f>
        <v>6148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76" t="str">
        <f>项目基本情况!S2</f>
        <v>北京市房地产</v>
      </c>
      <c r="B2" s="3277"/>
      <c r="C2" s="3277"/>
      <c r="D2" s="3277"/>
      <c r="E2" s="3277"/>
      <c r="F2" s="3277"/>
      <c r="G2" s="3277"/>
      <c r="H2" s="3277"/>
      <c r="I2" s="3278"/>
    </row>
    <row r="3" spans="1:12" ht="12.75">
      <c r="A3" s="3280" t="s">
        <v>1950</v>
      </c>
      <c r="B3" s="3281"/>
      <c r="C3" s="3281"/>
      <c r="D3" s="3281"/>
      <c r="E3" s="3281"/>
      <c r="F3" s="3281"/>
      <c r="G3" s="3281"/>
      <c r="H3" s="3281"/>
      <c r="I3" s="3281"/>
    </row>
    <row r="4" spans="1:12" ht="14.25">
      <c r="A4" s="1940" t="s">
        <v>1951</v>
      </c>
      <c r="B4" s="1941" t="s">
        <v>1952</v>
      </c>
      <c r="C4" s="1942"/>
      <c r="D4" s="1942"/>
      <c r="E4" s="3282" t="s">
        <v>1953</v>
      </c>
      <c r="F4" s="3283"/>
      <c r="G4" s="3283"/>
      <c r="H4" s="3283"/>
      <c r="I4" s="328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6" t="s">
        <v>1954</v>
      </c>
      <c r="B5" s="3243">
        <v>25</v>
      </c>
      <c r="C5" s="3259"/>
      <c r="D5" s="3279"/>
      <c r="E5" s="136" t="s">
        <v>1955</v>
      </c>
      <c r="F5" s="1943"/>
      <c r="G5" s="1943"/>
      <c r="H5" s="1943"/>
      <c r="I5" s="1557"/>
    </row>
    <row r="6" spans="1:12" ht="12.75">
      <c r="A6" s="3256"/>
      <c r="B6" s="3243"/>
      <c r="C6" s="3260"/>
      <c r="D6" s="3279"/>
      <c r="E6" s="136" t="s">
        <v>1956</v>
      </c>
      <c r="F6" s="1943"/>
      <c r="G6" s="1943"/>
      <c r="H6" s="1943"/>
      <c r="I6" s="1557"/>
    </row>
    <row r="7" spans="1:12" ht="12.75">
      <c r="A7" s="3256"/>
      <c r="B7" s="3243"/>
      <c r="C7" s="3261"/>
      <c r="D7" s="3279"/>
      <c r="E7" s="136" t="s">
        <v>1957</v>
      </c>
      <c r="F7" s="1943"/>
      <c r="G7" s="1943"/>
      <c r="H7" s="1943"/>
      <c r="I7" s="1557"/>
    </row>
    <row r="8" spans="1:12" ht="12.75">
      <c r="A8" s="3256" t="s">
        <v>1958</v>
      </c>
      <c r="B8" s="3243">
        <v>15</v>
      </c>
      <c r="C8" s="3259"/>
      <c r="D8" s="3279"/>
      <c r="E8" s="136" t="s">
        <v>1959</v>
      </c>
      <c r="F8" s="1943"/>
      <c r="G8" s="1943"/>
      <c r="H8" s="1943"/>
      <c r="I8" s="1557"/>
    </row>
    <row r="9" spans="1:12" ht="12.75">
      <c r="A9" s="3256"/>
      <c r="B9" s="3243"/>
      <c r="C9" s="3261"/>
      <c r="D9" s="3279"/>
      <c r="E9" s="136" t="s">
        <v>1960</v>
      </c>
      <c r="F9" s="1943"/>
      <c r="G9" s="1943"/>
      <c r="H9" s="1943"/>
      <c r="I9" s="1557"/>
    </row>
    <row r="10" spans="1:12" ht="12.75">
      <c r="A10" s="3256" t="s">
        <v>1961</v>
      </c>
      <c r="B10" s="3243">
        <v>15</v>
      </c>
      <c r="C10" s="3259"/>
      <c r="D10" s="3279"/>
      <c r="E10" s="136" t="s">
        <v>1962</v>
      </c>
      <c r="F10" s="1943"/>
      <c r="G10" s="1943"/>
      <c r="H10" s="1943"/>
      <c r="I10" s="1557"/>
    </row>
    <row r="11" spans="1:12" ht="12.75">
      <c r="A11" s="3256"/>
      <c r="B11" s="3243"/>
      <c r="C11" s="3261"/>
      <c r="D11" s="3279"/>
      <c r="E11" s="136" t="s">
        <v>1963</v>
      </c>
      <c r="F11" s="1943"/>
      <c r="G11" s="1943"/>
      <c r="H11" s="1943"/>
      <c r="I11" s="1557"/>
    </row>
    <row r="12" spans="1:12" ht="12.75">
      <c r="A12" s="3256" t="s">
        <v>1964</v>
      </c>
      <c r="B12" s="3243">
        <v>15</v>
      </c>
      <c r="C12" s="3259"/>
      <c r="D12" s="3279"/>
      <c r="E12" s="136" t="s">
        <v>1965</v>
      </c>
      <c r="F12" s="1943"/>
      <c r="G12" s="1943"/>
      <c r="H12" s="1943"/>
      <c r="I12" s="1557"/>
    </row>
    <row r="13" spans="1:12" ht="12.75">
      <c r="A13" s="3256"/>
      <c r="B13" s="3243"/>
      <c r="C13" s="3261"/>
      <c r="D13" s="3279"/>
      <c r="E13" s="136" t="s">
        <v>1966</v>
      </c>
      <c r="F13" s="1943"/>
      <c r="G13" s="1943"/>
      <c r="H13" s="1943"/>
      <c r="I13" s="1557"/>
    </row>
    <row r="14" spans="1:12" ht="12.75">
      <c r="A14" s="3256" t="s">
        <v>1967</v>
      </c>
      <c r="B14" s="3243">
        <v>30</v>
      </c>
      <c r="C14" s="3259"/>
      <c r="D14" s="3279"/>
      <c r="E14" s="136" t="s">
        <v>1968</v>
      </c>
      <c r="F14" s="1943"/>
      <c r="G14" s="1943"/>
      <c r="H14" s="1943"/>
      <c r="I14" s="1557"/>
    </row>
    <row r="15" spans="1:12" ht="12.75">
      <c r="A15" s="3256"/>
      <c r="B15" s="3243"/>
      <c r="C15" s="3260"/>
      <c r="D15" s="3279"/>
      <c r="E15" s="136" t="s">
        <v>1969</v>
      </c>
      <c r="F15" s="1943"/>
      <c r="G15" s="1943"/>
      <c r="H15" s="1943"/>
      <c r="I15" s="1557"/>
    </row>
    <row r="16" spans="1:12" ht="12.75">
      <c r="A16" s="3256"/>
      <c r="B16" s="3243"/>
      <c r="C16" s="3261"/>
      <c r="D16" s="3279"/>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1.9" customHeight="1" thickBot="1">
      <c r="A18" s="1945" t="s">
        <v>1974</v>
      </c>
      <c r="B18" s="1946"/>
      <c r="C18" s="138" t="e">
        <f>ROUND(C17/SUM(C17:D17),2)</f>
        <v>#DIV/0!</v>
      </c>
      <c r="D18" s="138" t="e">
        <f>1-C18</f>
        <v>#DIV/0!</v>
      </c>
      <c r="E18" s="3266" t="s">
        <v>2874</v>
      </c>
      <c r="F18" s="3267"/>
      <c r="G18" s="3267"/>
      <c r="H18" s="3267"/>
      <c r="I18" s="3267"/>
      <c r="K18" s="308" t="s">
        <v>1975</v>
      </c>
      <c r="L18" s="308">
        <f>IF(C1="",'数据-汇总表'!E3,SUMIF(项目类型,C1,'数据-汇总表'!E17:E26)+SUMIF(项目类型,C1,'数据-汇总表'!I17:I26))</f>
        <v>994.5</v>
      </c>
      <c r="M18" s="308">
        <f>IF(C1="",'数据-汇总表'!E3,SUMIF(项目类型,C1,'数据-汇总表'!E17:E26))</f>
        <v>994.5</v>
      </c>
    </row>
    <row r="19" spans="1:36" ht="15">
      <c r="A19" s="1947" t="s">
        <v>1976</v>
      </c>
      <c r="B19" s="1948" t="s">
        <v>1977</v>
      </c>
      <c r="C19" s="139" t="e">
        <f ca="1">SUMIF(INDIRECT("'"&amp;C4&amp;"'"&amp;"!A:A"),结果表!B19,INDIRECT("'"&amp;C4&amp;"'"&amp;"!B:B"))</f>
        <v>#REF!</v>
      </c>
      <c r="D19" s="140" t="e">
        <f ca="1">SUMIF(INDIRECT("'"&amp;D4&amp;"'"&amp;"!A:A"),结果表!B19,INDIRECT("'"&amp;D4&amp;"'"&amp;"!B:B"))</f>
        <v>#REF!</v>
      </c>
      <c r="E19" s="1947" t="s">
        <v>1978</v>
      </c>
      <c r="F19" s="1948" t="s">
        <v>1977</v>
      </c>
      <c r="G19" s="141" t="e">
        <f ca="1">ROUND(C19*$C$18+D19*$D$18,0)</f>
        <v>#REF!</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t="e">
        <f ca="1">SUMIF(INDIRECT("'"&amp;C4&amp;"'"&amp;"!A:A"),结果表!B20,INDIRECT("'"&amp;C4&amp;"'"&amp;"!B:B"))</f>
        <v>#REF!</v>
      </c>
      <c r="D20" s="143" t="e">
        <f ca="1">SUMIF(INDIRECT("'"&amp;D4&amp;"'"&amp;"!A:A"),结果表!B20,INDIRECT("'"&amp;D4&amp;"'"&amp;"!B:B"))</f>
        <v>#REF!</v>
      </c>
      <c r="E20" s="1950"/>
      <c r="F20" s="1157" t="s">
        <v>1981</v>
      </c>
      <c r="G20" s="144" t="e">
        <f ca="1">ROUND(C20*$C$18+D20*$D$18,0)</f>
        <v>#REF!</v>
      </c>
      <c r="H20" s="917" t="s">
        <v>1982</v>
      </c>
      <c r="I20" s="134"/>
    </row>
    <row r="21" spans="1:36" ht="15" customHeight="1" thickBot="1">
      <c r="A21" s="937"/>
      <c r="B21" s="1951" t="s">
        <v>1983</v>
      </c>
      <c r="C21" s="728" t="e">
        <f ca="1">ROUND(C19*10000/L19,0)</f>
        <v>#REF!</v>
      </c>
      <c r="D21" s="729" t="e">
        <f ca="1">ROUND(D19*10000/L19,0)</f>
        <v>#REF!</v>
      </c>
      <c r="E21" s="937"/>
      <c r="F21" s="1951" t="s">
        <v>1983</v>
      </c>
      <c r="G21" s="145" t="e">
        <f ca="1">ROUND(G19*10000/L19,0)</f>
        <v>#REF!</v>
      </c>
      <c r="H21" s="1952" t="s">
        <v>1982</v>
      </c>
      <c r="I21" s="134"/>
    </row>
    <row r="22" spans="1:36" ht="15" thickBot="1">
      <c r="A22" s="1874" t="s">
        <v>1984</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0" t="s">
        <v>1985</v>
      </c>
      <c r="B24" s="1948" t="s">
        <v>1977</v>
      </c>
      <c r="C24" s="141">
        <f>IF(B30=0,0,D30)</f>
        <v>0</v>
      </c>
      <c r="D24" s="1955"/>
      <c r="E24" s="134"/>
      <c r="F24" s="134"/>
      <c r="G24" s="134"/>
      <c r="H24" s="134"/>
      <c r="I24" s="134"/>
    </row>
    <row r="25" spans="1:36" ht="14.25">
      <c r="A25" s="325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#REF!</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70" t="s">
        <v>1998</v>
      </c>
      <c r="B36" s="1973" t="s">
        <v>1999</v>
      </c>
      <c r="C36" s="150"/>
      <c r="D36" s="1974"/>
      <c r="E36" s="1975"/>
      <c r="F36" s="1976"/>
      <c r="G36" s="134"/>
      <c r="H36" s="134"/>
      <c r="I36" s="134"/>
    </row>
    <row r="37" spans="1:15" ht="15.75" thickBot="1">
      <c r="A37" s="3271"/>
      <c r="B37" s="1860" t="s">
        <v>2000</v>
      </c>
      <c r="C37" s="152"/>
      <c r="D37" s="1301"/>
      <c r="E37" s="1301"/>
      <c r="F37" s="1976"/>
      <c r="G37" s="134"/>
      <c r="H37" s="134"/>
      <c r="I37" s="134"/>
    </row>
    <row r="38" spans="1:15" ht="15.75" thickBot="1">
      <c r="A38" s="327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7" t="s">
        <v>2012</v>
      </c>
      <c r="B45" s="3248"/>
      <c r="C45" s="3249"/>
      <c r="D45" s="160" t="e">
        <f ca="1">ROUND(H101*F45,0)</f>
        <v>#REF!</v>
      </c>
      <c r="E45" s="161" t="s">
        <v>2013</v>
      </c>
      <c r="F45" s="162">
        <v>1</v>
      </c>
      <c r="G45" s="163" t="s">
        <v>2014</v>
      </c>
      <c r="H45" s="134"/>
      <c r="I45" s="134"/>
      <c r="J45" s="3328" t="s">
        <v>2015</v>
      </c>
      <c r="K45" s="3328"/>
      <c r="L45" s="3328"/>
      <c r="M45" s="3328"/>
      <c r="N45" s="3328"/>
      <c r="O45" s="3328"/>
    </row>
    <row r="46" spans="1:15" ht="14.25" customHeight="1">
      <c r="A46" s="3244" t="s">
        <v>2016</v>
      </c>
      <c r="B46" s="3245"/>
      <c r="C46" s="3245"/>
      <c r="D46" s="3245"/>
      <c r="E46" s="3245"/>
      <c r="F46" s="3245"/>
      <c r="G46" s="3246"/>
      <c r="H46" s="1992"/>
      <c r="I46" s="164"/>
      <c r="J46" s="2747">
        <v>1</v>
      </c>
      <c r="K46" s="3309" t="s">
        <v>2017</v>
      </c>
      <c r="L46" s="3309"/>
      <c r="M46" s="3329"/>
      <c r="N46" s="3329"/>
      <c r="O46" s="3329"/>
    </row>
    <row r="47" spans="1:15" ht="12" customHeight="1">
      <c r="A47" s="165" t="s">
        <v>2018</v>
      </c>
      <c r="B47" s="166"/>
      <c r="C47" s="167"/>
      <c r="D47" s="1247" t="s">
        <v>2019</v>
      </c>
      <c r="E47" s="308" t="s">
        <v>2020</v>
      </c>
      <c r="F47" s="168" t="s">
        <v>2021</v>
      </c>
      <c r="G47" s="2770" t="s">
        <v>2022</v>
      </c>
      <c r="H47" s="2771"/>
      <c r="I47" s="164"/>
      <c r="J47" s="2747">
        <v>2</v>
      </c>
      <c r="K47" s="3309" t="s">
        <v>2023</v>
      </c>
      <c r="L47" s="3309"/>
      <c r="M47" s="3330">
        <f>'数据-取费表'!B2</f>
        <v>44341</v>
      </c>
      <c r="N47" s="3330"/>
      <c r="O47" s="3330"/>
    </row>
    <row r="48" spans="1:15" ht="25.5">
      <c r="A48" s="3275" t="s">
        <v>2024</v>
      </c>
      <c r="B48" s="3258"/>
      <c r="C48" s="3258"/>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309" t="s">
        <v>2026</v>
      </c>
      <c r="L48" s="3309"/>
      <c r="M48" s="3331" t="e">
        <f ca="1">H101</f>
        <v>#REF!</v>
      </c>
      <c r="N48" s="3331"/>
      <c r="O48" s="3331"/>
    </row>
    <row r="49" spans="1:35" ht="25.5" customHeight="1">
      <c r="A49" s="2556" t="s">
        <v>2027</v>
      </c>
      <c r="B49" s="3242" t="s">
        <v>2028</v>
      </c>
      <c r="C49" s="3242"/>
      <c r="D49" s="1775">
        <v>0</v>
      </c>
      <c r="E49" s="330" t="s">
        <v>2029</v>
      </c>
      <c r="F49" s="2650" t="s">
        <v>34</v>
      </c>
      <c r="G49" s="3315"/>
      <c r="H49" s="2528" t="s">
        <v>2877</v>
      </c>
      <c r="I49" s="2529"/>
      <c r="J49" s="2747">
        <v>4</v>
      </c>
      <c r="K49" s="3309" t="str">
        <f>IF(项目基本情况!E8="房地产抵押价值","房地产抵押价值","抵押担保权已注销时的房地产抵押价值")</f>
        <v>抵押担保权已注销时的房地产抵押价值</v>
      </c>
      <c r="L49" s="3309"/>
      <c r="M49" s="3331" t="str">
        <f>IF(项目基本情况!E8="房地产抵押价值",H107,H109)</f>
        <v>——</v>
      </c>
      <c r="N49" s="3331"/>
      <c r="O49" s="3331"/>
    </row>
    <row r="50" spans="1:35" ht="25.5" customHeight="1">
      <c r="A50" s="2775"/>
      <c r="B50" s="3242" t="s">
        <v>2030</v>
      </c>
      <c r="C50" s="3242"/>
      <c r="D50" s="2776"/>
      <c r="E50" s="338"/>
      <c r="F50" s="2650"/>
      <c r="G50" s="3316"/>
      <c r="H50" s="2530" t="s">
        <v>2878</v>
      </c>
      <c r="I50" s="2529"/>
      <c r="J50" s="3328" t="s">
        <v>2031</v>
      </c>
      <c r="K50" s="3328"/>
      <c r="L50" s="3328"/>
      <c r="M50" s="3328"/>
      <c r="N50" s="3328"/>
      <c r="O50" s="3328"/>
    </row>
    <row r="51" spans="1:35" ht="20.45" customHeight="1">
      <c r="A51" s="2777"/>
      <c r="B51" s="3242" t="s">
        <v>2032</v>
      </c>
      <c r="C51" s="3242"/>
      <c r="D51" s="1247"/>
      <c r="E51" s="333"/>
      <c r="F51" s="2650"/>
      <c r="G51" s="3317"/>
      <c r="H51" s="2530" t="s">
        <v>2879</v>
      </c>
      <c r="I51" s="2529"/>
      <c r="J51" s="2748" t="s">
        <v>2033</v>
      </c>
      <c r="K51" s="3309" t="s">
        <v>2034</v>
      </c>
      <c r="L51" s="3309"/>
      <c r="M51" s="2748" t="s">
        <v>2035</v>
      </c>
      <c r="N51" s="2748" t="s">
        <v>2036</v>
      </c>
      <c r="O51" s="2748" t="s">
        <v>2037</v>
      </c>
    </row>
    <row r="52" spans="1:35" ht="24" customHeight="1">
      <c r="A52" s="2558" t="s">
        <v>2038</v>
      </c>
      <c r="B52" s="3242" t="s">
        <v>2039</v>
      </c>
      <c r="C52" s="3242"/>
      <c r="D52" s="1247" t="e">
        <f ca="1">ROUND(D45*'数据-取费表'!B41/(1+'数据-取费表'!C42),0)</f>
        <v>#REF!</v>
      </c>
      <c r="E52" s="2557" t="s">
        <v>2040</v>
      </c>
      <c r="F52" s="2778">
        <f>'数据-取费表'!B41</f>
        <v>5.6000000000000001E-2</v>
      </c>
      <c r="G52" s="2779"/>
      <c r="H52" s="2768"/>
      <c r="I52" s="1993"/>
      <c r="J52" s="2747">
        <v>1</v>
      </c>
      <c r="K52" s="3310" t="s">
        <v>2041</v>
      </c>
      <c r="L52" s="3310"/>
      <c r="M52" s="2749" t="b">
        <f>D48</f>
        <v>0</v>
      </c>
      <c r="N52" s="2747" t="str">
        <f>E48</f>
        <v>销售额×税（费）率</v>
      </c>
      <c r="O52" s="2750">
        <f>F48</f>
        <v>5.6000000000000001E-2</v>
      </c>
    </row>
    <row r="53" spans="1:35" ht="12" customHeight="1">
      <c r="A53" s="2558" t="s">
        <v>2042</v>
      </c>
      <c r="B53" s="3268" t="s">
        <v>3035</v>
      </c>
      <c r="C53" s="3269"/>
      <c r="D53" s="1247" t="e">
        <f ca="1">ROUND(D45*'数据-取费表'!B41/(1+'数据-取费表'!C42),0)</f>
        <v>#REF!</v>
      </c>
      <c r="E53" s="2557" t="s">
        <v>2040</v>
      </c>
      <c r="F53" s="2778">
        <f>'数据-取费表'!B41</f>
        <v>5.6000000000000001E-2</v>
      </c>
      <c r="G53" s="2779"/>
      <c r="H53" s="2768"/>
      <c r="I53" s="1993"/>
      <c r="J53" s="2747">
        <v>2</v>
      </c>
      <c r="K53" s="3310" t="s">
        <v>2043</v>
      </c>
      <c r="L53" s="3310"/>
      <c r="M53" s="2749" t="e">
        <f t="shared" ref="M53:O54" ca="1" si="0">D55</f>
        <v>#REF!</v>
      </c>
      <c r="N53" s="2747" t="str">
        <f t="shared" si="0"/>
        <v>销售额×税（费）率</v>
      </c>
      <c r="O53" s="2750" t="str">
        <f t="shared" si="0"/>
        <v>免征</v>
      </c>
    </row>
    <row r="54" spans="1:35" ht="12" customHeight="1">
      <c r="A54" s="2558" t="s">
        <v>2044</v>
      </c>
      <c r="B54" s="3268" t="s">
        <v>3036</v>
      </c>
      <c r="C54" s="3269"/>
      <c r="D54" s="1247" t="e">
        <f ca="1">C68</f>
        <v>#REF!</v>
      </c>
      <c r="E54" s="333" t="s">
        <v>2045</v>
      </c>
      <c r="F54" s="2778">
        <f>'数据-取费表'!B41</f>
        <v>5.6000000000000001E-2</v>
      </c>
      <c r="G54" s="2779"/>
      <c r="H54" s="2780"/>
      <c r="I54" s="1993"/>
      <c r="J54" s="2747">
        <v>3</v>
      </c>
      <c r="K54" s="3310" t="s">
        <v>2046</v>
      </c>
      <c r="L54" s="3310"/>
      <c r="M54" s="2749" t="e">
        <f t="shared" ca="1" si="0"/>
        <v>#REF!</v>
      </c>
      <c r="N54" s="2747" t="str">
        <f t="shared" si="0"/>
        <v>增值额×税（费）率</v>
      </c>
      <c r="O54" s="2751" t="str">
        <f t="shared" si="0"/>
        <v>免征</v>
      </c>
    </row>
    <row r="55" spans="1:35" ht="24" customHeight="1">
      <c r="A55" s="3257" t="s">
        <v>2047</v>
      </c>
      <c r="B55" s="3258"/>
      <c r="C55" s="3258"/>
      <c r="D55" s="2547" t="e">
        <f ca="1">IF(H55="个人住宅",0,ROUND(D45*I55,0))</f>
        <v>#REF!</v>
      </c>
      <c r="E55" s="2557" t="s">
        <v>2048</v>
      </c>
      <c r="F55" s="2778" t="str">
        <f>IF(H55="正常",I55,"免征")</f>
        <v>免征</v>
      </c>
      <c r="G55" s="2779"/>
      <c r="H55" s="2774"/>
      <c r="I55" s="170">
        <f>'数据-取费表'!B49</f>
        <v>5.0000000000000001E-4</v>
      </c>
      <c r="J55" s="2747">
        <f>IF(H59="非个人房产","",4)</f>
        <v>4</v>
      </c>
      <c r="K55" s="3310" t="str">
        <f>IF(H59="非个人房产","——","个人所得税")</f>
        <v>个人所得税</v>
      </c>
      <c r="L55" s="3310"/>
      <c r="M55" s="2752" t="e">
        <f ca="1">D59</f>
        <v>#REF!</v>
      </c>
      <c r="N55" s="2228" t="str">
        <f>E59</f>
        <v>差额计税</v>
      </c>
      <c r="O55" s="2753">
        <f>F59</f>
        <v>0.01</v>
      </c>
    </row>
    <row r="56" spans="1:35" ht="24.75">
      <c r="A56" s="3257" t="s">
        <v>2049</v>
      </c>
      <c r="B56" s="3258"/>
      <c r="C56" s="3258"/>
      <c r="D56" s="2547" t="e">
        <f ca="1">IF(H56="个人住宅",D57,D58)</f>
        <v>#REF!</v>
      </c>
      <c r="E56" s="2557" t="s">
        <v>2050</v>
      </c>
      <c r="F56" s="2778" t="str">
        <f>IF(H56="正常",F58,"免征")</f>
        <v>免征</v>
      </c>
      <c r="G56" s="2781" t="s">
        <v>2051</v>
      </c>
      <c r="H56" s="2782"/>
      <c r="I56" s="1994"/>
      <c r="J56" s="2747" t="str">
        <f>IF(项目基本情况!K6="上海银行",IF(J55="",4,J55+1),"")</f>
        <v/>
      </c>
      <c r="K56" s="3333" t="str">
        <f>IF(项目基本情况!K6="上海银行","其他处置费用","")</f>
        <v/>
      </c>
      <c r="L56" s="3334"/>
      <c r="M56" s="2749" t="str">
        <f>IF(项目基本情况!K6="上海银行",M69,"")</f>
        <v/>
      </c>
      <c r="N56" s="3333" t="str">
        <f>IF(项目基本情况!K6="上海银行","包含处置中涉及的律师、诉讼、拍卖、评估等费用","")</f>
        <v/>
      </c>
      <c r="O56" s="3336"/>
    </row>
    <row r="57" spans="1:35" ht="12.75">
      <c r="A57" s="2558" t="s">
        <v>2027</v>
      </c>
      <c r="B57" s="3268" t="s">
        <v>2052</v>
      </c>
      <c r="C57" s="3269"/>
      <c r="D57" s="1775">
        <v>0</v>
      </c>
      <c r="E57" s="330" t="s">
        <v>2029</v>
      </c>
      <c r="F57" s="308"/>
      <c r="G57" s="2779"/>
      <c r="H57" s="2783"/>
      <c r="I57" s="1994"/>
      <c r="J57" s="3310">
        <f>IF(AND(J55="",J56=""),4,IF(项目基本情况!K6="上海银行",结果表!J56+1,结果表!J55+1))</f>
        <v>5</v>
      </c>
      <c r="K57" s="3310" t="s">
        <v>2053</v>
      </c>
      <c r="L57" s="2754" t="s">
        <v>2054</v>
      </c>
      <c r="M57" s="2755"/>
      <c r="N57" s="2756">
        <f ca="1">SUMIF(M52:M56,"&lt;9e307")</f>
        <v>0</v>
      </c>
      <c r="O57" s="2757"/>
      <c r="P57" s="2917" t="e">
        <f ca="1">N57/M49</f>
        <v>#VALUE!</v>
      </c>
    </row>
    <row r="58" spans="1:35" ht="24.75">
      <c r="A58" s="2558" t="s">
        <v>2038</v>
      </c>
      <c r="B58" s="3268" t="s">
        <v>2055</v>
      </c>
      <c r="C58" s="3242"/>
      <c r="D58" s="2547" t="e">
        <f ca="1">IF(H58="转让取得",C81,C97)</f>
        <v>#REF!</v>
      </c>
      <c r="E58" s="2557" t="s">
        <v>2050</v>
      </c>
      <c r="F58" s="308" t="s">
        <v>34</v>
      </c>
      <c r="G58" s="2779"/>
      <c r="H58" s="2782"/>
      <c r="I58" s="1994"/>
      <c r="J58" s="3310"/>
      <c r="K58" s="3310"/>
      <c r="L58" s="2754" t="s">
        <v>2056</v>
      </c>
      <c r="M58" s="2758"/>
      <c r="N58" s="2759" t="str">
        <f ca="1">NUMBERSTRING(INT(N57*10000),2)&amp;"元整"</f>
        <v>零元整</v>
      </c>
      <c r="O58" s="2760"/>
    </row>
    <row r="59" spans="1:35" ht="24.75" thickBot="1">
      <c r="A59" s="3313" t="s">
        <v>2057</v>
      </c>
      <c r="B59" s="3314"/>
      <c r="C59" s="3314"/>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311">
        <f>J57+1</f>
        <v>6</v>
      </c>
      <c r="K59" s="3310" t="s">
        <v>2058</v>
      </c>
      <c r="L59" s="2747" t="s">
        <v>2054</v>
      </c>
      <c r="M59" s="2761"/>
      <c r="N59" s="2762" t="e">
        <f ca="1">M49-N57</f>
        <v>#VALUE!</v>
      </c>
      <c r="O59" s="2763"/>
    </row>
    <row r="60" spans="1:35" ht="12" customHeight="1">
      <c r="A60" s="1995"/>
      <c r="B60" s="1933"/>
      <c r="C60" s="1933"/>
      <c r="D60" s="1933"/>
      <c r="E60" s="1763"/>
      <c r="F60" s="1994"/>
      <c r="G60" s="1994"/>
      <c r="H60" s="1996"/>
      <c r="I60" s="134"/>
      <c r="J60" s="3312"/>
      <c r="K60" s="3310"/>
      <c r="L60" s="2754" t="s">
        <v>2056</v>
      </c>
      <c r="M60" s="2758"/>
      <c r="N60" s="2759" t="e">
        <f ca="1">NUMBERSTRING(INT(N59*10000),2)&amp;"元整"</f>
        <v>#VALUE!</v>
      </c>
      <c r="O60" s="2760"/>
    </row>
    <row r="61" spans="1:35" ht="13.5" thickBot="1">
      <c r="A61" s="3255" t="s">
        <v>2059</v>
      </c>
      <c r="B61" s="3255"/>
      <c r="C61" s="3255"/>
      <c r="D61" s="3255"/>
      <c r="E61" s="3255"/>
      <c r="F61" s="1994"/>
      <c r="G61" s="1994"/>
      <c r="H61" s="1996"/>
      <c r="I61" s="134"/>
      <c r="J61" s="2747">
        <f>J59+1</f>
        <v>7</v>
      </c>
      <c r="K61" s="3310" t="s">
        <v>2060</v>
      </c>
      <c r="L61" s="3310"/>
      <c r="M61" s="2764"/>
      <c r="N61" s="2765" t="e">
        <f ca="1">ROUND(N59*10000/'数据-汇总表'!E3,0)</f>
        <v>#VALUE!</v>
      </c>
      <c r="O61" s="2766"/>
    </row>
    <row r="62" spans="1:35" ht="12.75">
      <c r="A62" s="3273" t="s">
        <v>2061</v>
      </c>
      <c r="B62" s="3274"/>
      <c r="C62" s="2209"/>
      <c r="D62" s="2209" t="s">
        <v>2062</v>
      </c>
      <c r="E62" s="171" t="s">
        <v>2063</v>
      </c>
      <c r="F62" s="1994"/>
      <c r="G62" s="1994"/>
      <c r="H62" s="1996"/>
      <c r="I62" s="134"/>
    </row>
    <row r="63" spans="1:35" ht="12.75">
      <c r="A63" s="178" t="s">
        <v>775</v>
      </c>
      <c r="B63" s="172" t="s">
        <v>2064</v>
      </c>
      <c r="C63" s="2788" t="e">
        <f ca="1">ROUND((C64+C65)/(1+'数据-取费表'!C42),0)</f>
        <v>#REF!</v>
      </c>
      <c r="D63" s="172"/>
      <c r="E63" s="173"/>
      <c r="F63" s="1994"/>
      <c r="G63" s="1994"/>
      <c r="H63" s="1996"/>
      <c r="I63" s="134"/>
      <c r="J63" s="3335"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t="e">
        <f ca="1">D45</f>
        <v>#REF!</v>
      </c>
      <c r="D64" s="175" t="s">
        <v>32</v>
      </c>
      <c r="E64" s="177"/>
      <c r="F64" s="1994"/>
      <c r="G64" s="1994"/>
      <c r="H64" s="1996"/>
      <c r="I64" s="134"/>
      <c r="J64" s="3335"/>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38"/>
      <c r="AI64" s="1939"/>
    </row>
    <row r="65" spans="1:35" ht="14.25" customHeight="1">
      <c r="A65" s="174" t="s">
        <v>771</v>
      </c>
      <c r="B65" s="175" t="s">
        <v>2070</v>
      </c>
      <c r="C65" s="2790"/>
      <c r="D65" s="175"/>
      <c r="E65" s="177"/>
      <c r="F65" s="1994"/>
      <c r="G65" s="1994"/>
      <c r="H65" s="1996"/>
      <c r="I65" s="134"/>
      <c r="J65" s="3335"/>
      <c r="K65" s="1501" t="s">
        <v>2071</v>
      </c>
      <c r="L65" s="1501" t="e">
        <f>IF(M49&gt;1000,M49*0.1%,IF(AND(M49&gt;500,M49&lt;=1000),M49*0.5%,IF(AND(M49&gt;50,M49&lt;=500),M49*1%,IF(AND(M49&gt;1,M49&lt;=50),M49*1.5%))))</f>
        <v>#VALUE!</v>
      </c>
      <c r="M65" s="308" t="e">
        <f t="shared" si="1"/>
        <v>#VALUE!</v>
      </c>
      <c r="N65" s="2768" t="s">
        <v>2069</v>
      </c>
      <c r="Z65" s="1938"/>
      <c r="AI65" s="1939"/>
    </row>
    <row r="66" spans="1:35" ht="14.25" customHeight="1">
      <c r="A66" s="178" t="s">
        <v>772</v>
      </c>
      <c r="B66" s="179" t="s">
        <v>2072</v>
      </c>
      <c r="C66" s="2791"/>
      <c r="D66" s="179" t="s">
        <v>32</v>
      </c>
      <c r="E66" s="1509" t="s">
        <v>1337</v>
      </c>
      <c r="F66" s="1994"/>
      <c r="G66" s="1994"/>
      <c r="H66" s="1996"/>
      <c r="I66" s="134"/>
      <c r="J66" s="3335"/>
      <c r="K66" s="1501" t="s">
        <v>2073</v>
      </c>
      <c r="L66" s="1501" t="e">
        <f>M49*0.5%</f>
        <v>#VALUE!</v>
      </c>
      <c r="M66" s="308" t="e">
        <f>IF(L66&gt;0.5,0.5,ROUND(L66,0))</f>
        <v>#VALUE!</v>
      </c>
      <c r="N66" s="2768" t="s">
        <v>2074</v>
      </c>
      <c r="Z66" s="1938"/>
      <c r="AI66" s="1939"/>
    </row>
    <row r="67" spans="1:35" ht="14.25" customHeight="1">
      <c r="A67" s="178" t="s">
        <v>773</v>
      </c>
      <c r="B67" s="179" t="s">
        <v>2075</v>
      </c>
      <c r="C67" s="2792" t="e">
        <f ca="1">C63-C66</f>
        <v>#REF!</v>
      </c>
      <c r="D67" s="175" t="s">
        <v>32</v>
      </c>
      <c r="E67" s="177"/>
      <c r="F67" s="1994"/>
      <c r="G67" s="1994"/>
      <c r="H67" s="1996"/>
      <c r="I67" s="134"/>
      <c r="J67" s="3335"/>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t="e">
        <f ca="1">IF(C67&lt;=0,0,ROUND(C67*D68,0))</f>
        <v>#REF!</v>
      </c>
      <c r="D68" s="2794">
        <f>'数据-取费表'!B41</f>
        <v>5.6000000000000001E-2</v>
      </c>
      <c r="E68" s="184"/>
      <c r="F68" s="1994"/>
      <c r="G68" s="1994"/>
      <c r="H68" s="1996"/>
      <c r="I68" s="134"/>
      <c r="J68" s="3335"/>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5"/>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4" t="s">
        <v>2080</v>
      </c>
      <c r="B70" s="3295"/>
      <c r="C70" s="3295"/>
      <c r="D70" s="3295"/>
      <c r="E70" s="3295"/>
      <c r="F70" s="3295"/>
      <c r="G70" s="3295"/>
      <c r="H70" s="3295"/>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3" t="s">
        <v>2061</v>
      </c>
      <c r="B71" s="3274"/>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268" t="s">
        <v>2088</v>
      </c>
      <c r="F76" s="3242"/>
      <c r="G76" s="3242"/>
      <c r="H76" s="329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t="e">
        <f ca="1">ROUND(D45*D78/(1+'数据-取费表'!C42),0)</f>
        <v>#REF!</v>
      </c>
      <c r="D78" s="2801">
        <f>'数据-取费表'!B43</f>
        <v>6.000000000000001E-3</v>
      </c>
      <c r="E78" s="3252" t="s">
        <v>2092</v>
      </c>
      <c r="F78" s="3253"/>
      <c r="G78" s="3253"/>
      <c r="H78" s="326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4" t="s">
        <v>2096</v>
      </c>
      <c r="B83" s="3295"/>
      <c r="C83" s="3295"/>
      <c r="D83" s="3295"/>
      <c r="E83" s="3295"/>
      <c r="F83" s="3295"/>
      <c r="G83" s="3295"/>
      <c r="H83" s="329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3" t="s">
        <v>2061</v>
      </c>
      <c r="B84" s="327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337" t="s">
        <v>2872</v>
      </c>
      <c r="H90" s="3338"/>
      <c r="I90" s="2007"/>
      <c r="J90" s="2745"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252" t="s">
        <v>2105</v>
      </c>
      <c r="F91" s="3253"/>
      <c r="G91" s="325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252" t="s">
        <v>2108</v>
      </c>
      <c r="F92" s="3253"/>
      <c r="G92" s="3253"/>
      <c r="H92" s="3262"/>
      <c r="I92" s="2007"/>
      <c r="J92" s="2746"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t="e">
        <f ca="1">ROUND(D45*D93/(1+'数据-取费表'!C42),0)</f>
        <v>#REF!</v>
      </c>
      <c r="D93" s="2801">
        <f>'数据-取费表'!B43</f>
        <v>6.000000000000001E-3</v>
      </c>
      <c r="E93" s="3252" t="s">
        <v>2092</v>
      </c>
      <c r="F93" s="3253"/>
      <c r="G93" s="3253"/>
      <c r="H93" s="326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263" t="s">
        <v>2112</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36" t="s">
        <v>2114</v>
      </c>
      <c r="B100" s="3237"/>
      <c r="C100" s="3237"/>
      <c r="D100" s="3254"/>
      <c r="E100" s="3237" t="s">
        <v>2115</v>
      </c>
      <c r="F100" s="3237"/>
      <c r="G100" s="3237"/>
      <c r="H100" s="3254"/>
      <c r="I100" s="134"/>
    </row>
    <row r="101" spans="1:35" ht="18.75" customHeight="1">
      <c r="A101" s="3318" t="s">
        <v>2116</v>
      </c>
      <c r="B101" s="3319"/>
      <c r="C101" s="2809">
        <f>C4</f>
        <v>0</v>
      </c>
      <c r="D101" s="2810">
        <f>D4</f>
        <v>0</v>
      </c>
      <c r="E101" s="3332" t="s">
        <v>2117</v>
      </c>
      <c r="F101" s="3286"/>
      <c r="G101" s="2013" t="s">
        <v>2118</v>
      </c>
      <c r="H101" s="2819" t="e">
        <f ca="1">H118</f>
        <v>#REF!</v>
      </c>
      <c r="I101" s="134"/>
    </row>
    <row r="102" spans="1:35" ht="18.75" customHeight="1">
      <c r="A102" s="3288" t="s">
        <v>2119</v>
      </c>
      <c r="B102" s="2808" t="s">
        <v>2118</v>
      </c>
      <c r="C102" s="2809" t="e">
        <f ca="1">C19</f>
        <v>#REF!</v>
      </c>
      <c r="D102" s="2810" t="e">
        <f ca="1">D19</f>
        <v>#REF!</v>
      </c>
      <c r="E102" s="3332"/>
      <c r="F102" s="3286"/>
      <c r="G102" s="2013" t="s">
        <v>2120</v>
      </c>
      <c r="H102" s="2779" t="e">
        <f ca="1">I118</f>
        <v>#REF!</v>
      </c>
      <c r="I102" s="134"/>
    </row>
    <row r="103" spans="1:35" ht="42.75" customHeight="1">
      <c r="A103" s="3288"/>
      <c r="B103" s="2808" t="s">
        <v>2120</v>
      </c>
      <c r="C103" s="2811" t="e">
        <f ca="1">C20</f>
        <v>#REF!</v>
      </c>
      <c r="D103" s="2812" t="e">
        <f ca="1">D20</f>
        <v>#REF!</v>
      </c>
      <c r="E103" s="3326" t="s">
        <v>2121</v>
      </c>
      <c r="F103" s="3327"/>
      <c r="G103" s="2014" t="s">
        <v>2122</v>
      </c>
      <c r="H103" s="2819">
        <f>IF(D36="正常操作",H104+H105+H106,H105+H106)</f>
        <v>0</v>
      </c>
      <c r="I103" s="134"/>
    </row>
    <row r="104" spans="1:35" ht="18.75" customHeight="1">
      <c r="A104" s="3288" t="s">
        <v>2123</v>
      </c>
      <c r="B104" s="2813" t="s">
        <v>2118</v>
      </c>
      <c r="C104" s="2814" t="e">
        <f ca="1">H118</f>
        <v>#REF!</v>
      </c>
      <c r="D104" s="2815"/>
      <c r="E104" s="1860" t="s">
        <v>2124</v>
      </c>
      <c r="F104" s="1851"/>
      <c r="G104" s="2014" t="s">
        <v>2122</v>
      </c>
      <c r="H104" s="2820">
        <f>IF(D36="同一抵押权人同一抵押物续贷",C36&amp;"（续贷，未扣减，详见特别提示）",C36)</f>
        <v>0</v>
      </c>
      <c r="I104" s="134"/>
    </row>
    <row r="105" spans="1:35" ht="18.75" customHeight="1" thickBot="1">
      <c r="A105" s="3289"/>
      <c r="B105" s="2816" t="s">
        <v>2120</v>
      </c>
      <c r="C105" s="2817" t="e">
        <f ca="1">I118</f>
        <v>#REF!</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285" t="str">
        <f>IF(项目基本情况!E8="已注销","——","3.房地产抵押价值")</f>
        <v>3.房地产抵押价值</v>
      </c>
      <c r="F107" s="3286"/>
      <c r="G107" s="2013" t="s">
        <v>2118</v>
      </c>
      <c r="H107" s="2819" t="e">
        <f ca="1">IF(E107="——","——",H101-H103)</f>
        <v>#REF!</v>
      </c>
      <c r="I107" s="134"/>
    </row>
    <row r="108" spans="1:35" ht="18.75" customHeight="1">
      <c r="A108" s="134"/>
      <c r="B108" s="134"/>
      <c r="C108" s="134"/>
      <c r="D108" s="134"/>
      <c r="E108" s="3285"/>
      <c r="F108" s="3286"/>
      <c r="G108" s="2013" t="s">
        <v>2120</v>
      </c>
      <c r="H108" s="2779" t="e">
        <f ca="1">ROUND(H107*10000/'数据-汇总表'!E3,0)</f>
        <v>#REF!</v>
      </c>
      <c r="I108" s="134"/>
    </row>
    <row r="109" spans="1:35" ht="18.75" customHeight="1">
      <c r="A109" s="134"/>
      <c r="B109" s="134"/>
      <c r="C109" s="134"/>
      <c r="D109" s="134"/>
      <c r="E109" s="3285" t="str">
        <f>IF(项目基本情况!E8="已注销及未注销","4.抵押担保权已注销时的房地产抵押价值",IF(项目基本情况!E8="已注销","3.抵押担保权已注销时的房地产抵押价值","——"))</f>
        <v>——</v>
      </c>
      <c r="F109" s="3286"/>
      <c r="G109" s="2013" t="s">
        <v>2118</v>
      </c>
      <c r="H109" s="2822" t="str">
        <f>IF(E109="——","——",H101-H105-H106)</f>
        <v>——</v>
      </c>
      <c r="I109" s="134"/>
    </row>
    <row r="110" spans="1:35" ht="18.75" customHeight="1">
      <c r="A110" s="134"/>
      <c r="B110" s="134"/>
      <c r="C110" s="134"/>
      <c r="D110" s="134"/>
      <c r="E110" s="3285"/>
      <c r="F110" s="3286"/>
      <c r="G110" s="2013" t="s">
        <v>2120</v>
      </c>
      <c r="H110" s="2779" t="str">
        <f>IF(H109="——","——",ROUND(H109*10000/'数据-汇总表'!E3,0))</f>
        <v>——</v>
      </c>
      <c r="I110" s="134"/>
    </row>
    <row r="111" spans="1:35" ht="18.75" customHeight="1">
      <c r="A111" s="134"/>
      <c r="B111" s="134"/>
      <c r="C111" s="134"/>
      <c r="D111" s="134"/>
      <c r="E111" s="3320" t="str">
        <f>IF(项目基本情况!E9="抵押净值",IF(OR(项目基本情况!E8="已注销",项目基本情况!E8="房地产抵押价值"),"4.抵押净值","5.抵押净值"),"——")</f>
        <v>——</v>
      </c>
      <c r="F111" s="3287"/>
      <c r="G111" s="2013" t="s">
        <v>2118</v>
      </c>
      <c r="H111" s="2819" t="str">
        <f>IF(E111="——","——",N59)</f>
        <v>——</v>
      </c>
      <c r="I111" s="134"/>
    </row>
    <row r="112" spans="1:35" ht="18.75" customHeight="1" thickBot="1">
      <c r="A112" s="134"/>
      <c r="B112" s="134"/>
      <c r="C112" s="134"/>
      <c r="D112" s="134"/>
      <c r="E112" s="3321"/>
      <c r="F112" s="3322"/>
      <c r="G112" s="2016" t="s">
        <v>2120</v>
      </c>
      <c r="H112" s="2823" t="str">
        <f>IF(E111="——","——",N61)</f>
        <v>——</v>
      </c>
      <c r="I112" s="134"/>
    </row>
    <row r="113" spans="1:27" ht="18.75" customHeight="1">
      <c r="A113" s="134"/>
      <c r="B113" s="134"/>
      <c r="C113" s="134"/>
      <c r="D113" s="134"/>
      <c r="E113" s="3290" t="s">
        <v>2126</v>
      </c>
      <c r="F113" s="3290"/>
      <c r="G113" s="3290"/>
      <c r="H113" s="3290"/>
      <c r="I113" s="134"/>
    </row>
    <row r="114" spans="1:27" ht="3.75" customHeight="1">
      <c r="A114" s="1933"/>
      <c r="B114" s="1933"/>
      <c r="C114" s="1933"/>
      <c r="D114" s="1933"/>
      <c r="E114" s="1995"/>
      <c r="F114" s="1995"/>
      <c r="G114" s="1995"/>
      <c r="H114" s="1995"/>
      <c r="I114" s="1933"/>
    </row>
    <row r="115" spans="1:27" ht="18.75" customHeight="1">
      <c r="A115" s="3303" t="s">
        <v>2128</v>
      </c>
      <c r="B115" s="3304"/>
      <c r="C115" s="3304"/>
      <c r="D115" s="3304"/>
      <c r="E115" s="3304"/>
      <c r="F115" s="3304"/>
      <c r="G115" s="3304"/>
      <c r="H115" s="3304"/>
      <c r="I115" s="3305"/>
    </row>
    <row r="116" spans="1:27" ht="27" customHeight="1">
      <c r="A116" s="3256" t="s">
        <v>2129</v>
      </c>
      <c r="B116" s="3291" t="s">
        <v>2130</v>
      </c>
      <c r="C116" s="3291" t="s">
        <v>2131</v>
      </c>
      <c r="D116" s="3307" t="s">
        <v>2132</v>
      </c>
      <c r="E116" s="3308"/>
      <c r="F116" s="3299" t="s">
        <v>2133</v>
      </c>
      <c r="G116" s="3299"/>
      <c r="H116" s="3256" t="s">
        <v>2134</v>
      </c>
      <c r="I116" s="3256"/>
    </row>
    <row r="117" spans="1:27" ht="18.75" customHeight="1">
      <c r="A117" s="3256"/>
      <c r="B117" s="3292"/>
      <c r="C117" s="3292"/>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6" t="s">
        <v>2138</v>
      </c>
      <c r="B119" s="3256"/>
      <c r="C119" s="3256"/>
      <c r="D119" s="3296" t="e">
        <f ca="1">NUMBERSTRING(INT(D118*10000),2)&amp;"元整"</f>
        <v>#REF!</v>
      </c>
      <c r="E119" s="3298"/>
      <c r="F119" s="3296" t="e">
        <f ca="1">NUMBERSTRING(INT(F118*10000),2)&amp;"元整"</f>
        <v>#REF!</v>
      </c>
      <c r="G119" s="3298"/>
      <c r="H119" s="3296" t="e">
        <f ca="1">NUMBERSTRING(INT(H118*10000),2)&amp;"元整"</f>
        <v>#REF!</v>
      </c>
      <c r="I119" s="3298"/>
    </row>
    <row r="120" spans="1:27" ht="18.75" customHeight="1">
      <c r="A120" s="3323" t="str">
        <f>IF(项目基本情况!B9="房地产市场价值","",MID(E103,3,LEN(E103)-2))</f>
        <v/>
      </c>
      <c r="B120" s="3324"/>
      <c r="C120" s="3325"/>
      <c r="D120" s="3323">
        <f>H103</f>
        <v>0</v>
      </c>
      <c r="E120" s="3324"/>
      <c r="F120" s="3324"/>
      <c r="G120" s="3324"/>
      <c r="H120" s="3324"/>
      <c r="I120" s="3325"/>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0" t="s">
        <v>2138</v>
      </c>
      <c r="B121" s="3301"/>
      <c r="C121" s="3302"/>
      <c r="D121" s="3296" t="str">
        <f>IF(D120=0,"零元整",NUMBERSTRING(INT(D120*10000),2)&amp;"元整")</f>
        <v>零元整</v>
      </c>
      <c r="E121" s="3297"/>
      <c r="F121" s="3297"/>
      <c r="G121" s="3297"/>
      <c r="H121" s="3297"/>
      <c r="I121" s="3298"/>
      <c r="AA121" s="734"/>
    </row>
    <row r="122" spans="1:27" ht="18.75" customHeight="1">
      <c r="A122" s="3287" t="str">
        <f>IF(项目基本情况!B9="房地产市场价值","",MID(E107,3,LEN(E107)-2))</f>
        <v/>
      </c>
      <c r="B122" s="3287"/>
      <c r="C122" s="3287"/>
      <c r="D122" s="3323" t="e">
        <f ca="1">H107</f>
        <v>#REF!</v>
      </c>
      <c r="E122" s="3324"/>
      <c r="F122" s="3324"/>
      <c r="G122" s="3324"/>
      <c r="H122" s="3324"/>
      <c r="I122" s="3325"/>
      <c r="AA122" s="734"/>
    </row>
    <row r="123" spans="1:27" ht="18.75" customHeight="1">
      <c r="A123" s="3256" t="s">
        <v>2138</v>
      </c>
      <c r="B123" s="3256"/>
      <c r="C123" s="3256"/>
      <c r="D123" s="3296" t="e">
        <f ca="1">NUMBERSTRING(INT(D122*10000),2)&amp;"元整"</f>
        <v>#REF!</v>
      </c>
      <c r="E123" s="3297"/>
      <c r="F123" s="3297"/>
      <c r="G123" s="3297"/>
      <c r="H123" s="3297"/>
      <c r="I123" s="3298"/>
      <c r="AA123" s="734"/>
    </row>
    <row r="124" spans="1:27" ht="18.75" customHeight="1">
      <c r="A124" s="3287" t="str">
        <f>IF(项目基本情况!B9="房地产市场价值","",MID(E109,3,LEN(E109)-2))</f>
        <v/>
      </c>
      <c r="B124" s="3287"/>
      <c r="C124" s="3287"/>
      <c r="D124" s="3323" t="str">
        <f>H109</f>
        <v>——</v>
      </c>
      <c r="E124" s="3324"/>
      <c r="F124" s="3324"/>
      <c r="G124" s="3324"/>
      <c r="H124" s="3324"/>
      <c r="I124" s="3325"/>
      <c r="AA124" s="734"/>
    </row>
    <row r="125" spans="1:27" ht="18.75" customHeight="1">
      <c r="A125" s="3256" t="s">
        <v>2138</v>
      </c>
      <c r="B125" s="3256"/>
      <c r="C125" s="3256"/>
      <c r="D125" s="3296" t="e">
        <f>NUMBERSTRING(INT(D124*10000),2)&amp;"元整"</f>
        <v>#VALUE!</v>
      </c>
      <c r="E125" s="3297"/>
      <c r="F125" s="3297"/>
      <c r="G125" s="3297"/>
      <c r="H125" s="3297"/>
      <c r="I125" s="3298"/>
      <c r="AA125" s="734"/>
    </row>
    <row r="126" spans="1:27" ht="18.75" customHeight="1">
      <c r="A126" s="3287" t="str">
        <f>IF(项目基本情况!B9="房地产市场价值","",MID(E111,3,LEN(E111)-2))</f>
        <v/>
      </c>
      <c r="B126" s="3287"/>
      <c r="C126" s="3287"/>
      <c r="D126" s="3323" t="str">
        <f>H111</f>
        <v>——</v>
      </c>
      <c r="E126" s="3324"/>
      <c r="F126" s="3324"/>
      <c r="G126" s="3324"/>
      <c r="H126" s="3324"/>
      <c r="I126" s="3325"/>
      <c r="AA126" s="734"/>
    </row>
    <row r="127" spans="1:27" ht="18.75" customHeight="1">
      <c r="A127" s="3256" t="s">
        <v>2138</v>
      </c>
      <c r="B127" s="3256"/>
      <c r="C127" s="3256"/>
      <c r="D127" s="3296" t="e">
        <f>NUMBERSTRING(INT(D126*10000),2)&amp;"元整"</f>
        <v>#VALUE!</v>
      </c>
      <c r="E127" s="3297"/>
      <c r="F127" s="3297"/>
      <c r="G127" s="3297"/>
      <c r="H127" s="3297"/>
      <c r="I127" s="3298"/>
      <c r="AA127" s="734"/>
    </row>
    <row r="128" spans="1:27" ht="21.75" customHeight="1">
      <c r="A128" s="3306" t="s">
        <v>2139</v>
      </c>
      <c r="B128" s="3306"/>
      <c r="C128" s="3306"/>
      <c r="D128" s="3306"/>
      <c r="E128" s="3306"/>
      <c r="F128" s="3306"/>
      <c r="G128" s="3306"/>
      <c r="H128" s="3306"/>
      <c r="I128" s="330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topLeftCell="A16" workbookViewId="0">
      <selection activeCell="H52" sqref="H52"/>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39" t="s">
        <v>3061</v>
      </c>
      <c r="B1" s="3339"/>
      <c r="C1" s="3339"/>
      <c r="D1" s="3339"/>
      <c r="E1" s="3339"/>
      <c r="F1" s="3339"/>
      <c r="G1" s="3339"/>
      <c r="H1" s="3339"/>
      <c r="I1" s="3339"/>
      <c r="K1" s="3340" t="s">
        <v>3062</v>
      </c>
      <c r="L1" s="3066" t="s">
        <v>3063</v>
      </c>
      <c r="M1" s="3067">
        <v>0</v>
      </c>
      <c r="N1" s="1407"/>
      <c r="O1" s="1407"/>
    </row>
    <row r="2" spans="1:16" ht="15.75" customHeight="1">
      <c r="A2" s="3069" t="s">
        <v>3064</v>
      </c>
      <c r="B2" s="3070" t="s">
        <v>3065</v>
      </c>
      <c r="C2" s="3341" t="s">
        <v>3066</v>
      </c>
      <c r="D2" s="3342"/>
      <c r="E2" s="3342"/>
      <c r="F2" s="3343"/>
      <c r="G2" s="3071" t="s">
        <v>3067</v>
      </c>
      <c r="H2" s="3344" t="s">
        <v>3068</v>
      </c>
      <c r="I2" s="3344"/>
      <c r="K2" s="3340"/>
      <c r="L2" s="3066" t="s">
        <v>3069</v>
      </c>
      <c r="M2" s="3072" t="s">
        <v>3208</v>
      </c>
      <c r="N2" s="3073">
        <v>2011</v>
      </c>
      <c r="O2" s="3073"/>
    </row>
    <row r="3" spans="1:16">
      <c r="A3" s="3074" t="s">
        <v>3070</v>
      </c>
      <c r="B3" s="3075" t="s">
        <v>3071</v>
      </c>
      <c r="C3" s="3341">
        <f>'比较法-商业 (2)'!B2*10000</f>
        <v>61480000</v>
      </c>
      <c r="D3" s="3342"/>
      <c r="E3" s="3342"/>
      <c r="F3" s="3343"/>
      <c r="G3" s="3074" t="s">
        <v>3072</v>
      </c>
      <c r="H3" s="3076" t="s">
        <v>3073</v>
      </c>
      <c r="I3" s="3077">
        <f>'数据-基础表'!I13</f>
        <v>994.5</v>
      </c>
      <c r="K3" s="3340"/>
      <c r="L3" s="3066" t="s">
        <v>3074</v>
      </c>
      <c r="M3" s="3072" t="s">
        <v>3075</v>
      </c>
      <c r="N3" s="3073"/>
      <c r="O3" s="3078"/>
    </row>
    <row r="4" spans="1:16">
      <c r="A4" s="3345" t="s">
        <v>3076</v>
      </c>
      <c r="B4" s="3346" t="s">
        <v>3077</v>
      </c>
      <c r="C4" s="3347">
        <f>ROUND(C3*(I4-I6)/(1-((1+I6)/(1+I4))^I5),0)</f>
        <v>2701003</v>
      </c>
      <c r="D4" s="3348"/>
      <c r="E4" s="3348"/>
      <c r="F4" s="3349"/>
      <c r="G4" s="3345" t="s">
        <v>3078</v>
      </c>
      <c r="H4" s="3079" t="s">
        <v>3079</v>
      </c>
      <c r="I4" s="3080">
        <f>'数据-取费表'!J6</f>
        <v>0.06</v>
      </c>
      <c r="K4" s="3340"/>
      <c r="L4" s="3066" t="s">
        <v>3080</v>
      </c>
      <c r="M4" s="3081">
        <f>ROUND(1-(1-M1)*M2/M3,2)</f>
        <v>0.83</v>
      </c>
      <c r="N4" s="3073"/>
      <c r="O4" s="3073"/>
    </row>
    <row r="5" spans="1:16" s="3085" customFormat="1" ht="18" customHeight="1">
      <c r="A5" s="3345"/>
      <c r="B5" s="3346"/>
      <c r="C5" s="3350"/>
      <c r="D5" s="3351"/>
      <c r="E5" s="3351"/>
      <c r="F5" s="3352"/>
      <c r="G5" s="3345"/>
      <c r="H5" s="3075" t="s">
        <v>3081</v>
      </c>
      <c r="I5" s="3082">
        <f>项目基本情况!E15</f>
        <v>40</v>
      </c>
      <c r="J5" s="3083"/>
      <c r="K5" s="3340"/>
      <c r="L5" s="3066" t="s">
        <v>3082</v>
      </c>
      <c r="M5" s="3084">
        <v>0.5</v>
      </c>
      <c r="N5" s="3073"/>
      <c r="O5" s="3073"/>
    </row>
    <row r="6" spans="1:16" s="3085" customFormat="1" ht="18" customHeight="1">
      <c r="A6" s="3345"/>
      <c r="B6" s="3346"/>
      <c r="C6" s="3353"/>
      <c r="D6" s="3354"/>
      <c r="E6" s="3354"/>
      <c r="F6" s="3355"/>
      <c r="G6" s="3345"/>
      <c r="H6" s="3075" t="s">
        <v>3083</v>
      </c>
      <c r="I6" s="3080">
        <f>'数据-取费表'!V6</f>
        <v>0.03</v>
      </c>
      <c r="J6" s="3086"/>
      <c r="K6" s="3356" t="s">
        <v>3084</v>
      </c>
      <c r="L6" s="3087" t="s">
        <v>3085</v>
      </c>
      <c r="M6" s="3088" t="s">
        <v>3086</v>
      </c>
      <c r="N6" s="3088" t="s">
        <v>3087</v>
      </c>
      <c r="O6" s="3088" t="s">
        <v>3088</v>
      </c>
      <c r="P6" s="3088" t="s">
        <v>3089</v>
      </c>
    </row>
    <row r="7" spans="1:16" s="3085" customFormat="1" ht="18" customHeight="1">
      <c r="A7" s="3074" t="s">
        <v>3090</v>
      </c>
      <c r="B7" s="3075" t="s">
        <v>3091</v>
      </c>
      <c r="C7" s="3341">
        <f ca="1">ROUND(C23*I7,0)</f>
        <v>5036545</v>
      </c>
      <c r="D7" s="3342"/>
      <c r="E7" s="3342"/>
      <c r="F7" s="3343"/>
      <c r="G7" s="3071" t="s">
        <v>3092</v>
      </c>
      <c r="H7" s="3075" t="s">
        <v>3093</v>
      </c>
      <c r="I7" s="3089">
        <f>'数据-取费表'!N6</f>
        <v>0.83</v>
      </c>
      <c r="K7" s="3356"/>
      <c r="L7" s="3087" t="s">
        <v>3094</v>
      </c>
      <c r="M7" s="3088">
        <v>100</v>
      </c>
      <c r="N7" s="3088" t="s">
        <v>3095</v>
      </c>
      <c r="O7" s="3088">
        <v>90</v>
      </c>
      <c r="P7" s="3090">
        <v>0.3</v>
      </c>
    </row>
    <row r="8" spans="1:16" s="3085" customFormat="1" ht="18" customHeight="1">
      <c r="A8" s="3069" t="s">
        <v>3096</v>
      </c>
      <c r="B8" s="3075" t="s">
        <v>3097</v>
      </c>
      <c r="C8" s="3341">
        <f>ROUND(I8*I3,0)</f>
        <v>3978000</v>
      </c>
      <c r="D8" s="3342"/>
      <c r="E8" s="3342"/>
      <c r="F8" s="3343"/>
      <c r="G8" s="3071" t="s">
        <v>3098</v>
      </c>
      <c r="H8" s="3075" t="s">
        <v>3099</v>
      </c>
      <c r="I8" s="3071">
        <f>'数据-取费表'!L6</f>
        <v>4000</v>
      </c>
      <c r="J8" s="3091">
        <f>D35</f>
        <v>12.6</v>
      </c>
      <c r="K8" s="3356"/>
      <c r="L8" s="3087" t="s">
        <v>3100</v>
      </c>
      <c r="M8" s="3088">
        <v>100</v>
      </c>
      <c r="N8" s="3088" t="s">
        <v>3101</v>
      </c>
      <c r="O8" s="3088">
        <v>90</v>
      </c>
      <c r="P8" s="3090">
        <v>0.5</v>
      </c>
    </row>
    <row r="9" spans="1:16" s="3085" customFormat="1" ht="18" customHeight="1">
      <c r="A9" s="3069" t="s">
        <v>3102</v>
      </c>
      <c r="B9" s="3075" t="s">
        <v>3103</v>
      </c>
      <c r="C9" s="3341">
        <f>ROUND(C8*H9,0)</f>
        <v>159120</v>
      </c>
      <c r="D9" s="3342"/>
      <c r="E9" s="3342"/>
      <c r="F9" s="3343"/>
      <c r="G9" s="3071" t="s">
        <v>3104</v>
      </c>
      <c r="H9" s="3357">
        <f>'数据-取费表'!B33</f>
        <v>0.04</v>
      </c>
      <c r="I9" s="3357"/>
      <c r="J9" s="3091">
        <f ca="1">D36</f>
        <v>11.11</v>
      </c>
      <c r="K9" s="3356"/>
      <c r="L9" s="3087" t="s">
        <v>3105</v>
      </c>
      <c r="M9" s="3088">
        <v>100</v>
      </c>
      <c r="N9" s="3088" t="s">
        <v>3095</v>
      </c>
      <c r="O9" s="3088">
        <v>90</v>
      </c>
      <c r="P9" s="3090">
        <f>1-P7-P8</f>
        <v>0.19999999999999996</v>
      </c>
    </row>
    <row r="10" spans="1:16" s="3085" customFormat="1" ht="18" customHeight="1">
      <c r="A10" s="3069" t="s">
        <v>3106</v>
      </c>
      <c r="B10" s="3075" t="s">
        <v>3107</v>
      </c>
      <c r="C10" s="3341">
        <f>ROUND(C8*H10,0)</f>
        <v>0</v>
      </c>
      <c r="D10" s="3342"/>
      <c r="E10" s="3342"/>
      <c r="F10" s="3343"/>
      <c r="G10" s="3071" t="s">
        <v>3108</v>
      </c>
      <c r="H10" s="3357">
        <f>'数据-取费表'!B34</f>
        <v>0</v>
      </c>
      <c r="I10" s="3357"/>
      <c r="J10" s="3091">
        <f ca="1">D37</f>
        <v>12</v>
      </c>
      <c r="K10" s="3356"/>
      <c r="L10" s="3092" t="s">
        <v>3082</v>
      </c>
      <c r="M10" s="3093">
        <f>1-M5</f>
        <v>0.5</v>
      </c>
      <c r="N10" s="3088" t="s">
        <v>3109</v>
      </c>
      <c r="O10" s="3094">
        <f>ROUND((O7*P7+O8*P8+O9*P9)/100,2)</f>
        <v>0.9</v>
      </c>
      <c r="P10" s="3095"/>
    </row>
    <row r="11" spans="1:16" s="3085" customFormat="1" ht="29.25" customHeight="1">
      <c r="A11" s="3069" t="s">
        <v>3110</v>
      </c>
      <c r="B11" s="3075" t="s">
        <v>3111</v>
      </c>
      <c r="C11" s="3341">
        <f>ROUND(I11*I3,0)</f>
        <v>198900</v>
      </c>
      <c r="D11" s="3342"/>
      <c r="E11" s="3342"/>
      <c r="F11" s="3343"/>
      <c r="G11" s="3071" t="s">
        <v>3112</v>
      </c>
      <c r="H11" s="3075" t="s">
        <v>3113</v>
      </c>
      <c r="I11" s="3071">
        <f>'数据-取费表'!B28</f>
        <v>200</v>
      </c>
      <c r="J11" s="3083"/>
      <c r="K11" s="3096"/>
      <c r="L11" s="3096"/>
    </row>
    <row r="12" spans="1:16" s="3085" customFormat="1" ht="18" customHeight="1">
      <c r="A12" s="3069" t="s">
        <v>3114</v>
      </c>
      <c r="B12" s="3075" t="s">
        <v>3115</v>
      </c>
      <c r="C12" s="3341">
        <f>ROUND(C8*H12,0)</f>
        <v>59670</v>
      </c>
      <c r="D12" s="3342"/>
      <c r="E12" s="3342"/>
      <c r="F12" s="3343"/>
      <c r="G12" s="3071" t="s">
        <v>3116</v>
      </c>
      <c r="H12" s="3357">
        <v>1.4999999999999999E-2</v>
      </c>
      <c r="I12" s="3357"/>
      <c r="J12" s="3097" t="s">
        <v>3117</v>
      </c>
      <c r="L12" s="3098"/>
    </row>
    <row r="13" spans="1:16" s="3085" customFormat="1" ht="18" customHeight="1">
      <c r="A13" s="3069" t="s">
        <v>3118</v>
      </c>
      <c r="B13" s="3075" t="s">
        <v>3119</v>
      </c>
      <c r="C13" s="3341">
        <f>SUM(C8:F12)</f>
        <v>4395690</v>
      </c>
      <c r="D13" s="3342"/>
      <c r="E13" s="3342"/>
      <c r="F13" s="3343"/>
      <c r="G13" s="3344" t="s">
        <v>3120</v>
      </c>
      <c r="H13" s="3344"/>
      <c r="I13" s="3344"/>
      <c r="J13" s="3097" t="s">
        <v>3121</v>
      </c>
      <c r="L13" s="3098"/>
    </row>
    <row r="14" spans="1:16" s="3085" customFormat="1" ht="18" customHeight="1">
      <c r="A14" s="3069" t="s">
        <v>3122</v>
      </c>
      <c r="B14" s="3075" t="s">
        <v>3123</v>
      </c>
      <c r="C14" s="3341">
        <f>ROUND(C13*H14,0)</f>
        <v>87914</v>
      </c>
      <c r="D14" s="3342"/>
      <c r="E14" s="3342"/>
      <c r="F14" s="3343"/>
      <c r="G14" s="3071" t="s">
        <v>3124</v>
      </c>
      <c r="H14" s="3357">
        <f>'数据-取费表'!B37</f>
        <v>0.02</v>
      </c>
      <c r="I14" s="3357"/>
      <c r="J14" s="3083"/>
      <c r="L14" s="3098"/>
    </row>
    <row r="15" spans="1:16" s="3085" customFormat="1" ht="18" customHeight="1">
      <c r="A15" s="3069" t="s">
        <v>3125</v>
      </c>
      <c r="B15" s="3075" t="s">
        <v>3126</v>
      </c>
      <c r="C15" s="3362">
        <f>H15</f>
        <v>0.02</v>
      </c>
      <c r="D15" s="3363"/>
      <c r="E15" s="3360" t="str">
        <f>E18</f>
        <v>V</v>
      </c>
      <c r="F15" s="3361"/>
      <c r="G15" s="3071" t="s">
        <v>3127</v>
      </c>
      <c r="H15" s="3357">
        <f>'数据-取费表'!B38</f>
        <v>0.02</v>
      </c>
      <c r="I15" s="3357"/>
      <c r="J15" s="3099"/>
      <c r="K15" s="3100"/>
    </row>
    <row r="16" spans="1:16" s="3085" customFormat="1" ht="18" customHeight="1">
      <c r="A16" s="3101" t="s">
        <v>3128</v>
      </c>
      <c r="B16" s="3102" t="s">
        <v>3129</v>
      </c>
      <c r="C16" s="3103">
        <f ca="1">C17</f>
        <v>212971</v>
      </c>
      <c r="D16" s="3104" t="s">
        <v>3130</v>
      </c>
      <c r="E16" s="3105">
        <f ca="1">C18</f>
        <v>9.5E-4</v>
      </c>
      <c r="F16" s="3106" t="str">
        <f>E18</f>
        <v>V</v>
      </c>
      <c r="G16" s="3341" t="s">
        <v>3131</v>
      </c>
      <c r="H16" s="3342"/>
      <c r="I16" s="3343"/>
      <c r="J16" s="3083"/>
      <c r="K16" s="3096"/>
    </row>
    <row r="17" spans="1:12" s="3085" customFormat="1" ht="18" customHeight="1">
      <c r="A17" s="3069" t="s">
        <v>3132</v>
      </c>
      <c r="B17" s="3075" t="s">
        <v>3133</v>
      </c>
      <c r="C17" s="3341">
        <f ca="1">ROUND((C13+C14)*I18*(I17/2),0)</f>
        <v>212971</v>
      </c>
      <c r="D17" s="3342"/>
      <c r="E17" s="3342"/>
      <c r="F17" s="3343"/>
      <c r="G17" s="3103" t="s">
        <v>3134</v>
      </c>
      <c r="H17" s="3075" t="s">
        <v>3135</v>
      </c>
      <c r="I17" s="3107">
        <f>'数据-取费表'!B20</f>
        <v>2</v>
      </c>
      <c r="J17" s="3097" t="s">
        <v>3136</v>
      </c>
      <c r="K17" s="3096"/>
      <c r="L17" s="3096"/>
    </row>
    <row r="18" spans="1:12" s="3085" customFormat="1" ht="18" customHeight="1">
      <c r="A18" s="3069" t="s">
        <v>3137</v>
      </c>
      <c r="B18" s="3075" t="s">
        <v>3138</v>
      </c>
      <c r="C18" s="3358">
        <f ca="1">H15*I18*I17/2</f>
        <v>9.5E-4</v>
      </c>
      <c r="D18" s="3359"/>
      <c r="E18" s="3360" t="s">
        <v>3139</v>
      </c>
      <c r="F18" s="3361"/>
      <c r="G18" s="3103" t="s">
        <v>3140</v>
      </c>
      <c r="H18" s="3075" t="s">
        <v>3141</v>
      </c>
      <c r="I18" s="3108">
        <f ca="1">'数据-取费表'!B40</f>
        <v>4.7500000000000001E-2</v>
      </c>
      <c r="J18" s="3097" t="s">
        <v>3142</v>
      </c>
      <c r="K18" s="3096"/>
      <c r="L18" s="3096"/>
    </row>
    <row r="19" spans="1:12" s="3085" customFormat="1" ht="27" customHeight="1">
      <c r="A19" s="3069" t="s">
        <v>3143</v>
      </c>
      <c r="B19" s="3075" t="s">
        <v>3144</v>
      </c>
      <c r="C19" s="3103">
        <f>C20</f>
        <v>896721</v>
      </c>
      <c r="D19" s="3104" t="s">
        <v>3130</v>
      </c>
      <c r="E19" s="3104">
        <f>C21</f>
        <v>4.0000000000000001E-3</v>
      </c>
      <c r="F19" s="3106" t="str">
        <f>E21</f>
        <v>V</v>
      </c>
      <c r="G19" s="3341" t="s">
        <v>3145</v>
      </c>
      <c r="H19" s="3342"/>
      <c r="I19" s="3343"/>
      <c r="J19" s="3083"/>
      <c r="K19" s="3096"/>
      <c r="L19" s="3096"/>
    </row>
    <row r="20" spans="1:12" s="3085" customFormat="1" ht="26.25" customHeight="1">
      <c r="A20" s="3069" t="s">
        <v>3146</v>
      </c>
      <c r="B20" s="3075" t="s">
        <v>3147</v>
      </c>
      <c r="C20" s="3341">
        <f>ROUND((C13+C14)*I20,0)</f>
        <v>896721</v>
      </c>
      <c r="D20" s="3342"/>
      <c r="E20" s="3342"/>
      <c r="F20" s="3343"/>
      <c r="G20" s="3071" t="s">
        <v>3148</v>
      </c>
      <c r="H20" s="3366" t="s">
        <v>3149</v>
      </c>
      <c r="I20" s="3368">
        <f>'数据-取费表'!Q6</f>
        <v>0.2</v>
      </c>
      <c r="J20" s="3097" t="s">
        <v>3150</v>
      </c>
      <c r="K20" s="3096"/>
      <c r="L20" s="3096"/>
    </row>
    <row r="21" spans="1:12" s="3085" customFormat="1" ht="27" customHeight="1">
      <c r="A21" s="3069" t="s">
        <v>3146</v>
      </c>
      <c r="B21" s="3075" t="s">
        <v>3151</v>
      </c>
      <c r="C21" s="3369">
        <f>H15*I20</f>
        <v>4.0000000000000001E-3</v>
      </c>
      <c r="D21" s="3370"/>
      <c r="E21" s="3360" t="s">
        <v>3152</v>
      </c>
      <c r="F21" s="3361"/>
      <c r="G21" s="3071" t="s">
        <v>3153</v>
      </c>
      <c r="H21" s="3367"/>
      <c r="I21" s="3368"/>
      <c r="J21" s="3083"/>
      <c r="K21" s="3096"/>
      <c r="L21" s="3096"/>
    </row>
    <row r="22" spans="1:12" s="3085" customFormat="1" ht="18" customHeight="1">
      <c r="A22" s="3069" t="s">
        <v>3154</v>
      </c>
      <c r="B22" s="3075" t="s">
        <v>3155</v>
      </c>
      <c r="C22" s="3369">
        <f>ROUND(H22/1.05,4)</f>
        <v>5.33E-2</v>
      </c>
      <c r="D22" s="3370"/>
      <c r="E22" s="3360" t="s">
        <v>3152</v>
      </c>
      <c r="F22" s="3361"/>
      <c r="G22" s="3071" t="s">
        <v>3156</v>
      </c>
      <c r="H22" s="3357">
        <v>5.6000000000000001E-2</v>
      </c>
      <c r="I22" s="3357"/>
      <c r="J22" s="3109"/>
      <c r="K22" s="3096"/>
      <c r="L22" s="3096"/>
    </row>
    <row r="23" spans="1:12" s="3085" customFormat="1" ht="18" customHeight="1">
      <c r="A23" s="3069" t="s">
        <v>3157</v>
      </c>
      <c r="B23" s="3075" t="s">
        <v>3158</v>
      </c>
      <c r="C23" s="3341">
        <f ca="1">ROUND((C13+C14+C17+C20)/(1-H15-C18-C21-C22),0)</f>
        <v>6068127</v>
      </c>
      <c r="D23" s="3342"/>
      <c r="E23" s="3342"/>
      <c r="F23" s="3343"/>
      <c r="G23" s="3341" t="s">
        <v>3159</v>
      </c>
      <c r="H23" s="3342"/>
      <c r="I23" s="3343"/>
      <c r="J23" s="3109"/>
      <c r="K23" s="3096"/>
      <c r="L23" s="3096"/>
    </row>
    <row r="24" spans="1:12" s="3085" customFormat="1" ht="18" customHeight="1">
      <c r="A24" s="3069" t="s">
        <v>3160</v>
      </c>
      <c r="B24" s="3075" t="s">
        <v>3161</v>
      </c>
      <c r="C24" s="3110">
        <f ca="1">C26+C27</f>
        <v>98577</v>
      </c>
      <c r="D24" s="3111" t="s">
        <v>3162</v>
      </c>
      <c r="E24" s="3364">
        <f>H25+H28</f>
        <v>0.18330000000000002</v>
      </c>
      <c r="F24" s="3365"/>
      <c r="G24" s="3344" t="s">
        <v>3163</v>
      </c>
      <c r="H24" s="3344"/>
      <c r="I24" s="3344"/>
      <c r="J24" s="3109"/>
      <c r="K24" s="3096"/>
      <c r="L24" s="3096"/>
    </row>
    <row r="25" spans="1:12" s="3085" customFormat="1" ht="18" customHeight="1">
      <c r="A25" s="3069" t="s">
        <v>3164</v>
      </c>
      <c r="B25" s="3075" t="s">
        <v>3165</v>
      </c>
      <c r="C25" s="3362" t="s">
        <v>3166</v>
      </c>
      <c r="D25" s="3363"/>
      <c r="E25" s="3364">
        <f>H25</f>
        <v>0.17330000000000001</v>
      </c>
      <c r="F25" s="3365"/>
      <c r="G25" s="3071" t="s">
        <v>3167</v>
      </c>
      <c r="H25" s="3371">
        <f>ROUND(5.6%/1.05+12%,4)</f>
        <v>0.17330000000000001</v>
      </c>
      <c r="I25" s="3371"/>
      <c r="J25" s="3099"/>
      <c r="K25" s="3096"/>
      <c r="L25" s="3096"/>
    </row>
    <row r="26" spans="1:12" s="3085" customFormat="1" ht="18" customHeight="1">
      <c r="A26" s="3069" t="s">
        <v>3168</v>
      </c>
      <c r="B26" s="3075" t="s">
        <v>3169</v>
      </c>
      <c r="C26" s="3341">
        <f ca="1">ROUND(C23*H26,0)</f>
        <v>91022</v>
      </c>
      <c r="D26" s="3342"/>
      <c r="E26" s="3342"/>
      <c r="F26" s="3343"/>
      <c r="G26" s="3071" t="s">
        <v>3170</v>
      </c>
      <c r="H26" s="3371">
        <f>'数据-取费表'!AK6</f>
        <v>1.4999999999999999E-2</v>
      </c>
      <c r="I26" s="3371"/>
      <c r="J26" s="3099"/>
      <c r="K26" s="3096"/>
      <c r="L26" s="3096"/>
    </row>
    <row r="27" spans="1:12" s="3085" customFormat="1" ht="18" customHeight="1">
      <c r="A27" s="3069" t="s">
        <v>3171</v>
      </c>
      <c r="B27" s="3075" t="s">
        <v>3172</v>
      </c>
      <c r="C27" s="3341">
        <f ca="1">ROUND(C7*H27,0)</f>
        <v>7555</v>
      </c>
      <c r="D27" s="3342"/>
      <c r="E27" s="3342"/>
      <c r="F27" s="3343"/>
      <c r="G27" s="3071" t="s">
        <v>3173</v>
      </c>
      <c r="H27" s="3372">
        <f>'数据-取费表'!AL6</f>
        <v>1.5E-3</v>
      </c>
      <c r="I27" s="3372"/>
      <c r="J27" s="3083"/>
      <c r="K27" s="3096"/>
      <c r="L27" s="3096"/>
    </row>
    <row r="28" spans="1:12" s="3085" customFormat="1" ht="18" customHeight="1">
      <c r="A28" s="3069" t="s">
        <v>3174</v>
      </c>
      <c r="B28" s="3075" t="s">
        <v>3175</v>
      </c>
      <c r="C28" s="3362" t="s">
        <v>3166</v>
      </c>
      <c r="D28" s="3363"/>
      <c r="E28" s="3364">
        <f>H28</f>
        <v>0.01</v>
      </c>
      <c r="F28" s="3365"/>
      <c r="G28" s="3071" t="s">
        <v>3176</v>
      </c>
      <c r="H28" s="3371">
        <f>'数据-取费表'!AM6</f>
        <v>0.01</v>
      </c>
      <c r="I28" s="3371"/>
      <c r="J28" s="3112"/>
      <c r="K28" s="3096"/>
      <c r="L28" s="3096"/>
    </row>
    <row r="29" spans="1:12" s="3085" customFormat="1" ht="18" customHeight="1">
      <c r="A29" s="3074" t="s">
        <v>3177</v>
      </c>
      <c r="B29" s="3075" t="s">
        <v>3178</v>
      </c>
      <c r="C29" s="3341">
        <f ca="1">ROUND((C4+C24)/(1-E24),0)</f>
        <v>3427917</v>
      </c>
      <c r="D29" s="3342"/>
      <c r="E29" s="3342"/>
      <c r="F29" s="3343"/>
      <c r="G29" s="3345" t="s">
        <v>3179</v>
      </c>
      <c r="H29" s="3345"/>
      <c r="I29" s="3345"/>
      <c r="J29" s="3113" t="s">
        <v>3180</v>
      </c>
      <c r="K29" s="3096"/>
      <c r="L29" s="3096"/>
    </row>
    <row r="30" spans="1:12" s="3085" customFormat="1" ht="18" customHeight="1">
      <c r="A30" s="3345" t="s">
        <v>3181</v>
      </c>
      <c r="B30" s="3346" t="s">
        <v>3182</v>
      </c>
      <c r="C30" s="3373">
        <f ca="1">ROUND(C29/I30/I31/I3,2)</f>
        <v>11.11</v>
      </c>
      <c r="D30" s="3374"/>
      <c r="E30" s="3374"/>
      <c r="F30" s="3375"/>
      <c r="G30" s="3344" t="s">
        <v>3183</v>
      </c>
      <c r="H30" s="3075" t="s">
        <v>3184</v>
      </c>
      <c r="I30" s="3071">
        <v>365</v>
      </c>
      <c r="J30" s="3114"/>
      <c r="K30" s="3096"/>
      <c r="L30" s="3096"/>
    </row>
    <row r="31" spans="1:12" s="3085" customFormat="1" ht="18" customHeight="1">
      <c r="A31" s="3345"/>
      <c r="B31" s="3346"/>
      <c r="C31" s="3376"/>
      <c r="D31" s="3377"/>
      <c r="E31" s="3377"/>
      <c r="F31" s="3378"/>
      <c r="G31" s="3344"/>
      <c r="H31" s="3075" t="s">
        <v>3185</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0" t="s">
        <v>3186</v>
      </c>
      <c r="C33" s="3380"/>
      <c r="D33" s="3380"/>
      <c r="E33" s="3380"/>
      <c r="F33" s="3380"/>
      <c r="G33" s="3121"/>
      <c r="H33" s="3122"/>
      <c r="I33" s="3068"/>
      <c r="J33" s="3083"/>
      <c r="K33" s="3096"/>
      <c r="L33" s="3096"/>
      <c r="M33" s="3068"/>
    </row>
    <row r="34" spans="1:13" s="3085" customFormat="1" ht="18" customHeight="1">
      <c r="A34" s="3068"/>
      <c r="B34" s="3123" t="s">
        <v>3187</v>
      </c>
      <c r="C34" s="3124" t="s">
        <v>3089</v>
      </c>
      <c r="D34" s="3381" t="s">
        <v>3188</v>
      </c>
      <c r="E34" s="3381"/>
      <c r="F34" s="3381"/>
      <c r="G34" s="3121"/>
      <c r="H34" s="3122"/>
      <c r="I34" s="3068"/>
      <c r="J34" s="3109"/>
      <c r="K34" s="3068"/>
      <c r="L34" s="3068"/>
      <c r="M34" s="3068"/>
    </row>
    <row r="35" spans="1:13">
      <c r="B35" s="3123" t="s">
        <v>3189</v>
      </c>
      <c r="C35" s="3125">
        <v>0.6</v>
      </c>
      <c r="D35" s="3382">
        <f>'比较法-商业'!C49</f>
        <v>12.6</v>
      </c>
      <c r="E35" s="3382"/>
      <c r="F35" s="3382"/>
      <c r="G35" s="3121">
        <f ca="1">(D35-D36)/D36</f>
        <v>0.13411341134113414</v>
      </c>
      <c r="H35" s="3122"/>
      <c r="K35" s="3068"/>
      <c r="L35" s="3068"/>
    </row>
    <row r="36" spans="1:13" ht="20.100000000000001" customHeight="1">
      <c r="B36" s="3123" t="s">
        <v>3190</v>
      </c>
      <c r="C36" s="3125">
        <f>1-C35</f>
        <v>0.4</v>
      </c>
      <c r="D36" s="3382">
        <f ca="1">C30</f>
        <v>11.11</v>
      </c>
      <c r="E36" s="3382"/>
      <c r="F36" s="3382"/>
      <c r="G36" s="3121"/>
      <c r="H36" s="3122"/>
      <c r="J36" s="3068"/>
      <c r="K36" s="3068"/>
      <c r="L36" s="3068"/>
    </row>
    <row r="37" spans="1:13" ht="22.5" customHeight="1">
      <c r="B37" s="3383" t="s">
        <v>3191</v>
      </c>
      <c r="C37" s="3383"/>
      <c r="D37" s="3382">
        <f ca="1">ROUND(C35*D35+C36*D36,2)</f>
        <v>12</v>
      </c>
      <c r="E37" s="3382"/>
      <c r="F37" s="3382"/>
      <c r="G37" s="3121">
        <f ca="1">ROUND(D37*I3/10000,2)</f>
        <v>1.19</v>
      </c>
      <c r="H37" s="3122"/>
      <c r="J37" s="3068"/>
      <c r="K37" s="3068"/>
      <c r="L37" s="3068"/>
    </row>
    <row r="38" spans="1:13" ht="22.5" customHeight="1">
      <c r="B38" s="3123" t="s">
        <v>3192</v>
      </c>
      <c r="C38" s="3123">
        <f ca="1">ROUND(D37*0.9,1)</f>
        <v>10.8</v>
      </c>
      <c r="D38" s="3126" t="s">
        <v>3193</v>
      </c>
      <c r="E38" s="3379">
        <f ca="1">ROUND(D37*1.1,1)</f>
        <v>13.2</v>
      </c>
      <c r="F38" s="3379"/>
      <c r="G38" s="3121" t="s">
        <v>3194</v>
      </c>
      <c r="H38" s="3127">
        <v>12</v>
      </c>
      <c r="J38" s="3068"/>
      <c r="K38" s="3068"/>
      <c r="L38" s="3068"/>
    </row>
    <row r="39" spans="1:13" ht="18" customHeight="1">
      <c r="B39" s="3123" t="s">
        <v>3195</v>
      </c>
      <c r="C39" s="3123">
        <f ca="1">ROUND(C38+H39,1)</f>
        <v>10.8</v>
      </c>
      <c r="D39" s="3126" t="s">
        <v>3193</v>
      </c>
      <c r="E39" s="3379">
        <f ca="1">ROUND(E38+H39,1)</f>
        <v>13.2</v>
      </c>
      <c r="F39" s="3379"/>
      <c r="G39" s="3128" t="s">
        <v>3196</v>
      </c>
      <c r="H39" s="3128">
        <v>0</v>
      </c>
      <c r="J39" s="3068"/>
      <c r="K39" s="3068"/>
      <c r="L39" s="3068"/>
    </row>
    <row r="40" spans="1:13" ht="18" customHeight="1">
      <c r="B40" s="3129"/>
      <c r="C40" s="3130"/>
      <c r="D40" s="3131"/>
      <c r="E40" s="3131"/>
      <c r="F40" s="3131"/>
      <c r="G40" s="3121"/>
      <c r="H40" s="3122"/>
      <c r="J40" s="3068"/>
    </row>
    <row r="41" spans="1:13" ht="18" customHeight="1">
      <c r="B41" s="3121" t="s">
        <v>3197</v>
      </c>
      <c r="C41" s="3131"/>
      <c r="D41" s="3131"/>
      <c r="E41" s="3121" t="s">
        <v>3198</v>
      </c>
      <c r="F41" s="3131"/>
      <c r="G41" s="3121"/>
      <c r="H41" s="3121" t="s">
        <v>3199</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0" t="str">
        <f>项目基本情况!B1</f>
        <v>北京市房地产市场价值预评估</v>
      </c>
      <c r="C37" s="3150"/>
      <c r="D37" s="3150"/>
      <c r="E37" s="3150"/>
      <c r="F37" s="3150"/>
      <c r="G37" s="3150"/>
      <c r="H37" s="3150"/>
      <c r="I37" s="315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5359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v>
      </c>
      <c r="D19" s="958">
        <f ca="1">D9+D10</f>
        <v>994.5</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2212</v>
      </c>
    </row>
    <row r="35" spans="1:7" ht="13.5" customHeight="1">
      <c r="A35" s="888" t="s">
        <v>796</v>
      </c>
      <c r="B35" s="221" t="s">
        <v>2213</v>
      </c>
      <c r="C35" s="226">
        <f ca="1">ROUND(C34*F35,0)</f>
        <v>16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v>
      </c>
      <c r="D37" s="223">
        <f ca="1">D19</f>
        <v>994.5</v>
      </c>
      <c r="E37" s="255">
        <f>'数据-取费表'!B35</f>
        <v>200</v>
      </c>
      <c r="F37" s="265"/>
      <c r="G37" s="267" t="s">
        <v>2218</v>
      </c>
    </row>
    <row r="38" spans="1:7" ht="13.5" customHeight="1">
      <c r="A38" s="888" t="s">
        <v>799</v>
      </c>
      <c r="B38" s="221" t="s">
        <v>2219</v>
      </c>
      <c r="C38" s="226">
        <f ca="1">ROUND(C34*F38,0)</f>
        <v>6</v>
      </c>
      <c r="D38" s="226"/>
      <c r="E38" s="226"/>
      <c r="F38" s="265">
        <f>'数据-取费表'!B36</f>
        <v>1.4999999999999999E-2</v>
      </c>
      <c r="G38" s="225" t="s">
        <v>2214</v>
      </c>
    </row>
    <row r="39" spans="1:7" s="220" customFormat="1" ht="13.5" customHeight="1">
      <c r="A39" s="261" t="s">
        <v>2220</v>
      </c>
      <c r="B39" s="216" t="s">
        <v>2221</v>
      </c>
      <c r="C39" s="238">
        <f ca="1">ROUND(C33*F20,0)</f>
        <v>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21</v>
      </c>
      <c r="D42" s="244"/>
      <c r="E42" s="244"/>
      <c r="F42" s="245"/>
      <c r="G42" s="3384" t="s">
        <v>2230</v>
      </c>
    </row>
    <row r="43" spans="1:7" ht="13.5" customHeight="1">
      <c r="A43" s="888" t="s">
        <v>792</v>
      </c>
      <c r="B43" s="221" t="s">
        <v>2231</v>
      </c>
      <c r="C43" s="244">
        <f ca="1">ROUND(IF('数据-取费表'!B22&lt;=1,C39*F22*'数据-取费表'!B21/2,C39*(POWER((1+F22),'数据-取费表'!B21/2)-1)),0)</f>
        <v>0</v>
      </c>
      <c r="D43" s="244"/>
      <c r="E43" s="244"/>
      <c r="F43" s="245"/>
      <c r="G43" s="3385"/>
    </row>
    <row r="44" spans="1:7" ht="13.5" customHeight="1">
      <c r="A44" s="888" t="s">
        <v>793</v>
      </c>
      <c r="B44" s="221" t="s">
        <v>2232</v>
      </c>
      <c r="C44" s="244">
        <f ca="1">ROUND(IF('数据-取费表'!B22&lt;=1,C40*F22*'数据-取费表'!B21/2,C40*(POWER((1+F22),'数据-取费表'!B21/2)-1)),4)</f>
        <v>1E-3</v>
      </c>
      <c r="D44" s="244"/>
      <c r="E44" s="244"/>
      <c r="F44" s="245"/>
      <c r="G44" s="3386"/>
    </row>
    <row r="45" spans="1:7" s="220" customFormat="1" ht="13.5" customHeight="1">
      <c r="A45" s="261" t="s">
        <v>2233</v>
      </c>
      <c r="B45" s="250" t="s">
        <v>2199</v>
      </c>
      <c r="C45" s="251">
        <f ca="1">C46</f>
        <v>90</v>
      </c>
      <c r="D45" s="241">
        <f ca="1">C47</f>
        <v>4.0000000000000001E-3</v>
      </c>
      <c r="E45" s="242" t="s">
        <v>2225</v>
      </c>
      <c r="F45" s="2537">
        <f ca="1">F27</f>
        <v>0.2</v>
      </c>
      <c r="G45" s="253" t="s">
        <v>2234</v>
      </c>
    </row>
    <row r="46" spans="1:7" s="220" customFormat="1" ht="13.5" customHeight="1">
      <c r="A46" s="888" t="s">
        <v>791</v>
      </c>
      <c r="B46" s="254" t="s">
        <v>2235</v>
      </c>
      <c r="C46" s="255">
        <f ca="1">ROUND((C33+C39)*F27,0)</f>
        <v>90</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608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505</v>
      </c>
      <c r="D51" s="238"/>
      <c r="E51" s="238"/>
      <c r="F51" s="270"/>
      <c r="G51" s="240" t="s">
        <v>2246</v>
      </c>
    </row>
    <row r="52" spans="1:7" s="214" customFormat="1" ht="16.5" thickBot="1">
      <c r="A52" s="271" t="s">
        <v>2247</v>
      </c>
      <c r="B52" s="272"/>
      <c r="C52" s="273">
        <f ca="1">C31+C51</f>
        <v>533</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561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5641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198900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198900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198900</v>
      </c>
      <c r="D19" s="958">
        <f ca="1">D9+D10</f>
        <v>994.5</v>
      </c>
      <c r="E19" s="217">
        <f>'数据-取费表'!B31</f>
        <v>200</v>
      </c>
      <c r="F19" s="237"/>
      <c r="G19" s="2042"/>
    </row>
    <row r="20" spans="1:7" s="220" customFormat="1" ht="13.5" customHeight="1">
      <c r="A20" s="261" t="s">
        <v>2260</v>
      </c>
      <c r="B20" s="216" t="s">
        <v>2261</v>
      </c>
      <c r="C20" s="238">
        <f ca="1">ROUND((C5+C19)*F20,0)</f>
        <v>7956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39066</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19344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19344</v>
      </c>
      <c r="D24" s="244"/>
      <c r="E24" s="244"/>
      <c r="F24" s="245"/>
      <c r="G24" s="246" t="s">
        <v>2272</v>
      </c>
    </row>
    <row r="25" spans="1:7" s="220" customFormat="1" ht="24">
      <c r="A25" s="888" t="s">
        <v>2162</v>
      </c>
      <c r="B25" s="221" t="s">
        <v>2273</v>
      </c>
      <c r="C25" s="1290">
        <f ca="1">ROUND(IF('数据-取费表'!B22&lt;=1,C20*F22*'数据-取费表'!B22/2,C20*(POWER((1+F22),'数据-取费表'!B22/2)-1)),0)</f>
        <v>378</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81151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81151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570655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4395690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2213</v>
      </c>
      <c r="C35" s="226">
        <f ca="1">ROUND(C34*F35,0)</f>
        <v>159120</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198900</v>
      </c>
      <c r="D37" s="223">
        <f ca="1">D19</f>
        <v>994.5</v>
      </c>
      <c r="E37" s="255">
        <f>'数据-取费表'!B35</f>
        <v>200</v>
      </c>
      <c r="F37" s="265"/>
      <c r="G37" s="267"/>
    </row>
    <row r="38" spans="1:7" ht="13.5" customHeight="1">
      <c r="A38" s="888" t="s">
        <v>799</v>
      </c>
      <c r="B38" s="221" t="s">
        <v>2219</v>
      </c>
      <c r="C38" s="226">
        <f ca="1">ROUND(C34*F38,0)</f>
        <v>59670</v>
      </c>
      <c r="D38" s="226"/>
      <c r="E38" s="226"/>
      <c r="F38" s="265">
        <f>'数据-取费表'!B36</f>
        <v>1.4999999999999999E-2</v>
      </c>
      <c r="G38" s="225" t="s">
        <v>2214</v>
      </c>
    </row>
    <row r="39" spans="1:7" s="220" customFormat="1" ht="13.5" customHeight="1">
      <c r="A39" s="261" t="s">
        <v>2220</v>
      </c>
      <c r="B39" s="216" t="s">
        <v>2221</v>
      </c>
      <c r="C39" s="238">
        <f ca="1">ROUND(C33*F20,0)</f>
        <v>87914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212971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208795</v>
      </c>
      <c r="D42" s="244"/>
      <c r="E42" s="244"/>
      <c r="F42" s="245"/>
      <c r="G42" s="3384" t="s">
        <v>2277</v>
      </c>
    </row>
    <row r="43" spans="1:7" ht="13.5" customHeight="1">
      <c r="A43" s="888" t="s">
        <v>792</v>
      </c>
      <c r="B43" s="221" t="s">
        <v>2231</v>
      </c>
      <c r="C43" s="244">
        <f ca="1">ROUND(IF('数据-取费表'!B22&lt;=1,C39*F22*'数据-取费表'!B20/2,C39*(POWER((1+F22),'数据-取费表'!B20/2)-1)),0)</f>
        <v>4176</v>
      </c>
      <c r="D43" s="244"/>
      <c r="E43" s="244"/>
      <c r="F43" s="245"/>
      <c r="G43" s="3385"/>
    </row>
    <row r="44" spans="1:7" ht="13.5" customHeight="1">
      <c r="A44" s="888" t="s">
        <v>793</v>
      </c>
      <c r="B44" s="221" t="s">
        <v>2232</v>
      </c>
      <c r="C44" s="244">
        <f ca="1">ROUND(IF('数据-取费表'!B22&lt;=1,C40*F22*'数据-取费表'!B20/2,C40*(POWER((1+F22),'数据-取费表'!B20/2)-1)),4)</f>
        <v>1E-3</v>
      </c>
      <c r="D44" s="244"/>
      <c r="E44" s="244"/>
      <c r="F44" s="245"/>
      <c r="G44" s="3386"/>
    </row>
    <row r="45" spans="1:7" s="220" customFormat="1" ht="13.5" customHeight="1">
      <c r="A45" s="261" t="s">
        <v>2233</v>
      </c>
      <c r="B45" s="250" t="s">
        <v>2199</v>
      </c>
      <c r="C45" s="251">
        <f ca="1">C46</f>
        <v>896721</v>
      </c>
      <c r="D45" s="241">
        <f ca="1">C47</f>
        <v>4.0000000000000001E-3</v>
      </c>
      <c r="E45" s="242" t="s">
        <v>2225</v>
      </c>
      <c r="F45" s="2537">
        <f ca="1">F27</f>
        <v>0.2</v>
      </c>
      <c r="G45" s="253" t="s">
        <v>2234</v>
      </c>
    </row>
    <row r="46" spans="1:7" s="220" customFormat="1" ht="13.5" customHeight="1">
      <c r="A46" s="888" t="s">
        <v>791</v>
      </c>
      <c r="B46" s="254" t="s">
        <v>2235</v>
      </c>
      <c r="C46" s="255">
        <f ca="1">ROUND((C33+C39)*F27,0)</f>
        <v>896721</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6068456</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5036818</v>
      </c>
      <c r="D51" s="238"/>
      <c r="E51" s="238"/>
      <c r="F51" s="270"/>
      <c r="G51" s="240" t="s">
        <v>2246</v>
      </c>
    </row>
    <row r="52" spans="1:7" s="214" customFormat="1" ht="16.5" thickBot="1">
      <c r="A52" s="271" t="s">
        <v>2247</v>
      </c>
      <c r="B52" s="272"/>
      <c r="C52" s="273">
        <f ca="1">C31+C51</f>
        <v>5607473</v>
      </c>
      <c r="D52" s="272"/>
      <c r="E52" s="272"/>
      <c r="F52" s="272"/>
      <c r="G52" s="274"/>
    </row>
    <row r="55" spans="1:7" ht="15">
      <c r="B55" s="276" t="s">
        <v>2248</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-23</v>
      </c>
      <c r="C2" s="282" t="s">
        <v>2281</v>
      </c>
      <c r="D2" s="282"/>
      <c r="E2" s="3035"/>
      <c r="F2" s="3035"/>
      <c r="G2" s="3035"/>
      <c r="H2" s="3035"/>
      <c r="I2" s="3035"/>
      <c r="J2" s="3035"/>
      <c r="K2" s="3035"/>
    </row>
    <row r="3" spans="1:33" ht="18" customHeight="1" thickBot="1">
      <c r="A3" s="209" t="s">
        <v>2150</v>
      </c>
      <c r="B3" s="210">
        <f ca="1">ROUND(B2*10000/IF(C1="",'数据-汇总表'!E3,INDIRECT("'数据-取费表'!K"&amp;$K$1)),0)</f>
        <v>-231</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994.5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994.5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2317</v>
      </c>
      <c r="C21" s="923">
        <f ca="1">C16+C17+C18</f>
        <v>20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87" t="s">
        <v>1368</v>
      </c>
      <c r="C6" s="1206">
        <f ca="1">ROUND(F6*F8*F7*(1-F9),0)</f>
        <v>0</v>
      </c>
      <c r="D6" s="160" t="s">
        <v>2848</v>
      </c>
      <c r="E6" s="308" t="s">
        <v>1370</v>
      </c>
      <c r="F6" s="309">
        <f ca="1">INDIRECT("'数据-取费表'!u"&amp;$G$1)</f>
        <v>0</v>
      </c>
      <c r="G6" s="1568"/>
      <c r="H6" s="1201" t="s">
        <v>1003</v>
      </c>
      <c r="I6" s="3387" t="s">
        <v>1368</v>
      </c>
      <c r="J6" s="307">
        <f ca="1">ROUND(M6*M8*M7*(1-M9),0)</f>
        <v>0</v>
      </c>
      <c r="K6" s="1560" t="s">
        <v>2849</v>
      </c>
      <c r="L6" s="308" t="s">
        <v>1370</v>
      </c>
      <c r="M6" s="309">
        <f ca="1">INDIRECT("'数据-取费表'!z"&amp;$G$1)</f>
        <v>0</v>
      </c>
    </row>
    <row r="7" spans="1:37" ht="18" customHeight="1">
      <c r="A7" s="1205"/>
      <c r="B7" s="3388"/>
      <c r="C7" s="1207"/>
      <c r="D7" s="313"/>
      <c r="E7" s="1208" t="s">
        <v>1371</v>
      </c>
      <c r="F7" s="309">
        <f ca="1">IF(INDIRECT("'数据-取费表'!ah"&amp;$G$1)="",INDIRECT("'数据-取费表'!k"&amp;$G$1),INDIRECT("'数据-取费表'!ah"&amp;$G$1))</f>
        <v>0</v>
      </c>
      <c r="G7" s="1568"/>
      <c r="H7" s="310"/>
      <c r="I7" s="3388"/>
      <c r="J7" s="312"/>
      <c r="K7" s="313"/>
      <c r="L7" s="308" t="s">
        <v>1371</v>
      </c>
      <c r="M7" s="309">
        <f ca="1">F7</f>
        <v>0</v>
      </c>
    </row>
    <row r="8" spans="1:37" ht="18" customHeight="1">
      <c r="A8" s="310"/>
      <c r="B8" s="3388"/>
      <c r="C8" s="312"/>
      <c r="D8" s="313"/>
      <c r="E8" s="308" t="s">
        <v>1372</v>
      </c>
      <c r="F8" s="309">
        <f ca="1">INDIRECT("'数据-取费表'!ai"&amp;$G$1)</f>
        <v>0</v>
      </c>
      <c r="G8" s="1568"/>
      <c r="H8" s="310"/>
      <c r="I8" s="3388"/>
      <c r="J8" s="312"/>
      <c r="K8" s="313"/>
      <c r="L8" s="308" t="s">
        <v>1372</v>
      </c>
      <c r="M8" s="309">
        <f ca="1">INDIRECT("'数据-取费表'!ai"&amp;$G$1)</f>
        <v>0</v>
      </c>
    </row>
    <row r="9" spans="1:37" ht="18" customHeight="1">
      <c r="A9" s="310"/>
      <c r="B9" s="3389"/>
      <c r="C9" s="312"/>
      <c r="D9" s="313"/>
      <c r="E9" s="308" t="s">
        <v>1373</v>
      </c>
      <c r="F9" s="318">
        <f ca="1">INDIRECT("'数据-取费表'!w"&amp;$G$1)</f>
        <v>0</v>
      </c>
      <c r="G9" s="1568"/>
      <c r="H9" s="310"/>
      <c r="I9" s="338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90" t="s">
        <v>1513</v>
      </c>
      <c r="L53" s="339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8611</v>
      </c>
      <c r="C2" s="2058" t="s">
        <v>2340</v>
      </c>
      <c r="D2" s="2059" t="s">
        <v>2341</v>
      </c>
      <c r="E2" s="2831">
        <f>SUM(E6:E13)</f>
        <v>994.5</v>
      </c>
      <c r="F2" s="2934"/>
      <c r="G2" s="1674"/>
      <c r="H2" s="1674"/>
      <c r="I2" s="1674"/>
      <c r="J2" s="1674"/>
      <c r="K2" s="1674"/>
      <c r="L2" s="1674"/>
      <c r="M2" s="1674"/>
      <c r="N2" s="1674"/>
      <c r="O2" s="1674"/>
      <c r="P2" s="1674"/>
      <c r="Q2" s="1674"/>
      <c r="R2" s="1674"/>
      <c r="S2" s="1674"/>
    </row>
    <row r="3" spans="1:22" ht="15.75">
      <c r="A3" s="2056" t="s">
        <v>1360</v>
      </c>
      <c r="B3" s="2825">
        <f ca="1">ROUND(B2*10000/E2,0)</f>
        <v>86586</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392" t="s">
        <v>2343</v>
      </c>
      <c r="C5" s="3393"/>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8611</v>
      </c>
      <c r="C6" s="2058" t="s">
        <v>2340</v>
      </c>
      <c r="D6" s="2936"/>
      <c r="E6" s="2830">
        <f>IF(OR(A6=0,F6="否"),0,'数据-取费表'!K6+'数据-取费表'!S6)</f>
        <v>994.5</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433" t="s">
        <v>2357</v>
      </c>
      <c r="D4" s="3434"/>
      <c r="E4" s="3435" t="s">
        <v>2358</v>
      </c>
      <c r="F4" s="3436"/>
      <c r="G4" s="3433" t="s">
        <v>2359</v>
      </c>
      <c r="H4" s="3434"/>
      <c r="I4" s="3433" t="s">
        <v>2360</v>
      </c>
      <c r="J4" s="3434"/>
      <c r="K4" s="2075" t="s">
        <v>2361</v>
      </c>
      <c r="L4" s="2942"/>
      <c r="M4" s="2943"/>
      <c r="N4" s="2943"/>
      <c r="O4" s="2943"/>
      <c r="P4" s="3437" t="s">
        <v>2362</v>
      </c>
      <c r="Q4" s="3438"/>
      <c r="R4" s="3443" t="s">
        <v>2358</v>
      </c>
      <c r="S4" s="3444"/>
      <c r="T4" s="3443" t="s">
        <v>2359</v>
      </c>
      <c r="U4" s="3444"/>
      <c r="V4" s="3449" t="s">
        <v>2360</v>
      </c>
      <c r="W4" s="3449"/>
      <c r="X4" s="1539"/>
      <c r="Y4" s="3443" t="s">
        <v>2362</v>
      </c>
      <c r="Z4" s="3444"/>
      <c r="AA4" s="3430" t="s">
        <v>2358</v>
      </c>
      <c r="AB4" s="3430" t="s">
        <v>2359</v>
      </c>
      <c r="AC4" s="3430" t="s">
        <v>2360</v>
      </c>
    </row>
    <row r="5" spans="1:29" ht="15">
      <c r="A5" s="364"/>
      <c r="B5" s="365"/>
      <c r="C5" s="3452" t="s">
        <v>2363</v>
      </c>
      <c r="D5" s="3453"/>
      <c r="E5" s="3459" t="s">
        <v>2364</v>
      </c>
      <c r="F5" s="3460"/>
      <c r="G5" s="3452" t="s">
        <v>2365</v>
      </c>
      <c r="H5" s="3453"/>
      <c r="I5" s="3452" t="s">
        <v>2366</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2367</v>
      </c>
      <c r="D6" s="3451"/>
      <c r="E6" s="3457" t="s">
        <v>2367</v>
      </c>
      <c r="F6" s="3458"/>
      <c r="G6" s="3450" t="s">
        <v>2367</v>
      </c>
      <c r="H6" s="3451"/>
      <c r="I6" s="3450" t="s">
        <v>2367</v>
      </c>
      <c r="J6" s="3451"/>
      <c r="K6" s="2076" t="s">
        <v>2368</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2369</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2370</v>
      </c>
      <c r="Q7" s="3456"/>
      <c r="R7" s="710" t="s">
        <v>23</v>
      </c>
      <c r="S7" s="711">
        <f t="shared" ref="S7:S15" si="0">F7</f>
        <v>0</v>
      </c>
      <c r="T7" s="710" t="s">
        <v>23</v>
      </c>
      <c r="U7" s="711">
        <f t="shared" ref="U7:U15" si="1">H7</f>
        <v>0</v>
      </c>
      <c r="V7" s="710" t="s">
        <v>23</v>
      </c>
      <c r="W7" s="711">
        <f t="shared" ref="W7:W15" si="2">J7</f>
        <v>0</v>
      </c>
      <c r="X7" s="712"/>
      <c r="Y7" s="3454" t="s">
        <v>2370</v>
      </c>
      <c r="Z7" s="345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2373</v>
      </c>
      <c r="Q8" s="3455"/>
      <c r="R8" s="710" t="s">
        <v>23</v>
      </c>
      <c r="S8" s="711">
        <f t="shared" si="0"/>
        <v>0</v>
      </c>
      <c r="T8" s="710" t="s">
        <v>23</v>
      </c>
      <c r="U8" s="711">
        <f t="shared" si="1"/>
        <v>0</v>
      </c>
      <c r="V8" s="710" t="s">
        <v>23</v>
      </c>
      <c r="W8" s="711">
        <f t="shared" si="2"/>
        <v>0</v>
      </c>
      <c r="X8" s="712"/>
      <c r="Y8" s="3454" t="s">
        <v>2373</v>
      </c>
      <c r="Z8" s="345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99.75">
      <c r="A15" s="399" t="s">
        <v>2380</v>
      </c>
      <c r="B15" s="65" t="s">
        <v>1943</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2381</v>
      </c>
      <c r="Q15" s="1536" t="str">
        <f t="shared" si="6"/>
        <v>居住社区成熟度</v>
      </c>
      <c r="R15" s="714" t="s">
        <v>21</v>
      </c>
      <c r="S15" s="715">
        <f t="shared" si="0"/>
        <v>100</v>
      </c>
      <c r="T15" s="714" t="s">
        <v>21</v>
      </c>
      <c r="U15" s="715">
        <f t="shared" si="1"/>
        <v>100</v>
      </c>
      <c r="V15" s="714" t="s">
        <v>21</v>
      </c>
      <c r="W15" s="715">
        <f t="shared" si="2"/>
        <v>100</v>
      </c>
      <c r="X15" s="1539"/>
      <c r="Y15" s="342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1947</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2386</v>
      </c>
      <c r="Q32" s="1536" t="str">
        <f t="shared" si="11"/>
        <v>建筑类型</v>
      </c>
      <c r="R32" s="714" t="s">
        <v>21</v>
      </c>
      <c r="S32" s="715">
        <f t="shared" si="12"/>
        <v>100</v>
      </c>
      <c r="T32" s="714" t="s">
        <v>21</v>
      </c>
      <c r="U32" s="715">
        <f t="shared" si="13"/>
        <v>100</v>
      </c>
      <c r="V32" s="714" t="s">
        <v>21</v>
      </c>
      <c r="W32" s="715">
        <f t="shared" si="14"/>
        <v>100</v>
      </c>
      <c r="X32" s="1539"/>
      <c r="Y32" s="342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2386</v>
      </c>
      <c r="Q38" s="1536" t="str">
        <f t="shared" si="11"/>
        <v>物业管理</v>
      </c>
      <c r="R38" s="714" t="s">
        <v>21</v>
      </c>
      <c r="S38" s="715">
        <f t="shared" si="12"/>
        <v>100</v>
      </c>
      <c r="T38" s="714" t="s">
        <v>21</v>
      </c>
      <c r="U38" s="715">
        <f t="shared" si="13"/>
        <v>100</v>
      </c>
      <c r="V38" s="714" t="s">
        <v>21</v>
      </c>
      <c r="W38" s="715">
        <f t="shared" si="14"/>
        <v>100</v>
      </c>
      <c r="X38" s="1539"/>
      <c r="Y38" s="342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K42" sqref="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3206</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6148</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61817</v>
      </c>
      <c r="C3" s="360" t="s">
        <v>2355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433" t="s">
        <v>2357</v>
      </c>
      <c r="D4" s="3434"/>
      <c r="E4" s="3435" t="s">
        <v>2358</v>
      </c>
      <c r="F4" s="3436"/>
      <c r="G4" s="3433" t="s">
        <v>2359</v>
      </c>
      <c r="H4" s="3434"/>
      <c r="I4" s="3433" t="s">
        <v>2360</v>
      </c>
      <c r="J4" s="3434"/>
      <c r="K4" s="567" t="s">
        <v>2361</v>
      </c>
      <c r="L4" s="2942"/>
      <c r="M4" s="2943"/>
      <c r="N4" s="2943"/>
      <c r="O4" s="2943"/>
      <c r="P4" s="3437" t="s">
        <v>2362</v>
      </c>
      <c r="Q4" s="3438"/>
      <c r="R4" s="3443" t="s">
        <v>2358</v>
      </c>
      <c r="S4" s="3444"/>
      <c r="T4" s="3443" t="s">
        <v>2359</v>
      </c>
      <c r="U4" s="3444"/>
      <c r="V4" s="3449" t="s">
        <v>2360</v>
      </c>
      <c r="W4" s="3449"/>
      <c r="X4" s="3060"/>
      <c r="Y4" s="3443" t="s">
        <v>2362</v>
      </c>
      <c r="Z4" s="3444"/>
      <c r="AA4" s="3430" t="s">
        <v>2358</v>
      </c>
      <c r="AB4" s="3449" t="s">
        <v>2359</v>
      </c>
      <c r="AC4" s="3430" t="s">
        <v>2360</v>
      </c>
    </row>
    <row r="5" spans="1:29" ht="15">
      <c r="A5" s="364"/>
      <c r="B5" s="365"/>
      <c r="C5" s="3461" t="s">
        <v>3224</v>
      </c>
      <c r="D5" s="3453"/>
      <c r="E5" s="3462" t="s">
        <v>3271</v>
      </c>
      <c r="F5" s="3460"/>
      <c r="G5" s="3461" t="s">
        <v>3271</v>
      </c>
      <c r="H5" s="3453"/>
      <c r="I5" s="3461" t="s">
        <v>3280</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2367</v>
      </c>
      <c r="D6" s="3451"/>
      <c r="E6" s="3457" t="s">
        <v>2367</v>
      </c>
      <c r="F6" s="3458"/>
      <c r="G6" s="3450" t="s">
        <v>2367</v>
      </c>
      <c r="H6" s="3451"/>
      <c r="I6" s="3450" t="s">
        <v>2367</v>
      </c>
      <c r="J6" s="3451"/>
      <c r="K6" s="567" t="s">
        <v>2368</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2370</v>
      </c>
      <c r="Q7" s="3456"/>
      <c r="R7" s="710" t="s">
        <v>17</v>
      </c>
      <c r="S7" s="711">
        <f t="shared" ref="S7:S15" si="0">F7</f>
        <v>100</v>
      </c>
      <c r="T7" s="710" t="s">
        <v>17</v>
      </c>
      <c r="U7" s="711">
        <f t="shared" ref="U7:U15" si="1">H7</f>
        <v>100</v>
      </c>
      <c r="V7" s="710" t="s">
        <v>17</v>
      </c>
      <c r="W7" s="711">
        <f t="shared" ref="W7:W15" si="2">J7</f>
        <v>100</v>
      </c>
      <c r="X7" s="712"/>
      <c r="Y7" s="3454" t="s">
        <v>2370</v>
      </c>
      <c r="Z7" s="3455"/>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54" t="s">
        <v>2373</v>
      </c>
      <c r="Q8" s="3455"/>
      <c r="R8" s="710" t="s">
        <v>17</v>
      </c>
      <c r="S8" s="711">
        <f t="shared" si="0"/>
        <v>100</v>
      </c>
      <c r="T8" s="710" t="s">
        <v>17</v>
      </c>
      <c r="U8" s="711">
        <f t="shared" si="1"/>
        <v>100</v>
      </c>
      <c r="V8" s="710" t="s">
        <v>17</v>
      </c>
      <c r="W8" s="711">
        <f t="shared" si="2"/>
        <v>100</v>
      </c>
      <c r="X8" s="712"/>
      <c r="Y8" s="3454" t="s">
        <v>2373</v>
      </c>
      <c r="Z8" s="3455"/>
      <c r="AA8" s="713">
        <f t="shared" ref="AA8:AA46" si="3">D8/F8</f>
        <v>1</v>
      </c>
      <c r="AB8" s="713">
        <f t="shared" ref="AB8:AB46" si="4">D8/H8</f>
        <v>1</v>
      </c>
      <c r="AC8" s="713">
        <f t="shared" ref="AC8:AC46" si="5">D8/J8</f>
        <v>1</v>
      </c>
    </row>
    <row r="9" spans="1:29" s="113" customFormat="1">
      <c r="A9" s="375" t="s">
        <v>2374</v>
      </c>
      <c r="B9" s="67" t="s">
        <v>2375</v>
      </c>
      <c r="C9" s="3139" t="s">
        <v>3228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29" t="s">
        <v>2376</v>
      </c>
      <c r="Q9" s="3059" t="str">
        <f t="shared" ref="Q9:Q15" si="6">B9</f>
        <v>用途</v>
      </c>
      <c r="R9" s="710" t="s">
        <v>17</v>
      </c>
      <c r="S9" s="711">
        <f t="shared" si="0"/>
        <v>100</v>
      </c>
      <c r="T9" s="710" t="s">
        <v>17</v>
      </c>
      <c r="U9" s="711">
        <f t="shared" si="1"/>
        <v>100</v>
      </c>
      <c r="V9" s="710" t="s">
        <v>17</v>
      </c>
      <c r="W9" s="711">
        <f t="shared" si="2"/>
        <v>100</v>
      </c>
      <c r="X9" s="712"/>
      <c r="Y9" s="3243" t="s">
        <v>2377</v>
      </c>
      <c r="Z9" s="3058"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3" t="s">
        <v>3264</v>
      </c>
      <c r="H10" s="132">
        <f>SUMIF(65:65,G10,66:66)-SUMIF(65:65,C10,66:66)+100</f>
        <v>100</v>
      </c>
      <c r="I10" s="383" t="s">
        <v>3264</v>
      </c>
      <c r="J10" s="132">
        <f>SUMIF(65:65,I10,66:66)-SUMIF(65:65,C10,66:66)+100</f>
        <v>100</v>
      </c>
      <c r="K10" s="569">
        <v>2</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3"/>
      <c r="Z10" s="3058"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3"/>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3"/>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3"/>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3"/>
      <c r="Z14" s="3058">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2381</v>
      </c>
      <c r="Q15" s="3063" t="str">
        <f t="shared" si="6"/>
        <v>商业繁华度</v>
      </c>
      <c r="R15" s="714" t="s">
        <v>17</v>
      </c>
      <c r="S15" s="715">
        <f t="shared" si="0"/>
        <v>100</v>
      </c>
      <c r="T15" s="714" t="s">
        <v>17</v>
      </c>
      <c r="U15" s="715">
        <f t="shared" si="1"/>
        <v>100</v>
      </c>
      <c r="V15" s="714" t="s">
        <v>17</v>
      </c>
      <c r="W15" s="715">
        <f t="shared" si="2"/>
        <v>100</v>
      </c>
      <c r="X15" s="3060"/>
      <c r="Y15" s="3420" t="s">
        <v>2381</v>
      </c>
      <c r="Z15" s="3061" t="str">
        <f t="shared" si="7"/>
        <v>商业繁华度</v>
      </c>
      <c r="AA15" s="3064">
        <f t="shared" si="3"/>
        <v>1</v>
      </c>
      <c r="AB15" s="3064">
        <f t="shared" si="4"/>
        <v>1</v>
      </c>
      <c r="AC15" s="3064">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3259</v>
      </c>
      <c r="D18" s="409"/>
      <c r="E18" s="406" t="s">
        <v>3259</v>
      </c>
      <c r="F18" s="412"/>
      <c r="G18" s="406" t="s">
        <v>3259</v>
      </c>
      <c r="H18" s="407"/>
      <c r="I18" s="406" t="s">
        <v>3259</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3259</v>
      </c>
      <c r="D20" s="407"/>
      <c r="E20" s="406" t="s">
        <v>3259</v>
      </c>
      <c r="F20" s="408"/>
      <c r="G20" s="406" t="s">
        <v>3259</v>
      </c>
      <c r="H20" s="407"/>
      <c r="I20" s="406" t="s">
        <v>3259</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2477</v>
      </c>
      <c r="C25" s="573" t="s">
        <v>3249</v>
      </c>
      <c r="D25" s="394">
        <v>100</v>
      </c>
      <c r="E25" s="573" t="s">
        <v>3252</v>
      </c>
      <c r="F25" s="420">
        <f>SUMIF(86:86,E25,87:87)-SUMIF(86:86,C25,87:87)+100</f>
        <v>102</v>
      </c>
      <c r="G25" s="573" t="s">
        <v>3252</v>
      </c>
      <c r="H25" s="394">
        <f>SUMIF(86:86,G25,87:87)-SUMIF(86:86,C25,87:87)+100</f>
        <v>102</v>
      </c>
      <c r="I25" s="573" t="s">
        <v>3252</v>
      </c>
      <c r="J25" s="394">
        <f>SUMIF(86:86,I25,87:87)-SUMIF(86:86,C25,87:87)+100</f>
        <v>102</v>
      </c>
      <c r="K25" s="569">
        <v>2</v>
      </c>
      <c r="L25" s="2949"/>
      <c r="M25" s="2943"/>
      <c r="N25" s="2943"/>
      <c r="O25" s="2943"/>
      <c r="P25" s="3428"/>
      <c r="Q25" s="3063" t="str">
        <f t="shared" ref="Q25:Q46" si="11">B25</f>
        <v>临街状况</v>
      </c>
      <c r="R25" s="714" t="s">
        <v>17</v>
      </c>
      <c r="S25" s="715">
        <f>F25</f>
        <v>102</v>
      </c>
      <c r="T25" s="714" t="s">
        <v>17</v>
      </c>
      <c r="U25" s="715">
        <f>H25</f>
        <v>102</v>
      </c>
      <c r="V25" s="714" t="s">
        <v>17</v>
      </c>
      <c r="W25" s="715">
        <f>J25</f>
        <v>102</v>
      </c>
      <c r="X25" s="3060"/>
      <c r="Y25" s="3421"/>
      <c r="Z25" s="3061" t="str">
        <f>Q25</f>
        <v>临街状况</v>
      </c>
      <c r="AA25" s="3064">
        <f t="shared" si="3"/>
        <v>0.98039215686274506</v>
      </c>
      <c r="AB25" s="3064">
        <f t="shared" si="4"/>
        <v>0.98039215686274506</v>
      </c>
      <c r="AC25" s="3064">
        <f t="shared" si="5"/>
        <v>0.98039215686274506</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3260</v>
      </c>
      <c r="J27" s="421">
        <f>SUMIF(90:90,I27,91:91)-SUMIF(90:90,C27,91:91)+100</f>
        <v>102</v>
      </c>
      <c r="K27" s="569">
        <v>2</v>
      </c>
      <c r="L27" s="2944"/>
      <c r="M27" s="2945"/>
      <c r="N27" s="2945"/>
      <c r="O27" s="2945"/>
      <c r="P27" s="3428"/>
      <c r="Q27" s="3059" t="str">
        <f t="shared" si="11"/>
        <v>人流量</v>
      </c>
      <c r="R27" s="710" t="s">
        <v>17</v>
      </c>
      <c r="S27" s="711">
        <f>F27</f>
        <v>102</v>
      </c>
      <c r="T27" s="710" t="s">
        <v>17</v>
      </c>
      <c r="U27" s="711">
        <f>H27</f>
        <v>102</v>
      </c>
      <c r="V27" s="710" t="s">
        <v>17</v>
      </c>
      <c r="W27" s="711">
        <f>J27</f>
        <v>102</v>
      </c>
      <c r="X27" s="712"/>
      <c r="Y27" s="3421"/>
      <c r="Z27" s="3058" t="str">
        <f>Q27</f>
        <v>人流量</v>
      </c>
      <c r="AA27" s="3064">
        <f>D27/F27</f>
        <v>0.98039215686274506</v>
      </c>
      <c r="AB27" s="3064">
        <f>D27/H27</f>
        <v>0.98039215686274506</v>
      </c>
      <c r="AC27" s="3064">
        <f>D27/J27</f>
        <v>0.98039215686274506</v>
      </c>
    </row>
    <row r="28" spans="1:29" ht="15">
      <c r="A28" s="387"/>
      <c r="B28" s="381" t="s">
        <v>2480</v>
      </c>
      <c r="C28" s="573" t="s">
        <v>3267</v>
      </c>
      <c r="D28" s="394">
        <v>100</v>
      </c>
      <c r="E28" s="573" t="s">
        <v>3267</v>
      </c>
      <c r="F28" s="420">
        <f>SUMIF(92:92,E28,93:93)-SUMIF(92:92,C28,93:93)+100</f>
        <v>100</v>
      </c>
      <c r="G28" s="573" t="s">
        <v>3270</v>
      </c>
      <c r="H28" s="394">
        <f>SUMIF(92:92,G28,93:93)-SUMIF(92:92,C28,93:93)+100</f>
        <v>95</v>
      </c>
      <c r="I28" s="573" t="s">
        <v>3267</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21"/>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2384</v>
      </c>
      <c r="B32" s="67" t="s">
        <v>2481</v>
      </c>
      <c r="C32" s="2096" t="s">
        <v>3244</v>
      </c>
      <c r="D32" s="426">
        <v>100</v>
      </c>
      <c r="E32" s="2096" t="s">
        <v>3277</v>
      </c>
      <c r="F32" s="420">
        <f>SUMIF(100:100,E32,101:101)-SUMIF(100:100,C32,101:101)+100</f>
        <v>103</v>
      </c>
      <c r="G32" s="2096" t="s">
        <v>3277</v>
      </c>
      <c r="H32" s="394">
        <f>SUMIF(100:100,G32,101:101)-SUMIF(100:100,C32,101:101)+100</f>
        <v>103</v>
      </c>
      <c r="I32" s="2096" t="s">
        <v>3244</v>
      </c>
      <c r="J32" s="426">
        <f>SUMIF(100:100,I32,101:101)-SUMIF(100:100,C32,101:101)+100</f>
        <v>100</v>
      </c>
      <c r="K32" s="569">
        <v>3</v>
      </c>
      <c r="L32" s="2949"/>
      <c r="M32" s="2943"/>
      <c r="N32" s="2943"/>
      <c r="O32" s="2943"/>
      <c r="P32" s="3422" t="s">
        <v>2386</v>
      </c>
      <c r="Q32" s="3063" t="str">
        <f t="shared" si="11"/>
        <v>商业类型</v>
      </c>
      <c r="R32" s="714" t="s">
        <v>17</v>
      </c>
      <c r="S32" s="715">
        <f t="shared" si="12"/>
        <v>103</v>
      </c>
      <c r="T32" s="714" t="s">
        <v>17</v>
      </c>
      <c r="U32" s="715">
        <f t="shared" si="13"/>
        <v>103</v>
      </c>
      <c r="V32" s="714" t="s">
        <v>17</v>
      </c>
      <c r="W32" s="715">
        <f t="shared" si="14"/>
        <v>100</v>
      </c>
      <c r="X32" s="3060"/>
      <c r="Y32" s="3425" t="s">
        <v>2386</v>
      </c>
      <c r="Z32" s="3061" t="str">
        <f t="shared" si="15"/>
        <v>商业类型</v>
      </c>
      <c r="AA32" s="3064">
        <f t="shared" si="3"/>
        <v>0.970873786407767</v>
      </c>
      <c r="AB32" s="3064">
        <f t="shared" si="4"/>
        <v>0.970873786407767</v>
      </c>
      <c r="AC32" s="3064">
        <f t="shared" si="5"/>
        <v>1</v>
      </c>
    </row>
    <row r="33" spans="1:29" s="430" customFormat="1" ht="15">
      <c r="A33" s="427"/>
      <c r="B33" s="381" t="s">
        <v>2387</v>
      </c>
      <c r="C33" s="428">
        <f>'数据-基础表'!I13</f>
        <v>994.5</v>
      </c>
      <c r="D33" s="132">
        <v>100</v>
      </c>
      <c r="E33" s="389">
        <f>ROUND(107.11*C50,2)</f>
        <v>80.33</v>
      </c>
      <c r="F33" s="384">
        <f>LOOKUP(E33,103:103,104:104)-LOOKUP(C33,103:103,104:104)+100</f>
        <v>103</v>
      </c>
      <c r="G33" s="388">
        <f>635*C50</f>
        <v>476.25</v>
      </c>
      <c r="H33" s="132">
        <f>LOOKUP(G33,103:103,104:104)-LOOKUP(C33,103:103,104:104)+100</f>
        <v>101</v>
      </c>
      <c r="I33" s="388">
        <f>ROUND(76.8*C50,2)</f>
        <v>57.6</v>
      </c>
      <c r="J33" s="132">
        <f>LOOKUP(I33,103:103,104:104)-LOOKUP(C33,103:103,104:104)+100</f>
        <v>103</v>
      </c>
      <c r="K33" s="570"/>
      <c r="L33" s="2948"/>
      <c r="M33" s="2950"/>
      <c r="N33" s="2950"/>
      <c r="O33" s="2950"/>
      <c r="P33" s="3423"/>
      <c r="Q33" s="716" t="str">
        <f t="shared" si="11"/>
        <v>项目建筑规模</v>
      </c>
      <c r="R33" s="717" t="s">
        <v>17</v>
      </c>
      <c r="S33" s="718">
        <f t="shared" si="12"/>
        <v>103</v>
      </c>
      <c r="T33" s="717" t="s">
        <v>17</v>
      </c>
      <c r="U33" s="718">
        <f t="shared" si="13"/>
        <v>101</v>
      </c>
      <c r="V33" s="717" t="s">
        <v>17</v>
      </c>
      <c r="W33" s="718">
        <f t="shared" si="14"/>
        <v>103</v>
      </c>
      <c r="X33" s="719"/>
      <c r="Y33" s="3425"/>
      <c r="Z33" s="720" t="str">
        <f t="shared" si="15"/>
        <v>项目建筑规模</v>
      </c>
      <c r="AA33" s="3064">
        <f t="shared" si="3"/>
        <v>0.970873786407767</v>
      </c>
      <c r="AB33" s="3064">
        <f t="shared" si="4"/>
        <v>0.99009900990099009</v>
      </c>
      <c r="AC33" s="3064">
        <f t="shared" si="5"/>
        <v>0.970873786407767</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2484</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2386</v>
      </c>
      <c r="Q38" s="3063" t="str">
        <f t="shared" si="11"/>
        <v>业态</v>
      </c>
      <c r="R38" s="714" t="s">
        <v>17</v>
      </c>
      <c r="S38" s="715">
        <f t="shared" si="12"/>
        <v>100</v>
      </c>
      <c r="T38" s="714" t="s">
        <v>17</v>
      </c>
      <c r="U38" s="715">
        <f t="shared" si="13"/>
        <v>100</v>
      </c>
      <c r="V38" s="714" t="s">
        <v>17</v>
      </c>
      <c r="W38" s="715">
        <f t="shared" si="14"/>
        <v>100</v>
      </c>
      <c r="X38" s="3060"/>
      <c r="Y38" s="3425" t="s">
        <v>2386</v>
      </c>
      <c r="Z38" s="3061" t="str">
        <f t="shared" si="15"/>
        <v>业态</v>
      </c>
      <c r="AA38" s="3064">
        <f t="shared" si="3"/>
        <v>1</v>
      </c>
      <c r="AB38" s="3064">
        <f t="shared" si="4"/>
        <v>1</v>
      </c>
      <c r="AC38" s="3064">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2489</v>
      </c>
      <c r="C42" s="2092" t="s">
        <v>3256</v>
      </c>
      <c r="D42" s="394">
        <v>100</v>
      </c>
      <c r="E42" s="2092" t="s">
        <v>3256</v>
      </c>
      <c r="F42" s="420">
        <f>SUMIF(122:122,E42,123:123)-SUMIF(122:122,C42,123:123)+100</f>
        <v>100</v>
      </c>
      <c r="G42" s="2092" t="s">
        <v>3234</v>
      </c>
      <c r="H42" s="394">
        <f>SUMIF(122:122,G42,123:123)-SUMIF(122:122,C42,123:123)+100</f>
        <v>102</v>
      </c>
      <c r="I42" s="2092" t="s">
        <v>3234</v>
      </c>
      <c r="J42" s="394">
        <f>SUMIF(122:122,I42,123:123)-SUMIF(122:122,C42,123:123)+100</f>
        <v>102</v>
      </c>
      <c r="K42" s="569">
        <v>2</v>
      </c>
      <c r="L42" s="2949"/>
      <c r="M42" s="2943"/>
      <c r="N42" s="2943"/>
      <c r="O42" s="2943"/>
      <c r="P42" s="3423"/>
      <c r="Q42" s="3063" t="str">
        <f t="shared" si="11"/>
        <v>内部装修</v>
      </c>
      <c r="R42" s="714" t="s">
        <v>17</v>
      </c>
      <c r="S42" s="715">
        <f t="shared" si="12"/>
        <v>100</v>
      </c>
      <c r="T42" s="714" t="s">
        <v>17</v>
      </c>
      <c r="U42" s="715">
        <f t="shared" si="13"/>
        <v>102</v>
      </c>
      <c r="V42" s="714" t="s">
        <v>17</v>
      </c>
      <c r="W42" s="715">
        <f t="shared" si="14"/>
        <v>102</v>
      </c>
      <c r="X42" s="3060"/>
      <c r="Y42" s="3425"/>
      <c r="Z42" s="3061" t="str">
        <f t="shared" si="15"/>
        <v>内部装修</v>
      </c>
      <c r="AA42" s="3064">
        <f t="shared" si="3"/>
        <v>1</v>
      </c>
      <c r="AB42" s="3064">
        <f t="shared" si="4"/>
        <v>0.98039215686274506</v>
      </c>
      <c r="AC42" s="3064">
        <f t="shared" si="5"/>
        <v>0.98039215686274506</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2398</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2399</v>
      </c>
      <c r="B48" s="446"/>
      <c r="C48" s="1322">
        <f>R49</f>
        <v>61817</v>
      </c>
      <c r="D48" s="2538" t="s">
        <v>2881</v>
      </c>
      <c r="E48" s="1323">
        <f>R48</f>
        <v>60400</v>
      </c>
      <c r="F48" s="2539"/>
      <c r="G48" s="1322">
        <f>T48</f>
        <v>63693</v>
      </c>
      <c r="H48" s="2539"/>
      <c r="I48" s="1323">
        <f>V48</f>
        <v>61358</v>
      </c>
      <c r="J48" s="2539"/>
      <c r="K48" s="2541">
        <f>F48+H48+J48</f>
        <v>0</v>
      </c>
      <c r="L48" s="2951"/>
      <c r="M48" s="2952"/>
      <c r="N48" s="2943"/>
      <c r="O48" s="2952"/>
      <c r="P48" s="3418" t="str">
        <f>A48</f>
        <v>比较价值（元/平方米）</v>
      </c>
      <c r="Q48" s="3418"/>
      <c r="R48" s="3419">
        <f>IF(F1="售价",ROUND(PRODUCT(R47,AA7:AA46),0),ROUND(PRODUCT(R47,AA7:AA46),1))</f>
        <v>60400</v>
      </c>
      <c r="S48" s="3419"/>
      <c r="T48" s="3419">
        <f>IF(F1="售价",ROUND(PRODUCT(T47,AB7:AB46),0),ROUND(PRODUCT(T47,AB7:AB46),1))</f>
        <v>63693</v>
      </c>
      <c r="U48" s="3419"/>
      <c r="V48" s="3419">
        <f>IF(F1="售价",ROUND(PRODUCT(V47,AC7:AC46),0),ROUND(PRODUCT(V47,AC7:AC46),1))</f>
        <v>61358</v>
      </c>
      <c r="W48" s="3419"/>
      <c r="X48" s="699"/>
      <c r="Y48" s="699"/>
      <c r="Z48" s="699"/>
      <c r="AA48" s="699"/>
      <c r="AB48" s="699"/>
      <c r="AC48" s="699"/>
    </row>
    <row r="49" spans="1:29" ht="15.75" thickBot="1">
      <c r="A49" s="449" t="s">
        <v>2400</v>
      </c>
      <c r="B49" s="450"/>
      <c r="C49" s="1325">
        <f>R49</f>
        <v>61817</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61817</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0.10375827814569538</v>
      </c>
      <c r="F52" s="457" t="str">
        <f>IF(OR(E52&gt;=0.3,E52&lt;=-0.3),"超过30%","")</f>
        <v/>
      </c>
      <c r="G52" s="456">
        <f>IF(G47&lt;G48,G48/G47-1,G47/G48-1)</f>
        <v>4.8780870739327797E-2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5.4519867549668977E-2</v>
      </c>
      <c r="F53" s="457" t="str">
        <f>IF(OR(E53&gt;=0.2,E53&lt;=-0.2),"超过20%","")</f>
        <v/>
      </c>
      <c r="G53" s="456">
        <f>IF(G48&lt;I48,I48/G48-1,G48/I48-1)</f>
        <v>3.8055347305974818E-2</v>
      </c>
      <c r="H53" s="457" t="str">
        <f>IF(OR(G53&gt;=0.2,G53&lt;=-0.2),"超过20%","")</f>
        <v/>
      </c>
      <c r="I53" s="456">
        <f>IF(I48&lt;E48,E48/I48-1,I48/E48-1)</f>
        <v>1.5860927152317794E-2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3138" t="s">
        <v>3227</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3281</v>
      </c>
      <c r="D90" s="3140" t="s">
        <v>3282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3268</v>
      </c>
      <c r="D92" s="511" t="s">
        <v>3269</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3278</v>
      </c>
      <c r="D100" s="3141" t="s">
        <v>3279</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3272</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3273</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3274</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3273</v>
      </c>
      <c r="D122" s="3140" t="s">
        <v>3275</v>
      </c>
      <c r="E122" s="3140" t="s">
        <v>3276</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I34" sqref="I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3207</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12.6</v>
      </c>
      <c r="C3" s="360" t="s">
        <v>2465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43" t="s">
        <v>2468</v>
      </c>
      <c r="S4" s="3444"/>
      <c r="T4" s="3443" t="s">
        <v>2469</v>
      </c>
      <c r="U4" s="3444"/>
      <c r="V4" s="3449" t="s">
        <v>2470</v>
      </c>
      <c r="W4" s="3449"/>
      <c r="X4" s="1539"/>
      <c r="Y4" s="3443" t="s">
        <v>2472</v>
      </c>
      <c r="Z4" s="3444"/>
      <c r="AA4" s="3430" t="s">
        <v>2468</v>
      </c>
      <c r="AB4" s="3449" t="s">
        <v>2469</v>
      </c>
      <c r="AC4" s="3430" t="s">
        <v>2470</v>
      </c>
    </row>
    <row r="5" spans="1:29" ht="15">
      <c r="A5" s="364"/>
      <c r="B5" s="365"/>
      <c r="C5" s="3461" t="s">
        <v>3229</v>
      </c>
      <c r="D5" s="3453"/>
      <c r="E5" s="3462" t="s">
        <v>3231</v>
      </c>
      <c r="F5" s="3460"/>
      <c r="G5" s="3461" t="s">
        <v>3232</v>
      </c>
      <c r="H5" s="3453"/>
      <c r="I5" s="3461" t="s">
        <v>3230</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2367</v>
      </c>
      <c r="D6" s="3451"/>
      <c r="E6" s="3457" t="s">
        <v>2367</v>
      </c>
      <c r="F6" s="3458"/>
      <c r="G6" s="3450" t="s">
        <v>2367</v>
      </c>
      <c r="H6" s="3451"/>
      <c r="I6" s="3450" t="s">
        <v>2367</v>
      </c>
      <c r="J6" s="3451"/>
      <c r="K6" s="567" t="s">
        <v>2368</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2370</v>
      </c>
      <c r="Q7" s="3456"/>
      <c r="R7" s="710" t="s">
        <v>17</v>
      </c>
      <c r="S7" s="711">
        <f t="shared" ref="S7:S15" si="0">F7</f>
        <v>100</v>
      </c>
      <c r="T7" s="710" t="s">
        <v>17</v>
      </c>
      <c r="U7" s="711">
        <f t="shared" ref="U7:U15" si="1">H7</f>
        <v>100</v>
      </c>
      <c r="V7" s="710" t="s">
        <v>17</v>
      </c>
      <c r="W7" s="711">
        <f t="shared" ref="W7:W15" si="2">J7</f>
        <v>100</v>
      </c>
      <c r="X7" s="712"/>
      <c r="Y7" s="3454" t="s">
        <v>2370</v>
      </c>
      <c r="Z7" s="3455"/>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54" t="s">
        <v>2373</v>
      </c>
      <c r="Q8" s="3455"/>
      <c r="R8" s="710" t="s">
        <v>17</v>
      </c>
      <c r="S8" s="711">
        <f t="shared" si="0"/>
        <v>100</v>
      </c>
      <c r="T8" s="710" t="s">
        <v>17</v>
      </c>
      <c r="U8" s="711">
        <f t="shared" si="1"/>
        <v>100</v>
      </c>
      <c r="V8" s="710" t="s">
        <v>17</v>
      </c>
      <c r="W8" s="711">
        <f t="shared" si="2"/>
        <v>100</v>
      </c>
      <c r="X8" s="712"/>
      <c r="Y8" s="3454" t="s">
        <v>2373</v>
      </c>
      <c r="Z8" s="3455"/>
      <c r="AA8" s="713">
        <f t="shared" ref="AA8:AA46" si="3">D8/F8</f>
        <v>1</v>
      </c>
      <c r="AB8" s="713">
        <f t="shared" ref="AB8:AB46" si="4">D8/H8</f>
        <v>1</v>
      </c>
      <c r="AC8" s="713">
        <f t="shared" ref="AC8:AC46" si="5">D8/J8</f>
        <v>1</v>
      </c>
    </row>
    <row r="9" spans="1:29" s="113" customFormat="1">
      <c r="A9" s="375" t="s">
        <v>2374</v>
      </c>
      <c r="B9" s="67" t="s">
        <v>2375</v>
      </c>
      <c r="C9" s="3139" t="s">
        <v>3263</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29"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2" t="s">
        <v>3264</v>
      </c>
      <c r="H10" s="132">
        <f>SUMIF(65:65,G10,66:66)-SUMIF(65:65,C10,66:66)+100</f>
        <v>100</v>
      </c>
      <c r="I10" s="3148" t="s">
        <v>3265</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3"/>
      <c r="Z10" s="55" t="str">
        <f t="shared" si="7"/>
        <v>土地使用年限（年）</v>
      </c>
      <c r="AA10" s="713">
        <f t="shared" si="3"/>
        <v>1</v>
      </c>
      <c r="AB10" s="713">
        <f t="shared" si="4"/>
        <v>1</v>
      </c>
      <c r="AC10" s="713">
        <f t="shared" si="5"/>
        <v>1.0204081632653061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2381</v>
      </c>
      <c r="Q15" s="1536" t="str">
        <f t="shared" si="6"/>
        <v>商业繁华度</v>
      </c>
      <c r="R15" s="714" t="s">
        <v>17</v>
      </c>
      <c r="S15" s="715">
        <f t="shared" si="0"/>
        <v>100</v>
      </c>
      <c r="T15" s="714" t="s">
        <v>17</v>
      </c>
      <c r="U15" s="715">
        <f t="shared" si="1"/>
        <v>100</v>
      </c>
      <c r="V15" s="714" t="s">
        <v>17</v>
      </c>
      <c r="W15" s="715">
        <f t="shared" si="2"/>
        <v>100</v>
      </c>
      <c r="X15" s="1539"/>
      <c r="Y15" s="3420" t="s">
        <v>2381</v>
      </c>
      <c r="Z15" s="1540" t="str">
        <f t="shared" si="7"/>
        <v>商业繁华度</v>
      </c>
      <c r="AA15" s="1537">
        <f t="shared" si="3"/>
        <v>1</v>
      </c>
      <c r="AB15" s="1537">
        <f t="shared" si="4"/>
        <v>1</v>
      </c>
      <c r="AC15" s="1537">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3259</v>
      </c>
      <c r="D18" s="409"/>
      <c r="E18" s="2087" t="s">
        <v>3259</v>
      </c>
      <c r="F18" s="412"/>
      <c r="G18" s="2087" t="s">
        <v>3259</v>
      </c>
      <c r="H18" s="407"/>
      <c r="I18" s="2087" t="s">
        <v>3259</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3259</v>
      </c>
      <c r="D20" s="407"/>
      <c r="E20" s="2087" t="s">
        <v>3259</v>
      </c>
      <c r="F20" s="408"/>
      <c r="G20" s="2087" t="s">
        <v>3259</v>
      </c>
      <c r="H20" s="407"/>
      <c r="I20" s="2087" t="s">
        <v>3259</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2477</v>
      </c>
      <c r="C25" s="573" t="s">
        <v>3249</v>
      </c>
      <c r="D25" s="394">
        <v>100</v>
      </c>
      <c r="E25" s="573" t="s">
        <v>3252</v>
      </c>
      <c r="F25" s="420">
        <f>SUMIF(86:86,E25,87:87)-SUMIF(86:86,C25,87:87)+100</f>
        <v>101</v>
      </c>
      <c r="G25" s="573" t="s">
        <v>3249</v>
      </c>
      <c r="H25" s="394">
        <f>SUMIF(86:86,G25,87:87)-SUMIF(86:86,C25,87:87)+100</f>
        <v>100</v>
      </c>
      <c r="I25" s="573" t="s">
        <v>3249</v>
      </c>
      <c r="J25" s="394">
        <f>SUMIF(86:86,I25,87:87)-SUMIF(86:86,C25,87:87)+100</f>
        <v>100</v>
      </c>
      <c r="K25" s="569">
        <v>1</v>
      </c>
      <c r="L25" s="2949"/>
      <c r="M25" s="2943"/>
      <c r="N25" s="2943"/>
      <c r="O25" s="2943"/>
      <c r="P25" s="3428"/>
      <c r="Q25" s="1536" t="str">
        <f t="shared" ref="Q25:Q46" si="11">B25</f>
        <v>临街状况</v>
      </c>
      <c r="R25" s="714" t="s">
        <v>17</v>
      </c>
      <c r="S25" s="715">
        <f>F25</f>
        <v>101</v>
      </c>
      <c r="T25" s="714" t="s">
        <v>17</v>
      </c>
      <c r="U25" s="715">
        <f>H25</f>
        <v>100</v>
      </c>
      <c r="V25" s="714" t="s">
        <v>17</v>
      </c>
      <c r="W25" s="715">
        <f>J25</f>
        <v>100</v>
      </c>
      <c r="X25" s="1539"/>
      <c r="Y25" s="3421"/>
      <c r="Z25" s="1540" t="str">
        <f>Q25</f>
        <v>临街状况</v>
      </c>
      <c r="AA25" s="1537">
        <f t="shared" si="3"/>
        <v>0.99009900990099009</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3254</v>
      </c>
      <c r="J27" s="421">
        <f>SUMIF(90:90,I27,91:91)-SUMIF(90:90,C27,91:91)+100</f>
        <v>100</v>
      </c>
      <c r="K27" s="569">
        <v>2</v>
      </c>
      <c r="L27" s="2944"/>
      <c r="M27" s="2945"/>
      <c r="N27" s="2945"/>
      <c r="O27" s="2945"/>
      <c r="P27" s="3428"/>
      <c r="Q27" s="1527" t="str">
        <f t="shared" si="11"/>
        <v>人流量</v>
      </c>
      <c r="R27" s="710" t="s">
        <v>17</v>
      </c>
      <c r="S27" s="711">
        <f>F27</f>
        <v>102</v>
      </c>
      <c r="T27" s="710" t="s">
        <v>17</v>
      </c>
      <c r="U27" s="711">
        <f>H27</f>
        <v>102</v>
      </c>
      <c r="V27" s="710" t="s">
        <v>17</v>
      </c>
      <c r="W27" s="711">
        <f>J27</f>
        <v>100</v>
      </c>
      <c r="X27" s="712"/>
      <c r="Y27" s="3421"/>
      <c r="Z27" s="55" t="str">
        <f>Q27</f>
        <v>人流量</v>
      </c>
      <c r="AA27" s="1537">
        <f>D27/F27</f>
        <v>0.98039215686274506</v>
      </c>
      <c r="AB27" s="1537">
        <f>D27/H27</f>
        <v>0.98039215686274506</v>
      </c>
      <c r="AC27" s="1537">
        <f>D27/J27</f>
        <v>1</v>
      </c>
    </row>
    <row r="28" spans="1:29" ht="15">
      <c r="A28" s="387"/>
      <c r="B28" s="381" t="s">
        <v>2480</v>
      </c>
      <c r="C28" s="573" t="s">
        <v>3267</v>
      </c>
      <c r="D28" s="394">
        <v>100</v>
      </c>
      <c r="E28" s="573" t="s">
        <v>3267</v>
      </c>
      <c r="F28" s="420">
        <f>SUMIF(92:92,E28,93:93)-SUMIF(92:92,C28,93:93)+100</f>
        <v>100</v>
      </c>
      <c r="G28" s="573" t="s">
        <v>3267</v>
      </c>
      <c r="H28" s="394">
        <f>SUMIF(92:92,G28,93:93)-SUMIF(92:92,C28,93:93)+100</f>
        <v>100</v>
      </c>
      <c r="I28" s="573" t="s">
        <v>3267</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2384</v>
      </c>
      <c r="B32" s="67" t="s">
        <v>2481</v>
      </c>
      <c r="C32" s="2096" t="s">
        <v>3244</v>
      </c>
      <c r="D32" s="426">
        <v>100</v>
      </c>
      <c r="E32" s="2096" t="s">
        <v>3244</v>
      </c>
      <c r="F32" s="420">
        <f>SUMIF(100:100,E32,101:101)-SUMIF(100:100,C32,101:101)+100</f>
        <v>100</v>
      </c>
      <c r="G32" s="2096" t="s">
        <v>3244</v>
      </c>
      <c r="H32" s="394">
        <f>SUMIF(100:100,G32,101:101)-SUMIF(100:100,C32,101:101)+100</f>
        <v>100</v>
      </c>
      <c r="I32" s="2096" t="s">
        <v>3244</v>
      </c>
      <c r="J32" s="426">
        <f>SUMIF(100:100,I32,101:101)-SUMIF(100:100,C32,101:101)+100</f>
        <v>100</v>
      </c>
      <c r="K32" s="569">
        <v>5</v>
      </c>
      <c r="L32" s="2949"/>
      <c r="M32" s="2943"/>
      <c r="N32" s="2943"/>
      <c r="O32" s="2943"/>
      <c r="P32" s="3422" t="s">
        <v>2386</v>
      </c>
      <c r="Q32" s="1536" t="str">
        <f t="shared" si="11"/>
        <v>商业类型</v>
      </c>
      <c r="R32" s="714" t="s">
        <v>17</v>
      </c>
      <c r="S32" s="715">
        <f t="shared" si="12"/>
        <v>100</v>
      </c>
      <c r="T32" s="714" t="s">
        <v>17</v>
      </c>
      <c r="U32" s="715">
        <f t="shared" si="13"/>
        <v>100</v>
      </c>
      <c r="V32" s="714" t="s">
        <v>17</v>
      </c>
      <c r="W32" s="715">
        <f t="shared" si="14"/>
        <v>100</v>
      </c>
      <c r="X32" s="1539"/>
      <c r="Y32" s="3425" t="s">
        <v>2386</v>
      </c>
      <c r="Z32" s="1540" t="str">
        <f t="shared" si="15"/>
        <v>商业类型</v>
      </c>
      <c r="AA32" s="1537">
        <f t="shared" si="3"/>
        <v>1</v>
      </c>
      <c r="AB32" s="1537">
        <f t="shared" si="4"/>
        <v>1</v>
      </c>
      <c r="AC32" s="1537">
        <f t="shared" si="5"/>
        <v>1</v>
      </c>
    </row>
    <row r="33" spans="1:29" s="430" customFormat="1" ht="15">
      <c r="A33" s="427"/>
      <c r="B33" s="381" t="s">
        <v>2387</v>
      </c>
      <c r="C33" s="428">
        <f>'数据-基础表'!I13</f>
        <v>994.5</v>
      </c>
      <c r="D33" s="132">
        <v>100</v>
      </c>
      <c r="E33" s="389">
        <f>60*C50</f>
        <v>45</v>
      </c>
      <c r="F33" s="384">
        <f>LOOKUP(E33,103:103,104:104)-LOOKUP(C33,103:103,104:104)+100</f>
        <v>103</v>
      </c>
      <c r="G33" s="388">
        <f>130*C50</f>
        <v>97.5</v>
      </c>
      <c r="H33" s="132">
        <f>LOOKUP(G33,103:103,104:104)-LOOKUP(C33,103:103,104:104)+100</f>
        <v>103</v>
      </c>
      <c r="I33" s="388">
        <f>ROUND(510.81*C50,2)</f>
        <v>383.11</v>
      </c>
      <c r="J33" s="132">
        <f>LOOKUP(I33,103:103,104:104)-LOOKUP(C33,103:103,104:104)+100</f>
        <v>102</v>
      </c>
      <c r="K33" s="570"/>
      <c r="L33" s="2948"/>
      <c r="M33" s="2950"/>
      <c r="N33" s="2950"/>
      <c r="O33" s="2950"/>
      <c r="P33" s="3423"/>
      <c r="Q33" s="716" t="str">
        <f t="shared" si="11"/>
        <v>项目建筑规模</v>
      </c>
      <c r="R33" s="717" t="s">
        <v>17</v>
      </c>
      <c r="S33" s="718">
        <f t="shared" si="12"/>
        <v>103</v>
      </c>
      <c r="T33" s="717" t="s">
        <v>17</v>
      </c>
      <c r="U33" s="718">
        <f t="shared" si="13"/>
        <v>103</v>
      </c>
      <c r="V33" s="717" t="s">
        <v>17</v>
      </c>
      <c r="W33" s="718">
        <f t="shared" si="14"/>
        <v>102</v>
      </c>
      <c r="X33" s="719"/>
      <c r="Y33" s="3425"/>
      <c r="Z33" s="720" t="str">
        <f t="shared" si="15"/>
        <v>项目建筑规模</v>
      </c>
      <c r="AA33" s="1537">
        <f t="shared" si="3"/>
        <v>0.970873786407767</v>
      </c>
      <c r="AB33" s="1537">
        <f t="shared" si="4"/>
        <v>0.970873786407767</v>
      </c>
      <c r="AC33" s="1537">
        <f t="shared" si="5"/>
        <v>0.98039215686274506</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2484</v>
      </c>
      <c r="C37" s="3149" t="s">
        <v>3237</v>
      </c>
      <c r="D37" s="132">
        <v>100</v>
      </c>
      <c r="E37" s="2092" t="s">
        <v>3237</v>
      </c>
      <c r="F37" s="420">
        <f>SUMIF(112:112,E37,113:113)-SUMIF(112:112,C37,113:113)+100</f>
        <v>100</v>
      </c>
      <c r="G37" s="2092" t="s">
        <v>3237</v>
      </c>
      <c r="H37" s="394">
        <f>SUMIF(112:112,G37,113:113)-SUMIF(112:112,C37,113:113)+100</f>
        <v>100</v>
      </c>
      <c r="I37" s="2092" t="s">
        <v>3237</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2386</v>
      </c>
      <c r="Q38" s="1536" t="str">
        <f t="shared" si="11"/>
        <v>业态</v>
      </c>
      <c r="R38" s="714" t="s">
        <v>17</v>
      </c>
      <c r="S38" s="715">
        <f t="shared" si="12"/>
        <v>100</v>
      </c>
      <c r="T38" s="714" t="s">
        <v>17</v>
      </c>
      <c r="U38" s="715">
        <f t="shared" si="13"/>
        <v>100</v>
      </c>
      <c r="V38" s="714" t="s">
        <v>17</v>
      </c>
      <c r="W38" s="715">
        <f t="shared" si="14"/>
        <v>100</v>
      </c>
      <c r="X38" s="1539"/>
      <c r="Y38" s="3425" t="s">
        <v>2386</v>
      </c>
      <c r="Z38" s="1540" t="str">
        <f t="shared" si="15"/>
        <v>业态</v>
      </c>
      <c r="AA38" s="1537">
        <f t="shared" si="3"/>
        <v>1</v>
      </c>
      <c r="AB38" s="1537">
        <f t="shared" si="4"/>
        <v>1</v>
      </c>
      <c r="AC38" s="1537">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2489</v>
      </c>
      <c r="C42" s="2092" t="s">
        <v>3256</v>
      </c>
      <c r="D42" s="394">
        <v>100</v>
      </c>
      <c r="E42" s="2092" t="s">
        <v>3256</v>
      </c>
      <c r="F42" s="420">
        <f>SUMIF(122:122,E42,123:123)-SUMIF(122:122,C42,123:123)+100</f>
        <v>100</v>
      </c>
      <c r="G42" s="2092" t="s">
        <v>3256</v>
      </c>
      <c r="H42" s="394">
        <f>SUMIF(122:122,G42,123:123)-SUMIF(122:122,C42,123:123)+100</f>
        <v>100</v>
      </c>
      <c r="I42" s="2092" t="s">
        <v>3234</v>
      </c>
      <c r="J42" s="394">
        <f>SUMIF(122:122,I42,123:123)-SUMIF(122:122,C42,123:123)+100</f>
        <v>103</v>
      </c>
      <c r="K42" s="569">
        <v>3</v>
      </c>
      <c r="L42" s="2949"/>
      <c r="M42" s="2943"/>
      <c r="N42" s="2943"/>
      <c r="O42" s="2943"/>
      <c r="P42" s="3423"/>
      <c r="Q42" s="1536" t="str">
        <f t="shared" si="11"/>
        <v>内部装修</v>
      </c>
      <c r="R42" s="714" t="s">
        <v>17</v>
      </c>
      <c r="S42" s="715">
        <f t="shared" si="12"/>
        <v>100</v>
      </c>
      <c r="T42" s="714" t="s">
        <v>17</v>
      </c>
      <c r="U42" s="715">
        <f t="shared" si="13"/>
        <v>100</v>
      </c>
      <c r="V42" s="714" t="s">
        <v>17</v>
      </c>
      <c r="W42" s="715">
        <f t="shared" si="14"/>
        <v>103</v>
      </c>
      <c r="X42" s="1539"/>
      <c r="Y42" s="3425"/>
      <c r="Z42" s="1540" t="str">
        <f t="shared" si="15"/>
        <v>内部装修</v>
      </c>
      <c r="AA42" s="1537">
        <f t="shared" si="3"/>
        <v>1</v>
      </c>
      <c r="AB42" s="1537">
        <f t="shared" si="4"/>
        <v>1</v>
      </c>
      <c r="AC42" s="1537">
        <f t="shared" si="5"/>
        <v>0.970873786407767</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2398</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2490</v>
      </c>
      <c r="B48" s="446"/>
      <c r="C48" s="1322">
        <f>R49</f>
        <v>12.6</v>
      </c>
      <c r="D48" s="2538" t="s">
        <v>2881</v>
      </c>
      <c r="E48" s="1323">
        <f>R48</f>
        <v>12.5</v>
      </c>
      <c r="F48" s="2539"/>
      <c r="G48" s="1322">
        <f>T48</f>
        <v>12.4</v>
      </c>
      <c r="H48" s="2539"/>
      <c r="I48" s="1323">
        <f>V48</f>
        <v>12.9</v>
      </c>
      <c r="J48" s="2539"/>
      <c r="K48" s="2541">
        <f>F48+H48+J48</f>
        <v>0</v>
      </c>
      <c r="L48" s="2951"/>
      <c r="M48" s="2952"/>
      <c r="N48" s="2943"/>
      <c r="O48" s="2952"/>
      <c r="P48" s="3418" t="str">
        <f>A48</f>
        <v>比较价值（元/平方米）</v>
      </c>
      <c r="Q48" s="3418"/>
      <c r="R48" s="3419">
        <f>IF(F1="售价",ROUND(PRODUCT(R47,AA7:AA46),0),ROUND(PRODUCT(R47,AA7:AA46),1))</f>
        <v>12.5</v>
      </c>
      <c r="S48" s="3419"/>
      <c r="T48" s="3419">
        <f>IF(F1="售价",ROUND(PRODUCT(T47,AB7:AB46),0),ROUND(PRODUCT(T47,AB7:AB46),1))</f>
        <v>12.4</v>
      </c>
      <c r="U48" s="3419"/>
      <c r="V48" s="3419">
        <f>IF(F1="售价",ROUND(PRODUCT(V47,AC7:AC46),0),ROUND(PRODUCT(V47,AC7:AC46),1))</f>
        <v>12.9</v>
      </c>
      <c r="W48" s="3419"/>
      <c r="X48" s="699"/>
      <c r="Y48" s="699"/>
      <c r="Z48" s="699"/>
      <c r="AA48" s="699"/>
      <c r="AB48" s="699"/>
      <c r="AC48" s="699"/>
    </row>
    <row r="49" spans="1:29" ht="15.75" thickBot="1">
      <c r="A49" s="449" t="s">
        <v>2491</v>
      </c>
      <c r="B49" s="450"/>
      <c r="C49" s="1325">
        <f>R49</f>
        <v>12.6</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12.6</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6.4000000000000057E-2</v>
      </c>
      <c r="F52" s="457" t="str">
        <f>IF(OR(E52&gt;=0.3,E52&lt;=-0.3),"超过30%","")</f>
        <v/>
      </c>
      <c r="G52" s="456">
        <f>IF(G47&lt;G48,G48/G47-1,G47/G48-1)</f>
        <v>4.8387096774193505E-2</v>
      </c>
      <c r="H52" s="457" t="str">
        <f>IF(OR(G52&gt;=0.3,G52&lt;=-0.3),"超过30%","")</f>
        <v/>
      </c>
      <c r="I52" s="456">
        <f>IF(I47&lt;I48,I48/I47-1,I47/I48-1)</f>
        <v>3.1007751937984551E-2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8.0645161290322509E-3</v>
      </c>
      <c r="F53" s="457" t="str">
        <f>IF(OR(E53&gt;=0.2,E53&lt;=-0.2),"超过20%","")</f>
        <v/>
      </c>
      <c r="G53" s="456">
        <f>IF(G48&lt;I48,I48/G48-1,G48/I48-1)</f>
        <v>4.0322580645161255E-2</v>
      </c>
      <c r="H53" s="457" t="str">
        <f>IF(OR(G53&gt;=0.2,G53&lt;=-0.2),"超过20%","")</f>
        <v/>
      </c>
      <c r="I53" s="456">
        <f>IF(I48&lt;E48,E48/I48-1,I48/E48-1)</f>
        <v>3.2000000000000028E-2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3138" t="s">
        <v>3233</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3261</v>
      </c>
      <c r="D90" s="3140" t="s">
        <v>3262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3245</v>
      </c>
      <c r="D100" s="3141" t="s">
        <v>3246</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3241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3235</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3243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3235</v>
      </c>
      <c r="D122" s="3140" t="s">
        <v>3257</v>
      </c>
      <c r="E122" s="3140" t="s">
        <v>3258</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69" t="s">
        <v>2472</v>
      </c>
      <c r="Q4" s="3470"/>
      <c r="R4" s="3473" t="s">
        <v>2468</v>
      </c>
      <c r="S4" s="3474"/>
      <c r="T4" s="3473" t="s">
        <v>2469</v>
      </c>
      <c r="U4" s="3474"/>
      <c r="V4" s="3475" t="s">
        <v>2470</v>
      </c>
      <c r="W4" s="3475"/>
      <c r="X4" s="2144"/>
      <c r="Y4" s="3473" t="s">
        <v>2472</v>
      </c>
      <c r="Z4" s="3474"/>
      <c r="AA4" s="3477" t="s">
        <v>2468</v>
      </c>
      <c r="AB4" s="3477" t="s">
        <v>2469</v>
      </c>
      <c r="AC4" s="3466" t="s">
        <v>2470</v>
      </c>
    </row>
    <row r="5" spans="1:29" ht="15">
      <c r="A5" s="364"/>
      <c r="B5" s="365"/>
      <c r="C5" s="3452" t="s">
        <v>2363</v>
      </c>
      <c r="D5" s="3453"/>
      <c r="E5" s="3459" t="s">
        <v>2364</v>
      </c>
      <c r="F5" s="3460"/>
      <c r="G5" s="3452" t="s">
        <v>2365</v>
      </c>
      <c r="H5" s="3453"/>
      <c r="I5" s="3452" t="s">
        <v>2366</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2367</v>
      </c>
      <c r="D6" s="3451"/>
      <c r="E6" s="3457" t="s">
        <v>2367</v>
      </c>
      <c r="F6" s="3458"/>
      <c r="G6" s="3450" t="s">
        <v>2367</v>
      </c>
      <c r="H6" s="3451"/>
      <c r="I6" s="3450" t="s">
        <v>2367</v>
      </c>
      <c r="J6" s="3451"/>
      <c r="K6" s="567" t="s">
        <v>2368</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2369</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2370</v>
      </c>
      <c r="Q7" s="3456"/>
      <c r="R7" s="710" t="s">
        <v>17</v>
      </c>
      <c r="S7" s="711">
        <f t="shared" ref="S7:S15" si="0">F7</f>
        <v>0</v>
      </c>
      <c r="T7" s="710" t="s">
        <v>17</v>
      </c>
      <c r="U7" s="711">
        <f t="shared" ref="U7:U15" si="1">H7</f>
        <v>0</v>
      </c>
      <c r="V7" s="710" t="s">
        <v>17</v>
      </c>
      <c r="W7" s="711">
        <f t="shared" ref="W7:W15" si="2">J7</f>
        <v>0</v>
      </c>
      <c r="X7" s="712"/>
      <c r="Y7" s="3454" t="s">
        <v>2370</v>
      </c>
      <c r="Z7" s="345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2373</v>
      </c>
      <c r="Q8" s="3455"/>
      <c r="R8" s="710" t="s">
        <v>17</v>
      </c>
      <c r="S8" s="711">
        <f t="shared" si="0"/>
        <v>0</v>
      </c>
      <c r="T8" s="710" t="s">
        <v>17</v>
      </c>
      <c r="U8" s="711">
        <f t="shared" si="1"/>
        <v>0</v>
      </c>
      <c r="V8" s="710" t="s">
        <v>17</v>
      </c>
      <c r="W8" s="711">
        <f t="shared" si="2"/>
        <v>0</v>
      </c>
      <c r="X8" s="712"/>
      <c r="Y8" s="3454" t="s">
        <v>2373</v>
      </c>
      <c r="Z8" s="345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2381</v>
      </c>
      <c r="Q15" s="1536" t="str">
        <f t="shared" si="6"/>
        <v>办公集聚程度</v>
      </c>
      <c r="R15" s="714" t="s">
        <v>17</v>
      </c>
      <c r="S15" s="715">
        <f t="shared" si="0"/>
        <v>100</v>
      </c>
      <c r="T15" s="714" t="s">
        <v>17</v>
      </c>
      <c r="U15" s="715">
        <f t="shared" si="1"/>
        <v>100</v>
      </c>
      <c r="V15" s="714" t="s">
        <v>17</v>
      </c>
      <c r="W15" s="715">
        <f t="shared" si="2"/>
        <v>100</v>
      </c>
      <c r="X15" s="1539"/>
      <c r="Y15" s="342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1945</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2509</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2511</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2386</v>
      </c>
      <c r="Q33" s="1536" t="str">
        <f t="shared" si="11"/>
        <v>建筑类型</v>
      </c>
      <c r="R33" s="714" t="s">
        <v>17</v>
      </c>
      <c r="S33" s="715">
        <f t="shared" si="12"/>
        <v>100</v>
      </c>
      <c r="T33" s="714" t="s">
        <v>17</v>
      </c>
      <c r="U33" s="715">
        <f t="shared" si="13"/>
        <v>100</v>
      </c>
      <c r="V33" s="714" t="s">
        <v>17</v>
      </c>
      <c r="W33" s="715">
        <f t="shared" si="14"/>
        <v>100</v>
      </c>
      <c r="X33" s="1539"/>
      <c r="Y33" s="342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2386</v>
      </c>
      <c r="Q39" s="1536" t="str">
        <f t="shared" si="11"/>
        <v>物业管理</v>
      </c>
      <c r="R39" s="714" t="s">
        <v>17</v>
      </c>
      <c r="S39" s="715">
        <f t="shared" si="12"/>
        <v>100</v>
      </c>
      <c r="T39" s="714" t="s">
        <v>17</v>
      </c>
      <c r="U39" s="715">
        <f t="shared" si="13"/>
        <v>100</v>
      </c>
      <c r="V39" s="714" t="s">
        <v>17</v>
      </c>
      <c r="W39" s="715">
        <f t="shared" si="14"/>
        <v>100</v>
      </c>
      <c r="X39" s="1539"/>
      <c r="Y39" s="342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2021年5月25日（评估专业人员实地查勘之日）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1044"/>
      <c r="M4" s="1045"/>
      <c r="N4" s="1045"/>
      <c r="O4" s="1045"/>
      <c r="P4" s="3437" t="s">
        <v>2472</v>
      </c>
      <c r="Q4" s="3438"/>
      <c r="R4" s="3443" t="s">
        <v>2468</v>
      </c>
      <c r="S4" s="3444"/>
      <c r="T4" s="3443" t="s">
        <v>2469</v>
      </c>
      <c r="U4" s="3444"/>
      <c r="V4" s="3449" t="s">
        <v>2470</v>
      </c>
      <c r="W4" s="3449"/>
      <c r="X4" s="1539"/>
      <c r="Y4" s="3443" t="s">
        <v>2472</v>
      </c>
      <c r="Z4" s="3444"/>
      <c r="AA4" s="3430" t="s">
        <v>2468</v>
      </c>
      <c r="AB4" s="3431" t="s">
        <v>2469</v>
      </c>
      <c r="AC4" s="3430" t="s">
        <v>2470</v>
      </c>
    </row>
    <row r="5" spans="1:29" ht="15">
      <c r="A5" s="364"/>
      <c r="B5" s="365"/>
      <c r="C5" s="3452" t="s">
        <v>2363</v>
      </c>
      <c r="D5" s="3453"/>
      <c r="E5" s="3459" t="s">
        <v>2364</v>
      </c>
      <c r="F5" s="3460"/>
      <c r="G5" s="3452" t="s">
        <v>2365</v>
      </c>
      <c r="H5" s="3453"/>
      <c r="I5" s="3452" t="s">
        <v>2366</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2367</v>
      </c>
      <c r="D6" s="3451"/>
      <c r="E6" s="3457" t="s">
        <v>2367</v>
      </c>
      <c r="F6" s="3458"/>
      <c r="G6" s="3450" t="s">
        <v>2367</v>
      </c>
      <c r="H6" s="3451"/>
      <c r="I6" s="3450" t="s">
        <v>2367</v>
      </c>
      <c r="J6" s="3451"/>
      <c r="K6" s="567" t="s">
        <v>2368</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2369</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2370</v>
      </c>
      <c r="Q7" s="3456"/>
      <c r="R7" s="710" t="s">
        <v>17</v>
      </c>
      <c r="S7" s="711">
        <f t="shared" ref="S7:S15" si="0">F7</f>
        <v>0</v>
      </c>
      <c r="T7" s="710" t="s">
        <v>17</v>
      </c>
      <c r="U7" s="711">
        <f t="shared" ref="U7:U15" si="1">H7</f>
        <v>0</v>
      </c>
      <c r="V7" s="710" t="s">
        <v>17</v>
      </c>
      <c r="W7" s="711">
        <f t="shared" ref="W7:W15" si="2">J7</f>
        <v>0</v>
      </c>
      <c r="X7" s="712"/>
      <c r="Y7" s="3454" t="s">
        <v>2370</v>
      </c>
      <c r="Z7" s="345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2373</v>
      </c>
      <c r="Q8" s="3455"/>
      <c r="R8" s="710" t="s">
        <v>17</v>
      </c>
      <c r="S8" s="711">
        <f t="shared" si="0"/>
        <v>0</v>
      </c>
      <c r="T8" s="710" t="s">
        <v>17</v>
      </c>
      <c r="U8" s="711">
        <f t="shared" si="1"/>
        <v>0</v>
      </c>
      <c r="V8" s="710" t="s">
        <v>17</v>
      </c>
      <c r="W8" s="711">
        <f t="shared" si="2"/>
        <v>0</v>
      </c>
      <c r="X8" s="712"/>
      <c r="Y8" s="3454" t="s">
        <v>2373</v>
      </c>
      <c r="Z8" s="345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2381</v>
      </c>
      <c r="Q15" s="1536" t="str">
        <f t="shared" si="6"/>
        <v>产业集聚程度</v>
      </c>
      <c r="R15" s="714" t="s">
        <v>17</v>
      </c>
      <c r="S15" s="715">
        <f t="shared" si="0"/>
        <v>100</v>
      </c>
      <c r="T15" s="714" t="s">
        <v>17</v>
      </c>
      <c r="U15" s="715">
        <f t="shared" si="1"/>
        <v>100</v>
      </c>
      <c r="V15" s="714" t="s">
        <v>17</v>
      </c>
      <c r="W15" s="715">
        <f t="shared" si="2"/>
        <v>100</v>
      </c>
      <c r="X15" s="1539"/>
      <c r="Y15" s="342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2386</v>
      </c>
      <c r="Q29" s="1536" t="str">
        <f t="shared" si="11"/>
        <v>建筑类型</v>
      </c>
      <c r="R29" s="714" t="s">
        <v>17</v>
      </c>
      <c r="S29" s="715">
        <f t="shared" si="12"/>
        <v>100</v>
      </c>
      <c r="T29" s="714" t="s">
        <v>17</v>
      </c>
      <c r="U29" s="715">
        <f t="shared" si="13"/>
        <v>100</v>
      </c>
      <c r="V29" s="714" t="s">
        <v>17</v>
      </c>
      <c r="W29" s="715">
        <f t="shared" si="14"/>
        <v>100</v>
      </c>
      <c r="X29" s="1539"/>
      <c r="Y29" s="342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2386</v>
      </c>
      <c r="Q35" s="1536" t="str">
        <f t="shared" si="11"/>
        <v>市政基础设施</v>
      </c>
      <c r="R35" s="714" t="s">
        <v>17</v>
      </c>
      <c r="S35" s="715">
        <f t="shared" si="12"/>
        <v>100</v>
      </c>
      <c r="T35" s="714" t="s">
        <v>17</v>
      </c>
      <c r="U35" s="715">
        <f t="shared" si="13"/>
        <v>100</v>
      </c>
      <c r="V35" s="714" t="s">
        <v>17</v>
      </c>
      <c r="W35" s="715">
        <f t="shared" si="14"/>
        <v>100</v>
      </c>
      <c r="X35" s="1539"/>
      <c r="Y35" s="342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43" t="s">
        <v>2468</v>
      </c>
      <c r="S4" s="3444"/>
      <c r="T4" s="3443" t="s">
        <v>2469</v>
      </c>
      <c r="U4" s="3444"/>
      <c r="V4" s="3449" t="s">
        <v>2470</v>
      </c>
      <c r="W4" s="3449"/>
      <c r="X4" s="1539"/>
      <c r="Y4" s="3443" t="s">
        <v>2472</v>
      </c>
      <c r="Z4" s="3444"/>
      <c r="AA4" s="3430" t="s">
        <v>2468</v>
      </c>
      <c r="AB4" s="3431" t="s">
        <v>2469</v>
      </c>
      <c r="AC4" s="3430" t="s">
        <v>2470</v>
      </c>
    </row>
    <row r="5" spans="1:29" ht="15">
      <c r="A5" s="364"/>
      <c r="B5" s="365"/>
      <c r="C5" s="3452" t="s">
        <v>2363</v>
      </c>
      <c r="D5" s="3453"/>
      <c r="E5" s="3459" t="s">
        <v>2364</v>
      </c>
      <c r="F5" s="3460"/>
      <c r="G5" s="3452" t="s">
        <v>2365</v>
      </c>
      <c r="H5" s="3453"/>
      <c r="I5" s="3452" t="s">
        <v>2366</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2367</v>
      </c>
      <c r="D6" s="3451"/>
      <c r="E6" s="3457" t="s">
        <v>2367</v>
      </c>
      <c r="F6" s="3458"/>
      <c r="G6" s="3450" t="s">
        <v>2367</v>
      </c>
      <c r="H6" s="3451"/>
      <c r="I6" s="3450" t="s">
        <v>2367</v>
      </c>
      <c r="J6" s="3451"/>
      <c r="K6" s="567" t="s">
        <v>2368</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2369</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2370</v>
      </c>
      <c r="Q7" s="3456"/>
      <c r="R7" s="710" t="s">
        <v>17</v>
      </c>
      <c r="S7" s="711">
        <f t="shared" ref="S7:S14" si="0">F7</f>
        <v>0</v>
      </c>
      <c r="T7" s="710" t="s">
        <v>17</v>
      </c>
      <c r="U7" s="711">
        <f t="shared" ref="U7:U14" si="1">H7</f>
        <v>0</v>
      </c>
      <c r="V7" s="710" t="s">
        <v>17</v>
      </c>
      <c r="W7" s="711">
        <f t="shared" ref="W7:W14" si="2">J7</f>
        <v>0</v>
      </c>
      <c r="X7" s="712"/>
      <c r="Y7" s="3454" t="s">
        <v>2370</v>
      </c>
      <c r="Z7" s="345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2373</v>
      </c>
      <c r="Q8" s="3455"/>
      <c r="R8" s="710" t="s">
        <v>17</v>
      </c>
      <c r="S8" s="711">
        <f t="shared" si="0"/>
        <v>0</v>
      </c>
      <c r="T8" s="710" t="s">
        <v>17</v>
      </c>
      <c r="U8" s="711">
        <f t="shared" si="1"/>
        <v>0</v>
      </c>
      <c r="V8" s="710" t="s">
        <v>17</v>
      </c>
      <c r="W8" s="711">
        <f t="shared" si="2"/>
        <v>0</v>
      </c>
      <c r="X8" s="712"/>
      <c r="Y8" s="3454" t="s">
        <v>2373</v>
      </c>
      <c r="Z8" s="345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2376</v>
      </c>
      <c r="Q9" s="1527" t="str">
        <f t="shared" ref="Q9:Q14" si="6">B9</f>
        <v>用途</v>
      </c>
      <c r="R9" s="710" t="s">
        <v>17</v>
      </c>
      <c r="S9" s="711">
        <f t="shared" si="0"/>
        <v>100</v>
      </c>
      <c r="T9" s="710" t="s">
        <v>17</v>
      </c>
      <c r="U9" s="711">
        <f t="shared" si="1"/>
        <v>100</v>
      </c>
      <c r="V9" s="710" t="s">
        <v>17</v>
      </c>
      <c r="W9" s="711">
        <f t="shared" si="2"/>
        <v>100</v>
      </c>
      <c r="X9" s="712"/>
      <c r="Y9" s="324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61" t="s">
        <v>2380</v>
      </c>
      <c r="B14" s="58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2381</v>
      </c>
      <c r="Q14" s="1536" t="str">
        <f t="shared" si="6"/>
        <v>交通便捷度</v>
      </c>
      <c r="R14" s="714" t="s">
        <v>17</v>
      </c>
      <c r="S14" s="715">
        <f t="shared" si="0"/>
        <v>100</v>
      </c>
      <c r="T14" s="714" t="s">
        <v>17</v>
      </c>
      <c r="U14" s="715">
        <f t="shared" si="1"/>
        <v>100</v>
      </c>
      <c r="V14" s="714" t="s">
        <v>17</v>
      </c>
      <c r="W14" s="715">
        <f t="shared" si="2"/>
        <v>100</v>
      </c>
      <c r="X14" s="1539"/>
      <c r="Y14" s="342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2386</v>
      </c>
      <c r="Q32" s="1536" t="str">
        <f t="shared" si="11"/>
        <v>车位类型</v>
      </c>
      <c r="R32" s="714" t="s">
        <v>17</v>
      </c>
      <c r="S32" s="715">
        <f t="shared" si="12"/>
        <v>100</v>
      </c>
      <c r="T32" s="714" t="s">
        <v>17</v>
      </c>
      <c r="U32" s="715">
        <f t="shared" si="13"/>
        <v>100</v>
      </c>
      <c r="V32" s="714" t="s">
        <v>17</v>
      </c>
      <c r="W32" s="715">
        <f t="shared" si="14"/>
        <v>100</v>
      </c>
      <c r="X32" s="1539"/>
      <c r="Y32" s="342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43" t="s">
        <v>2468</v>
      </c>
      <c r="S4" s="3444"/>
      <c r="T4" s="3443" t="s">
        <v>2469</v>
      </c>
      <c r="U4" s="3444"/>
      <c r="V4" s="3449" t="s">
        <v>2470</v>
      </c>
      <c r="W4" s="3449"/>
      <c r="X4" s="1539"/>
      <c r="Y4" s="3443" t="s">
        <v>2472</v>
      </c>
      <c r="Z4" s="3444"/>
      <c r="AA4" s="3430" t="s">
        <v>2468</v>
      </c>
      <c r="AB4" s="3431" t="s">
        <v>2469</v>
      </c>
      <c r="AC4" s="3430" t="s">
        <v>2470</v>
      </c>
    </row>
    <row r="5" spans="1:29" ht="15">
      <c r="A5" s="364"/>
      <c r="B5" s="365"/>
      <c r="C5" s="3452" t="s">
        <v>2363</v>
      </c>
      <c r="D5" s="3453"/>
      <c r="E5" s="3459" t="s">
        <v>2364</v>
      </c>
      <c r="F5" s="3460"/>
      <c r="G5" s="3452" t="s">
        <v>2365</v>
      </c>
      <c r="H5" s="3453"/>
      <c r="I5" s="3452" t="s">
        <v>2366</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2367</v>
      </c>
      <c r="D6" s="3451"/>
      <c r="E6" s="3457" t="s">
        <v>2367</v>
      </c>
      <c r="F6" s="3458"/>
      <c r="G6" s="3450" t="s">
        <v>2367</v>
      </c>
      <c r="H6" s="3451"/>
      <c r="I6" s="3450" t="s">
        <v>2367</v>
      </c>
      <c r="J6" s="3451"/>
      <c r="K6" s="567" t="s">
        <v>2368</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2369</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2370</v>
      </c>
      <c r="Q7" s="3456"/>
      <c r="R7" s="710" t="s">
        <v>17</v>
      </c>
      <c r="S7" s="711">
        <f t="shared" ref="S7:S14" si="0">F7</f>
        <v>0</v>
      </c>
      <c r="T7" s="710" t="s">
        <v>17</v>
      </c>
      <c r="U7" s="711">
        <f t="shared" ref="U7:U14" si="1">H7</f>
        <v>0</v>
      </c>
      <c r="V7" s="710" t="s">
        <v>17</v>
      </c>
      <c r="W7" s="711">
        <f t="shared" ref="W7:W14" si="2">J7</f>
        <v>0</v>
      </c>
      <c r="X7" s="712"/>
      <c r="Y7" s="3454" t="s">
        <v>2370</v>
      </c>
      <c r="Z7" s="345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2373</v>
      </c>
      <c r="Q8" s="3455"/>
      <c r="R8" s="710" t="s">
        <v>17</v>
      </c>
      <c r="S8" s="711">
        <f t="shared" si="0"/>
        <v>0</v>
      </c>
      <c r="T8" s="710" t="s">
        <v>17</v>
      </c>
      <c r="U8" s="711">
        <f t="shared" si="1"/>
        <v>0</v>
      </c>
      <c r="V8" s="710" t="s">
        <v>17</v>
      </c>
      <c r="W8" s="711">
        <f t="shared" si="2"/>
        <v>0</v>
      </c>
      <c r="X8" s="712"/>
      <c r="Y8" s="3454" t="s">
        <v>2373</v>
      </c>
      <c r="Z8" s="345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2376</v>
      </c>
      <c r="Q9" s="1527" t="str">
        <f t="shared" ref="Q9:Q14" si="6">B9</f>
        <v>用途</v>
      </c>
      <c r="R9" s="710" t="s">
        <v>17</v>
      </c>
      <c r="S9" s="711">
        <f t="shared" si="0"/>
        <v>100</v>
      </c>
      <c r="T9" s="710" t="s">
        <v>17</v>
      </c>
      <c r="U9" s="711">
        <f t="shared" si="1"/>
        <v>100</v>
      </c>
      <c r="V9" s="710" t="s">
        <v>17</v>
      </c>
      <c r="W9" s="711">
        <f t="shared" si="2"/>
        <v>100</v>
      </c>
      <c r="X9" s="712"/>
      <c r="Y9" s="324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42.5">
      <c r="A14" s="399" t="s">
        <v>2380</v>
      </c>
      <c r="B14" s="6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2381</v>
      </c>
      <c r="Q14" s="1536" t="str">
        <f t="shared" si="6"/>
        <v>交通便捷度</v>
      </c>
      <c r="R14" s="714" t="s">
        <v>17</v>
      </c>
      <c r="S14" s="715">
        <f t="shared" si="0"/>
        <v>100</v>
      </c>
      <c r="T14" s="714" t="s">
        <v>17</v>
      </c>
      <c r="U14" s="715">
        <f t="shared" si="1"/>
        <v>100</v>
      </c>
      <c r="V14" s="714" t="s">
        <v>17</v>
      </c>
      <c r="W14" s="715">
        <f t="shared" si="2"/>
        <v>100</v>
      </c>
      <c r="X14" s="1539"/>
      <c r="Y14" s="342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2386</v>
      </c>
      <c r="Q32" s="1536">
        <f t="shared" si="11"/>
        <v>111</v>
      </c>
      <c r="R32" s="714" t="s">
        <v>17</v>
      </c>
      <c r="S32" s="715">
        <f t="shared" si="12"/>
        <v>100</v>
      </c>
      <c r="T32" s="714" t="s">
        <v>17</v>
      </c>
      <c r="U32" s="715">
        <f t="shared" si="13"/>
        <v>100</v>
      </c>
      <c r="V32" s="714" t="s">
        <v>17</v>
      </c>
      <c r="W32" s="715">
        <f t="shared" si="14"/>
        <v>100</v>
      </c>
      <c r="X32" s="1539"/>
      <c r="Y32" s="342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43" t="s">
        <v>2468</v>
      </c>
      <c r="S4" s="3444"/>
      <c r="T4" s="3443" t="s">
        <v>2469</v>
      </c>
      <c r="U4" s="3444"/>
      <c r="V4" s="3449" t="s">
        <v>2470</v>
      </c>
      <c r="W4" s="3449"/>
      <c r="X4" s="1539"/>
      <c r="Y4" s="3443" t="s">
        <v>2472</v>
      </c>
      <c r="Z4" s="3444"/>
      <c r="AA4" s="3430" t="s">
        <v>2468</v>
      </c>
      <c r="AB4" s="3431" t="s">
        <v>2469</v>
      </c>
      <c r="AC4" s="3430" t="s">
        <v>2470</v>
      </c>
    </row>
    <row r="5" spans="1:30" ht="15">
      <c r="A5" s="364"/>
      <c r="B5" s="365"/>
      <c r="C5" s="3452" t="s">
        <v>2363</v>
      </c>
      <c r="D5" s="3453"/>
      <c r="E5" s="3459" t="s">
        <v>2364</v>
      </c>
      <c r="F5" s="3460"/>
      <c r="G5" s="3452" t="s">
        <v>2365</v>
      </c>
      <c r="H5" s="3453"/>
      <c r="I5" s="3452" t="s">
        <v>2366</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2367</v>
      </c>
      <c r="D6" s="3451"/>
      <c r="E6" s="3457" t="s">
        <v>2367</v>
      </c>
      <c r="F6" s="3458"/>
      <c r="G6" s="3450" t="s">
        <v>2367</v>
      </c>
      <c r="H6" s="3451"/>
      <c r="I6" s="3450" t="s">
        <v>2367</v>
      </c>
      <c r="J6" s="3451"/>
      <c r="K6" s="567" t="s">
        <v>2368</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2369</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2370</v>
      </c>
      <c r="Q7" s="3456"/>
      <c r="R7" s="710" t="s">
        <v>17</v>
      </c>
      <c r="S7" s="711">
        <f t="shared" ref="S7:S15" si="0">F7</f>
        <v>0</v>
      </c>
      <c r="T7" s="710" t="s">
        <v>17</v>
      </c>
      <c r="U7" s="711">
        <f t="shared" ref="U7:U15" si="1">H7</f>
        <v>0</v>
      </c>
      <c r="V7" s="710" t="s">
        <v>17</v>
      </c>
      <c r="W7" s="711">
        <f t="shared" ref="W7:W15" si="2">J7</f>
        <v>0</v>
      </c>
      <c r="X7" s="712"/>
      <c r="Y7" s="3454" t="s">
        <v>2370</v>
      </c>
      <c r="Z7" s="345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2373</v>
      </c>
      <c r="Q8" s="3455"/>
      <c r="R8" s="710" t="s">
        <v>17</v>
      </c>
      <c r="S8" s="711">
        <f t="shared" si="0"/>
        <v>0</v>
      </c>
      <c r="T8" s="710" t="s">
        <v>17</v>
      </c>
      <c r="U8" s="711">
        <f t="shared" si="1"/>
        <v>0</v>
      </c>
      <c r="V8" s="710" t="s">
        <v>17</v>
      </c>
      <c r="W8" s="711">
        <f t="shared" si="2"/>
        <v>0</v>
      </c>
      <c r="X8" s="712"/>
      <c r="Y8" s="3454" t="s">
        <v>2373</v>
      </c>
      <c r="Z8" s="345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99.75">
      <c r="A15" s="399" t="s">
        <v>2380</v>
      </c>
      <c r="B15" s="65" t="s">
        <v>1943</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2381</v>
      </c>
      <c r="Q15" s="1536" t="str">
        <f t="shared" si="6"/>
        <v>居住社区成熟度</v>
      </c>
      <c r="R15" s="714" t="s">
        <v>17</v>
      </c>
      <c r="S15" s="715">
        <f t="shared" si="0"/>
        <v>100</v>
      </c>
      <c r="T15" s="714" t="s">
        <v>17</v>
      </c>
      <c r="U15" s="715">
        <f t="shared" si="1"/>
        <v>100</v>
      </c>
      <c r="V15" s="714" t="s">
        <v>17</v>
      </c>
      <c r="W15" s="715">
        <f t="shared" si="2"/>
        <v>100</v>
      </c>
      <c r="X15" s="1539"/>
      <c r="Y15" s="342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2474</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2530</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2570</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2475</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2386</v>
      </c>
      <c r="Q36" s="1536">
        <f t="shared" si="8"/>
        <v>111</v>
      </c>
      <c r="R36" s="714" t="s">
        <v>17</v>
      </c>
      <c r="S36" s="715">
        <f t="shared" si="10"/>
        <v>100</v>
      </c>
      <c r="T36" s="714" t="s">
        <v>17</v>
      </c>
      <c r="U36" s="715">
        <f t="shared" si="11"/>
        <v>100</v>
      </c>
      <c r="V36" s="714" t="s">
        <v>17</v>
      </c>
      <c r="W36" s="715">
        <f t="shared" si="12"/>
        <v>100</v>
      </c>
      <c r="X36" s="1539"/>
      <c r="Y36" s="342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2386</v>
      </c>
      <c r="Q42" s="1536" t="str">
        <f t="shared" si="14"/>
        <v>工程地质条件</v>
      </c>
      <c r="R42" s="714" t="s">
        <v>17</v>
      </c>
      <c r="S42" s="715">
        <f t="shared" si="10"/>
        <v>100</v>
      </c>
      <c r="T42" s="714" t="s">
        <v>17</v>
      </c>
      <c r="U42" s="715">
        <f t="shared" si="11"/>
        <v>100</v>
      </c>
      <c r="V42" s="714" t="s">
        <v>17</v>
      </c>
      <c r="W42" s="715">
        <f t="shared" si="12"/>
        <v>100</v>
      </c>
      <c r="X42" s="1539"/>
      <c r="Y42" s="342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433" t="s">
        <v>2585</v>
      </c>
      <c r="H55" s="3482"/>
      <c r="I55" s="140" t="s">
        <v>2586</v>
      </c>
      <c r="J55" s="2171" t="str">
        <f>项目基本情况!F35</f>
        <v>北蜂窝路5号院</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483"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43" t="s">
        <v>2468</v>
      </c>
      <c r="S4" s="3444"/>
      <c r="T4" s="3443" t="s">
        <v>2469</v>
      </c>
      <c r="U4" s="3444"/>
      <c r="V4" s="3449" t="s">
        <v>2470</v>
      </c>
      <c r="W4" s="3449"/>
      <c r="X4" s="1539"/>
      <c r="Y4" s="3443" t="s">
        <v>2472</v>
      </c>
      <c r="Z4" s="3444"/>
      <c r="AA4" s="3430" t="s">
        <v>2468</v>
      </c>
      <c r="AB4" s="3431" t="s">
        <v>2469</v>
      </c>
      <c r="AC4" s="3430" t="s">
        <v>2470</v>
      </c>
    </row>
    <row r="5" spans="1:29" ht="15">
      <c r="A5" s="364"/>
      <c r="B5" s="365"/>
      <c r="C5" s="3452" t="s">
        <v>2363</v>
      </c>
      <c r="D5" s="3453"/>
      <c r="E5" s="3459" t="s">
        <v>2364</v>
      </c>
      <c r="F5" s="3460"/>
      <c r="G5" s="3452" t="s">
        <v>2365</v>
      </c>
      <c r="H5" s="3453"/>
      <c r="I5" s="3452" t="s">
        <v>2366</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2618</v>
      </c>
      <c r="D6" s="3485"/>
      <c r="E6" s="3486" t="s">
        <v>2618</v>
      </c>
      <c r="F6" s="3487"/>
      <c r="G6" s="3484" t="s">
        <v>2618</v>
      </c>
      <c r="H6" s="3485"/>
      <c r="I6" s="3484" t="s">
        <v>2618</v>
      </c>
      <c r="J6" s="3485"/>
      <c r="K6" s="567" t="s">
        <v>2368</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2369</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2370</v>
      </c>
      <c r="Q7" s="3456"/>
      <c r="R7" s="710" t="s">
        <v>17</v>
      </c>
      <c r="S7" s="711">
        <f t="shared" ref="S7:S15" si="0">F7</f>
        <v>0</v>
      </c>
      <c r="T7" s="710" t="s">
        <v>17</v>
      </c>
      <c r="U7" s="711">
        <f t="shared" ref="U7:U15" si="1">H7</f>
        <v>0</v>
      </c>
      <c r="V7" s="710" t="s">
        <v>17</v>
      </c>
      <c r="W7" s="711">
        <f t="shared" ref="W7:W15" si="2">J7</f>
        <v>0</v>
      </c>
      <c r="X7" s="712"/>
      <c r="Y7" s="3454" t="s">
        <v>2370</v>
      </c>
      <c r="Z7" s="345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2373</v>
      </c>
      <c r="Q8" s="3455"/>
      <c r="R8" s="710" t="s">
        <v>17</v>
      </c>
      <c r="S8" s="711">
        <f t="shared" si="0"/>
        <v>0</v>
      </c>
      <c r="T8" s="710" t="s">
        <v>17</v>
      </c>
      <c r="U8" s="711">
        <f t="shared" si="1"/>
        <v>0</v>
      </c>
      <c r="V8" s="710" t="s">
        <v>17</v>
      </c>
      <c r="W8" s="711">
        <f t="shared" si="2"/>
        <v>0</v>
      </c>
      <c r="X8" s="712"/>
      <c r="Y8" s="3454" t="s">
        <v>2373</v>
      </c>
      <c r="Z8" s="345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2376</v>
      </c>
      <c r="Q9" s="1527"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2381</v>
      </c>
      <c r="Q15" s="1536" t="str">
        <f t="shared" si="6"/>
        <v>产业集聚程度</v>
      </c>
      <c r="R15" s="714" t="s">
        <v>17</v>
      </c>
      <c r="S15" s="715">
        <f t="shared" si="0"/>
        <v>100</v>
      </c>
      <c r="T15" s="714" t="s">
        <v>17</v>
      </c>
      <c r="U15" s="715">
        <f t="shared" si="1"/>
        <v>100</v>
      </c>
      <c r="V15" s="714" t="s">
        <v>17</v>
      </c>
      <c r="W15" s="715">
        <f t="shared" si="2"/>
        <v>100</v>
      </c>
      <c r="X15" s="1539"/>
      <c r="Y15" s="342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2386</v>
      </c>
      <c r="Q32" s="1536">
        <f t="shared" si="8"/>
        <v>111</v>
      </c>
      <c r="R32" s="714" t="s">
        <v>17</v>
      </c>
      <c r="S32" s="715">
        <f t="shared" si="10"/>
        <v>100</v>
      </c>
      <c r="T32" s="714" t="s">
        <v>17</v>
      </c>
      <c r="U32" s="715">
        <f t="shared" si="11"/>
        <v>100</v>
      </c>
      <c r="V32" s="714" t="s">
        <v>17</v>
      </c>
      <c r="W32" s="715">
        <f t="shared" si="12"/>
        <v>100</v>
      </c>
      <c r="X32" s="1539"/>
      <c r="Y32" s="342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2386</v>
      </c>
      <c r="Q37" s="1536" t="str">
        <f t="shared" si="14"/>
        <v>工程地质条件</v>
      </c>
      <c r="R37" s="714" t="s">
        <v>17</v>
      </c>
      <c r="S37" s="715">
        <f t="shared" si="10"/>
        <v>100</v>
      </c>
      <c r="T37" s="714" t="s">
        <v>17</v>
      </c>
      <c r="U37" s="715">
        <f t="shared" si="11"/>
        <v>100</v>
      </c>
      <c r="V37" s="714" t="s">
        <v>17</v>
      </c>
      <c r="W37" s="715">
        <f t="shared" si="12"/>
        <v>100</v>
      </c>
      <c r="X37" s="1539"/>
      <c r="Y37" s="342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433" t="s">
        <v>2585</v>
      </c>
      <c r="H50" s="3482"/>
      <c r="I50" s="1540" t="s">
        <v>2622</v>
      </c>
      <c r="J50" s="1540" t="str">
        <f>项目基本情况!F35</f>
        <v>北蜂窝路5号院</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483"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49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2661</v>
      </c>
      <c r="X8" s="348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49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2704</v>
      </c>
      <c r="B16" s="2209" t="s">
        <v>2705</v>
      </c>
      <c r="C16" s="2371" t="e">
        <f>ROUND(IF(F17="与级别开发程度一致",0,(G17-E17)/C17),0)</f>
        <v>#DIV/0!</v>
      </c>
      <c r="D16" s="3511" t="s">
        <v>2709</v>
      </c>
      <c r="E16" s="3512"/>
      <c r="F16" s="3511" t="s">
        <v>2706</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44341</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t="e">
        <f>IF(B21="容积率修正",IF(G3&lt;=10,D22,J22),C23)</f>
        <v>#DIV/0!</v>
      </c>
      <c r="D21" s="2265"/>
      <c r="E21" s="2265"/>
      <c r="F21" s="2265"/>
      <c r="G21" s="2265"/>
      <c r="H21" s="2265"/>
      <c r="I21" s="2265"/>
      <c r="J21" s="2266"/>
      <c r="K21" s="1287"/>
      <c r="L21" s="3017"/>
      <c r="M21" s="3017"/>
      <c r="N21" s="2267" t="s">
        <v>2725</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2729</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7"/>
      <c r="M24" s="3017"/>
      <c r="N24" s="2277" t="s">
        <v>2734</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1">
      <c r="A48" s="2329" t="s">
        <v>2770</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2771</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2775</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2778</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2780</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2771</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2775</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2778</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2780</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2771</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2786</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2778</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2780</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2792</v>
      </c>
      <c r="B90" s="3500"/>
      <c r="C90" s="3500"/>
      <c r="D90" s="3500"/>
      <c r="E90" s="3500"/>
      <c r="F90" s="3500"/>
      <c r="G90" s="3500"/>
      <c r="H90" s="3500"/>
      <c r="I90" s="3500"/>
      <c r="J90" s="3500"/>
      <c r="K90" s="2343"/>
      <c r="L90" s="2343"/>
      <c r="M90" s="2343"/>
      <c r="N90" s="2343"/>
    </row>
    <row r="91" spans="1:37">
      <c r="A91" s="3502" t="s">
        <v>2793</v>
      </c>
      <c r="B91" s="3502" t="s">
        <v>2794</v>
      </c>
      <c r="C91" s="2297" t="s">
        <v>2795</v>
      </c>
      <c r="D91" s="2298"/>
      <c r="E91" s="2298"/>
      <c r="F91" s="2298"/>
      <c r="G91" s="2298"/>
      <c r="H91" s="2298"/>
      <c r="I91" s="2298"/>
      <c r="J91" s="2344"/>
      <c r="K91" s="2345"/>
      <c r="L91" s="2345"/>
      <c r="M91" s="2345"/>
      <c r="N91" s="2345"/>
    </row>
    <row r="92" spans="1:37">
      <c r="A92" s="3502"/>
      <c r="B92" s="350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503"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2800</v>
      </c>
      <c r="B110" s="3501"/>
      <c r="C110" s="3501"/>
      <c r="D110" s="3501"/>
      <c r="E110" s="3501"/>
      <c r="F110" s="3501"/>
      <c r="G110" s="3501"/>
      <c r="H110" s="3501"/>
      <c r="I110" s="3501"/>
      <c r="J110" s="3501"/>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t="e">
        <f ca="1">SUMIF(B6:B13,"&lt;&gt;#ref!",B6:B13)</f>
        <v>#DIV/0!</v>
      </c>
      <c r="C2" s="2361" t="s">
        <v>2816</v>
      </c>
      <c r="D2" s="2361" t="s">
        <v>2817</v>
      </c>
      <c r="E2" s="2836">
        <f ca="1">SUMIF(E6:E13,"&lt;&gt;#ref!",E6:E13)</f>
        <v>0</v>
      </c>
      <c r="F2" s="3022"/>
      <c r="G2" s="3022"/>
      <c r="H2" s="3022"/>
      <c r="I2" s="3022"/>
      <c r="J2" s="3022"/>
      <c r="K2" s="3022"/>
      <c r="L2" s="3022"/>
      <c r="M2" s="3022"/>
      <c r="N2" s="3022"/>
      <c r="O2" s="3022"/>
      <c r="P2" s="3022"/>
    </row>
    <row r="3" spans="1:16" ht="15.75">
      <c r="A3" s="2361" t="s">
        <v>2818</v>
      </c>
      <c r="B3" s="2826" t="e">
        <f ca="1">ROUND(B2*10000/E2,0)</f>
        <v>#DIV/0!</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61"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3057</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3056</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估价结果一览表（市场价值不需“结果表-1”）</v>
      </c>
      <c r="B3" s="3156"/>
      <c r="C3" s="3156"/>
      <c r="D3" s="3156"/>
      <c r="E3" s="3156"/>
    </row>
    <row r="4" spans="1:5" ht="19.5" thickBot="1">
      <c r="A4" s="1678"/>
      <c r="B4" s="3154" t="s">
        <v>1595</v>
      </c>
      <c r="C4" s="3154"/>
      <c r="D4" s="3154"/>
      <c r="E4" s="1678"/>
    </row>
    <row r="5" spans="1:5" ht="16.5" thickTop="1">
      <c r="A5" s="1676"/>
      <c r="B5" s="3152" t="s">
        <v>1587</v>
      </c>
      <c r="C5" s="1679" t="s">
        <v>1588</v>
      </c>
      <c r="D5" s="959" t="e">
        <f ca="1">结果表!H101</f>
        <v>#REF!</v>
      </c>
      <c r="E5" s="1676"/>
    </row>
    <row r="6" spans="1:5" ht="15.75">
      <c r="A6" s="1676"/>
      <c r="B6" s="3152"/>
      <c r="C6" s="1679" t="s">
        <v>1589</v>
      </c>
      <c r="D6" s="959" t="e">
        <f ca="1">NUMBERSTRING(INT(D5*10000),2)&amp;"元整"</f>
        <v>#REF!</v>
      </c>
      <c r="E6" s="1676"/>
    </row>
    <row r="7" spans="1:5" ht="15.75">
      <c r="A7" s="1676"/>
      <c r="B7" s="3157"/>
      <c r="C7" s="1680" t="s">
        <v>1590</v>
      </c>
      <c r="D7" s="960" t="e">
        <f ca="1">结果表!H102</f>
        <v>#REF!</v>
      </c>
      <c r="E7" s="1676"/>
    </row>
    <row r="8" spans="1:5" ht="15.75">
      <c r="A8" s="1676"/>
      <c r="B8" s="3158" t="str">
        <f>结果表!E103</f>
        <v>2.估价师知悉的法定优先受偿款</v>
      </c>
      <c r="C8" s="1681" t="s">
        <v>1591</v>
      </c>
      <c r="D8" s="960">
        <f>结果表!H103</f>
        <v>0</v>
      </c>
      <c r="E8" s="1676"/>
    </row>
    <row r="9" spans="1:5" ht="15.75">
      <c r="A9" s="1676"/>
      <c r="B9" s="316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51" t="str">
        <f>结果表!E107</f>
        <v>3.房地产抵押价值</v>
      </c>
      <c r="C13" s="1684" t="s">
        <v>1588</v>
      </c>
      <c r="D13" s="962" t="e">
        <f ca="1">结果表!H107</f>
        <v>#REF!</v>
      </c>
      <c r="E13" s="1676"/>
    </row>
    <row r="14" spans="1:5" ht="15.75">
      <c r="A14" s="1676"/>
      <c r="B14" s="3152"/>
      <c r="C14" s="1679" t="s">
        <v>1589</v>
      </c>
      <c r="D14" s="959" t="e">
        <f ca="1">NUMBERSTRING(INT(D13*10000),2)&amp;"元整"</f>
        <v>#REF!</v>
      </c>
      <c r="E14" s="1676"/>
    </row>
    <row r="15" spans="1:5" ht="15">
      <c r="A15" s="1676"/>
      <c r="B15" s="3157"/>
      <c r="C15" s="1680" t="s">
        <v>1599</v>
      </c>
      <c r="D15" s="968" t="e">
        <f ca="1">结果表!H108</f>
        <v>#REF!</v>
      </c>
      <c r="E15" s="1676"/>
    </row>
    <row r="16" spans="1:5" ht="15">
      <c r="A16" s="1676"/>
      <c r="B16" s="3158" t="str">
        <f>结果表!E109</f>
        <v>——</v>
      </c>
      <c r="C16" s="1684" t="s">
        <v>1600</v>
      </c>
      <c r="D16" s="1685" t="str">
        <f>结果表!H109</f>
        <v>——</v>
      </c>
      <c r="E16" s="1676"/>
    </row>
    <row r="17" spans="1:5" ht="15.75">
      <c r="A17" s="1676"/>
      <c r="B17" s="3159"/>
      <c r="C17" s="1679" t="s">
        <v>1601</v>
      </c>
      <c r="D17" s="959" t="e">
        <f>NUMBERSTRING(INT(D16*10000),2)&amp;"元整"</f>
        <v>#VALUE!</v>
      </c>
      <c r="E17" s="1676"/>
    </row>
    <row r="18" spans="1:5" ht="15">
      <c r="A18" s="1676"/>
      <c r="B18" s="3160"/>
      <c r="C18" s="1680" t="s">
        <v>1590</v>
      </c>
      <c r="D18" s="968" t="str">
        <f>结果表!H110</f>
        <v>——</v>
      </c>
      <c r="E18" s="1676"/>
    </row>
    <row r="19" spans="1:5" ht="15.75">
      <c r="A19" s="1676"/>
      <c r="B19" s="3151" t="str">
        <f>结果表!E111</f>
        <v>——</v>
      </c>
      <c r="C19" s="1684" t="s">
        <v>1588</v>
      </c>
      <c r="D19" s="960" t="str">
        <f>结果表!H111</f>
        <v>——</v>
      </c>
      <c r="E19" s="1676"/>
    </row>
    <row r="20" spans="1:5" ht="15.75">
      <c r="A20" s="1676"/>
      <c r="B20" s="3152"/>
      <c r="C20" s="1679" t="s">
        <v>1601</v>
      </c>
      <c r="D20" s="959" t="e">
        <f>NUMBERSTRING(INT(D19*10000),2)&amp;"元整"</f>
        <v>#VALUE!</v>
      </c>
      <c r="E20" s="1676"/>
    </row>
    <row r="21" spans="1:5" ht="15.75" thickBot="1">
      <c r="A21" s="1676"/>
      <c r="B21" s="315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529" t="s">
        <v>2826</v>
      </c>
      <c r="D1" s="3530"/>
      <c r="E1" s="3530"/>
      <c r="F1" s="3530"/>
      <c r="G1" s="3530"/>
      <c r="H1" s="3530"/>
      <c r="I1" s="3530"/>
      <c r="J1" s="3530"/>
      <c r="K1" s="3530"/>
      <c r="L1" s="3530"/>
      <c r="M1" s="3530"/>
      <c r="N1" s="3530"/>
      <c r="O1" s="3530"/>
      <c r="P1" s="3530"/>
      <c r="Q1" s="3530"/>
      <c r="R1" s="3530"/>
      <c r="S1" s="3531"/>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30101</v>
      </c>
      <c r="C2" s="2" t="s">
        <v>133</v>
      </c>
      <c r="D2" s="205"/>
      <c r="E2" s="205"/>
      <c r="F2" s="205"/>
      <c r="G2" s="205"/>
    </row>
    <row r="3" spans="1:7" s="206" customFormat="1" ht="18" customHeight="1" thickBot="1">
      <c r="A3" s="209" t="s">
        <v>85</v>
      </c>
      <c r="B3" s="210">
        <f ca="1">ROUND(B2*10000/'数据-汇总表'!E3,0)</f>
        <v>302675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505</v>
      </c>
      <c r="D51" s="238"/>
      <c r="E51" s="238"/>
      <c r="F51" s="270"/>
      <c r="G51" s="240" t="s">
        <v>64</v>
      </c>
    </row>
    <row r="52" spans="1:7" s="214" customFormat="1" ht="16.5" thickBot="1">
      <c r="A52" s="271" t="s">
        <v>65</v>
      </c>
      <c r="B52" s="272"/>
      <c r="C52" s="273">
        <f ca="1">C31+C51</f>
        <v>30101</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3058</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8611</v>
      </c>
      <c r="C2" s="1571" t="s">
        <v>1481</v>
      </c>
      <c r="D2" s="1571"/>
      <c r="E2" s="1572"/>
      <c r="F2" s="1573"/>
      <c r="G2" s="2933"/>
      <c r="H2" s="2922"/>
      <c r="I2" s="2922"/>
      <c r="J2" s="2922"/>
      <c r="K2" s="2923"/>
      <c r="L2" s="2922"/>
      <c r="M2" s="2922"/>
    </row>
    <row r="3" spans="1:37" ht="18" customHeight="1" thickBot="1">
      <c r="A3" s="1574" t="s">
        <v>1482</v>
      </c>
      <c r="B3" s="1575">
        <f ca="1">IF(ISERROR(B2*10000/F43),0,ROUND(B2*10000/F43,0))</f>
        <v>86586</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436</v>
      </c>
      <c r="D5" s="1548" t="s">
        <v>1367</v>
      </c>
      <c r="E5" s="1203"/>
      <c r="F5" s="1204"/>
      <c r="G5" s="1568"/>
      <c r="H5" s="305">
        <v>1</v>
      </c>
      <c r="I5" s="306" t="s">
        <v>1366</v>
      </c>
      <c r="J5" s="1202">
        <f ca="1">J6+J10+J12</f>
        <v>0</v>
      </c>
      <c r="K5" s="1548" t="s">
        <v>1367</v>
      </c>
      <c r="L5" s="1203"/>
      <c r="M5" s="1204"/>
    </row>
    <row r="6" spans="1:37" ht="18" customHeight="1">
      <c r="A6" s="1201" t="s">
        <v>1003</v>
      </c>
      <c r="B6" s="3387" t="s">
        <v>1368</v>
      </c>
      <c r="C6" s="1206">
        <f ca="1">ROUND(F6*F8*F7*(1-F9)/10000,0)</f>
        <v>435</v>
      </c>
      <c r="D6" s="160" t="s">
        <v>2851</v>
      </c>
      <c r="E6" s="308" t="s">
        <v>1370</v>
      </c>
      <c r="F6" s="309">
        <f ca="1">INDIRECT("'数据-取费表'!u"&amp;$G$1)</f>
        <v>12.6</v>
      </c>
      <c r="G6" s="1568"/>
      <c r="H6" s="1201" t="s">
        <v>1003</v>
      </c>
      <c r="I6" s="3387" t="s">
        <v>1368</v>
      </c>
      <c r="J6" s="307">
        <f ca="1">ROUND(M6*M8*M7*(1-M9)/10000,0)</f>
        <v>0</v>
      </c>
      <c r="K6" s="160" t="s">
        <v>2850</v>
      </c>
      <c r="L6" s="308" t="s">
        <v>1370</v>
      </c>
      <c r="M6" s="309">
        <f ca="1">INDIRECT("'数据-取费表'!z"&amp;$G$1)</f>
        <v>0</v>
      </c>
    </row>
    <row r="7" spans="1:37" ht="18" customHeight="1">
      <c r="A7" s="1205"/>
      <c r="B7" s="3388"/>
      <c r="C7" s="1207"/>
      <c r="D7" s="313"/>
      <c r="E7" s="1208" t="s">
        <v>1371</v>
      </c>
      <c r="F7" s="309">
        <f ca="1">IF(INDIRECT("'数据-取费表'!ah"&amp;$G$1)="",INDIRECT("'数据-取费表'!k"&amp;$G$1),INDIRECT("'数据-取费表'!ah"&amp;$G$1))</f>
        <v>994.5</v>
      </c>
      <c r="G7" s="1568"/>
      <c r="H7" s="310"/>
      <c r="I7" s="3388"/>
      <c r="J7" s="312"/>
      <c r="K7" s="313"/>
      <c r="L7" s="308" t="s">
        <v>1371</v>
      </c>
      <c r="M7" s="309">
        <f ca="1">F7</f>
        <v>994.5</v>
      </c>
    </row>
    <row r="8" spans="1:37" ht="18" customHeight="1">
      <c r="A8" s="310"/>
      <c r="B8" s="3388"/>
      <c r="C8" s="312"/>
      <c r="D8" s="313"/>
      <c r="E8" s="308" t="s">
        <v>1372</v>
      </c>
      <c r="F8" s="309">
        <f ca="1">INDIRECT("'数据-取费表'!ai"&amp;$G$1)</f>
        <v>365</v>
      </c>
      <c r="G8" s="1568"/>
      <c r="H8" s="310"/>
      <c r="I8" s="3388"/>
      <c r="J8" s="312"/>
      <c r="K8" s="313"/>
      <c r="L8" s="308" t="s">
        <v>1372</v>
      </c>
      <c r="M8" s="309">
        <f ca="1">INDIRECT("'数据-取费表'!ai"&amp;$G$1)</f>
        <v>365</v>
      </c>
    </row>
    <row r="9" spans="1:37" ht="18" customHeight="1">
      <c r="A9" s="310"/>
      <c r="B9" s="3389"/>
      <c r="C9" s="312"/>
      <c r="D9" s="313"/>
      <c r="E9" s="308" t="s">
        <v>1373</v>
      </c>
      <c r="F9" s="318">
        <f ca="1">INDIRECT("'数据-取费表'!w"&amp;$G$1)</f>
        <v>0.05</v>
      </c>
      <c r="G9" s="1568"/>
      <c r="H9" s="310"/>
      <c r="I9" s="338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2859</v>
      </c>
      <c r="E10" s="319" t="s">
        <v>1375</v>
      </c>
      <c r="F10" s="1276" t="s">
        <v>3212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505</v>
      </c>
      <c r="D13" s="1241" t="s">
        <v>1380</v>
      </c>
      <c r="E13" s="1241" t="s">
        <v>1381</v>
      </c>
      <c r="F13" s="1242">
        <f ca="1">INDIRECT("'数据-取费表'!y"&amp;$G$1)</f>
        <v>0.83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398</v>
      </c>
      <c r="D14" s="1529" t="s">
        <v>1383</v>
      </c>
      <c r="E14" s="1526"/>
      <c r="F14" s="325"/>
      <c r="G14" s="1568"/>
      <c r="H14" s="1113" t="s">
        <v>1003</v>
      </c>
      <c r="I14" s="308" t="s">
        <v>1384</v>
      </c>
      <c r="J14" s="24">
        <f ca="1">C29</f>
        <v>608</v>
      </c>
      <c r="K14" s="15"/>
      <c r="L14" s="916"/>
      <c r="M14" s="917"/>
    </row>
    <row r="15" spans="1:37" s="1581" customFormat="1" ht="18" customHeight="1" thickBot="1">
      <c r="A15" s="1113" t="s">
        <v>1004</v>
      </c>
      <c r="B15" s="308" t="s">
        <v>1385</v>
      </c>
      <c r="C15" s="24">
        <f ca="1">ROUND(C14*F15,0)</f>
        <v>16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14</v>
      </c>
      <c r="K16" s="1247" t="s">
        <v>1390</v>
      </c>
      <c r="L16" s="1248"/>
      <c r="M16" s="1204"/>
    </row>
    <row r="17" spans="1:37" s="1581" customFormat="1" ht="18" customHeight="1">
      <c r="A17" s="1113" t="s">
        <v>1355</v>
      </c>
      <c r="B17" s="308" t="s">
        <v>1391</v>
      </c>
      <c r="C17" s="24">
        <f ca="1">ROUND(F17*(F43+INDIRECT("'数据-取费表'!S"&amp;$G$1))/10000,0)</f>
        <v>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440</v>
      </c>
      <c r="D19" s="136" t="s">
        <v>1401</v>
      </c>
      <c r="E19" s="1544"/>
      <c r="F19" s="26"/>
      <c r="G19" s="1568"/>
      <c r="H19" s="1113" t="s">
        <v>1004</v>
      </c>
      <c r="I19" s="308" t="s">
        <v>1402</v>
      </c>
      <c r="J19" s="24">
        <f ca="1">IF(K19="按租金收入计税",ROUND(J6*M19/(1+'数据-取费表'!C42),2),ROUND(C29*M19*0.7,2))</f>
        <v>5.1100000000000003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-14</v>
      </c>
      <c r="K25" s="1255" t="s">
        <v>1429</v>
      </c>
      <c r="L25" s="1256"/>
      <c r="M25" s="1257"/>
    </row>
    <row r="26" spans="1:37">
      <c r="A26" s="1113" t="s">
        <v>1002</v>
      </c>
      <c r="B26" s="308" t="s">
        <v>1430</v>
      </c>
      <c r="C26" s="24">
        <f ca="1">ROUND((C19+C20)*F26,0)</f>
        <v>90</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608</v>
      </c>
      <c r="D29" s="1252"/>
      <c r="E29" s="1250"/>
      <c r="F29" s="1253"/>
      <c r="G29" s="1580"/>
      <c r="H29" s="340" t="s">
        <v>1001</v>
      </c>
      <c r="I29" s="341" t="s">
        <v>1444</v>
      </c>
      <c r="J29" s="342">
        <f ca="1">ROUND(J26/(1+F40)^F41,0)</f>
        <v>0</v>
      </c>
      <c r="K29" s="343" t="s">
        <v>1445</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87</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73</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IF(项目基本情况!B11="自然人","——",ROUND(C6*F32/(1+'数据-取费表'!C42),2))</f>
        <v>23.2</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49.71</v>
      </c>
      <c r="D33" s="1554" t="s">
        <v>3215</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9.1</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4.4000000000000004</v>
      </c>
      <c r="D38" s="1252" t="s">
        <v>1424</v>
      </c>
      <c r="E38" s="1250" t="s">
        <v>1420</v>
      </c>
      <c r="F38" s="1246">
        <f ca="1">INDIRECT("'数据-取费表'!Am"&amp;$G$1)</f>
        <v>0.01</v>
      </c>
      <c r="G38" s="1568"/>
      <c r="H38" s="2927"/>
      <c r="I38" s="1582"/>
      <c r="J38" s="1583"/>
      <c r="K38" s="2931"/>
      <c r="L38" s="2927"/>
      <c r="M38" s="2927"/>
    </row>
    <row r="39" spans="1:18" ht="24.6" customHeight="1" thickTop="1">
      <c r="A39" s="1239" t="s">
        <v>999</v>
      </c>
      <c r="B39" s="1254" t="s">
        <v>1448</v>
      </c>
      <c r="C39" s="316">
        <f ca="1">C5-C30</f>
        <v>349</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8611</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86586</v>
      </c>
      <c r="D43" s="343" t="s">
        <v>1453</v>
      </c>
      <c r="E43" s="344" t="s">
        <v>1454</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-9590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3213</v>
      </c>
      <c r="K47" s="1600" t="s">
        <v>1492</v>
      </c>
      <c r="L47" s="1601">
        <f ca="1">INDIRECT("'数据-取费表'!d"&amp;$G$1)</f>
        <v>40</v>
      </c>
      <c r="M47" s="1564" t="str">
        <f>IF(ISNUMBER(FIND("住宅",C1)),"住宅","非住宅")</f>
        <v>非住宅</v>
      </c>
      <c r="O47" s="1602" t="s">
        <v>1008</v>
      </c>
      <c r="P47" s="1603" t="s">
        <v>1493</v>
      </c>
      <c r="Q47" s="1604">
        <f ca="1">C40+J29</f>
        <v>8611</v>
      </c>
      <c r="R47" s="1604" t="s">
        <v>1494</v>
      </c>
    </row>
    <row r="48" spans="1:18" s="1568" customFormat="1" ht="28.5" thickBot="1">
      <c r="A48" s="1270" t="s">
        <v>1103</v>
      </c>
      <c r="B48" s="306" t="s">
        <v>1366</v>
      </c>
      <c r="C48" s="1543">
        <f ca="1">C49+C53+C55</f>
        <v>0</v>
      </c>
      <c r="D48" s="1272"/>
      <c r="E48" s="1273"/>
      <c r="F48" s="1093"/>
      <c r="G48" s="731"/>
      <c r="H48" s="732"/>
      <c r="I48" s="1605" t="s">
        <v>1495</v>
      </c>
      <c r="J48" s="1606" t="s">
        <v>3214</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2011</v>
      </c>
      <c r="K49" s="1607" t="s">
        <v>1500</v>
      </c>
      <c r="L49" s="1611"/>
      <c r="O49" s="1612" t="s">
        <v>1010</v>
      </c>
      <c r="P49" s="1603" t="s">
        <v>1501</v>
      </c>
      <c r="Q49" s="1604">
        <f ca="1">C29</f>
        <v>608</v>
      </c>
      <c r="R49" s="1604" t="s">
        <v>1494</v>
      </c>
    </row>
    <row r="50" spans="1:18" s="1568" customFormat="1" ht="13.5" thickBot="1">
      <c r="A50" s="1107"/>
      <c r="B50" s="1110"/>
      <c r="C50" s="1278"/>
      <c r="D50" s="1084"/>
      <c r="E50" s="1187" t="s">
        <v>1371</v>
      </c>
      <c r="F50" s="1188">
        <f ca="1">F7</f>
        <v>994.5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50</v>
      </c>
      <c r="K51" s="1618" t="s">
        <v>1506</v>
      </c>
      <c r="L51" s="1619">
        <f ca="1">ROUND(-PV(INDIRECT("'数据-取费表'!h"&amp;$G$1),J51,(C39-C13*C76),0),0)</f>
        <v>5818</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390" t="s">
        <v>1513</v>
      </c>
      <c r="L53" s="3391"/>
      <c r="O53" s="1602" t="s">
        <v>1014</v>
      </c>
      <c r="P53" s="1603" t="s">
        <v>1514</v>
      </c>
      <c r="Q53" s="1604">
        <f ca="1">Q47+Q48</f>
        <v>8611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505</v>
      </c>
      <c r="D56" s="1631"/>
      <c r="E56" s="1632"/>
      <c r="F56" s="1624"/>
      <c r="I56" s="1633" t="s">
        <v>1519</v>
      </c>
      <c r="J56" s="1634" t="s">
        <v>3204</v>
      </c>
      <c r="K56" s="1605" t="s">
        <v>1520</v>
      </c>
      <c r="L56" s="1608" t="str">
        <f ca="1">IF(L48&lt;J51,"——",L48-J53)</f>
        <v>——</v>
      </c>
      <c r="O56" s="1602" t="s">
        <v>1008</v>
      </c>
      <c r="P56" s="1603" t="s">
        <v>1493</v>
      </c>
      <c r="Q56" s="1604">
        <f ca="1">C40+J29</f>
        <v>8611</v>
      </c>
      <c r="R56" s="1604" t="s">
        <v>1494</v>
      </c>
    </row>
    <row r="57" spans="1:18" s="1568" customFormat="1" ht="24.75" thickBot="1">
      <c r="A57" s="1635"/>
      <c r="B57" s="1081" t="s">
        <v>1443</v>
      </c>
      <c r="C57" s="244">
        <f ca="1">C29</f>
        <v>608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51.07</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8611</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9.1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8611</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-61</v>
      </c>
      <c r="D67" s="1094" t="s">
        <v>1429</v>
      </c>
      <c r="E67" s="1099"/>
      <c r="F67" s="1100"/>
      <c r="O67" s="1612" t="s">
        <v>1010</v>
      </c>
      <c r="P67" s="1603" t="s">
        <v>1527</v>
      </c>
      <c r="Q67" s="1650">
        <f ca="1">L51</f>
        <v>5818</v>
      </c>
      <c r="R67" s="1604" t="s">
        <v>1547</v>
      </c>
    </row>
    <row r="68" spans="1:18" s="1568" customFormat="1" ht="16.5" thickBot="1">
      <c r="A68" s="1078" t="s">
        <v>1000</v>
      </c>
      <c r="B68" s="1079" t="s">
        <v>1450</v>
      </c>
      <c r="C68" s="307">
        <f ca="1">ROUND(C67*(1-((1+F70)/(1+F68))^F69)/(F68-F70),0)</f>
        <v>-979</v>
      </c>
      <c r="D68" s="1096" t="s">
        <v>1434</v>
      </c>
      <c r="E68" s="1081" t="s">
        <v>1435</v>
      </c>
      <c r="F68" s="318">
        <f ca="1">F40</f>
        <v>5.5E-2</v>
      </c>
      <c r="O68" s="1612" t="s">
        <v>1011</v>
      </c>
      <c r="P68" s="1651" t="s">
        <v>1548</v>
      </c>
      <c r="Q68" s="1604">
        <f ca="1">ROUND(Q69-Q70*Q71,0)</f>
        <v>319</v>
      </c>
      <c r="R68" s="1604" t="s">
        <v>1019</v>
      </c>
    </row>
    <row r="69" spans="1:18" s="1568" customFormat="1" ht="13.5" thickBot="1">
      <c r="A69" s="1082"/>
      <c r="B69" s="1083"/>
      <c r="C69" s="312"/>
      <c r="D69" s="1101" t="s">
        <v>1438</v>
      </c>
      <c r="E69" s="1081" t="s">
        <v>1439</v>
      </c>
      <c r="F69" s="339">
        <f ca="1">F41</f>
        <v>40</v>
      </c>
      <c r="O69" s="1612" t="s">
        <v>1016</v>
      </c>
      <c r="P69" s="1651" t="s">
        <v>1549</v>
      </c>
      <c r="Q69" s="1604">
        <f ca="1">C39</f>
        <v>349</v>
      </c>
      <c r="R69" s="1604" t="s">
        <v>1494</v>
      </c>
    </row>
    <row r="70" spans="1:18" s="1568" customFormat="1" ht="13.5" thickBot="1">
      <c r="A70" s="1085"/>
      <c r="B70" s="1086"/>
      <c r="C70" s="316"/>
      <c r="D70" s="1097"/>
      <c r="E70" s="1081" t="s">
        <v>1442</v>
      </c>
      <c r="F70" s="1185"/>
      <c r="O70" s="1612" t="s">
        <v>1017</v>
      </c>
      <c r="P70" s="1651" t="s">
        <v>1550</v>
      </c>
      <c r="Q70" s="1604">
        <f ca="1">C13</f>
        <v>505</v>
      </c>
      <c r="R70" s="1604" t="s">
        <v>1494</v>
      </c>
    </row>
    <row r="71" spans="1:18" s="1568" customFormat="1" ht="13.5" thickBot="1">
      <c r="A71" s="1102" t="s">
        <v>1001</v>
      </c>
      <c r="B71" s="1103" t="s">
        <v>1452</v>
      </c>
      <c r="C71" s="342">
        <f ca="1">ROUND(C68*10000/F71,0)</f>
        <v>-9844</v>
      </c>
      <c r="D71" s="1104" t="s">
        <v>1453</v>
      </c>
      <c r="E71" s="1105" t="s">
        <v>1454</v>
      </c>
      <c r="F71" s="345">
        <f ca="1">F43</f>
        <v>994.5</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30</v>
      </c>
      <c r="D75" s="1568"/>
      <c r="E75" s="1568"/>
      <c r="F75" s="1568"/>
      <c r="K75" s="1586"/>
      <c r="L75" s="1568"/>
      <c r="O75" s="1602" t="s">
        <v>1014</v>
      </c>
      <c r="P75" s="1603" t="s">
        <v>1514</v>
      </c>
      <c r="Q75" s="1604">
        <f ca="1">Q65+Q66</f>
        <v>8611</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0.94100000000000006</v>
      </c>
    </row>
    <row r="83" spans="2:3">
      <c r="B83" s="279" t="s">
        <v>1479</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3219</v>
      </c>
      <c r="O1" t="s">
        <v>3221</v>
      </c>
    </row>
    <row r="55" spans="1:15">
      <c r="O55" t="s">
        <v>3222</v>
      </c>
    </row>
    <row r="56" spans="1:15">
      <c r="A56" s="3135" t="s">
        <v>3218</v>
      </c>
    </row>
    <row r="96" spans="1:1">
      <c r="A96" s="3135"/>
    </row>
    <row r="101" spans="16:16">
      <c r="P101" t="s">
        <v>3223</v>
      </c>
    </row>
    <row r="124" spans="1:1">
      <c r="A124" s="3135" t="s">
        <v>3220</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0" t="str">
        <f>IF(项目基本情况!B9="房地产市场价值","估价结果一览表","结果表-2")</f>
        <v>估价结果一览表</v>
      </c>
      <c r="B1" s="3170"/>
      <c r="C1" s="3170"/>
      <c r="D1" s="3170"/>
      <c r="E1" s="3170"/>
      <c r="F1" s="3170"/>
      <c r="G1" s="3170"/>
      <c r="H1" s="3170"/>
      <c r="I1" s="3170"/>
    </row>
    <row r="2" spans="1:9" ht="30" customHeight="1" thickTop="1">
      <c r="A2" s="3171" t="s">
        <v>1606</v>
      </c>
      <c r="B2" s="3171" t="s">
        <v>1607</v>
      </c>
      <c r="C2" s="3171" t="s">
        <v>1608</v>
      </c>
      <c r="D2" s="3171" t="str">
        <f>结果表!D116</f>
        <v>出让国有建设用地使用权价值</v>
      </c>
      <c r="E2" s="3171"/>
      <c r="F2" s="3171" t="str">
        <f>结果表!F116</f>
        <v>在建建筑物价值</v>
      </c>
      <c r="G2" s="3171"/>
      <c r="H2" s="3171" t="str">
        <f>IF(项目基本情况!B9="房地产市场价值","房地产市场价值","房地产价值")</f>
        <v>房地产市场价值</v>
      </c>
      <c r="I2" s="3171"/>
    </row>
    <row r="3" spans="1:9" ht="15">
      <c r="A3" s="3165"/>
      <c r="B3" s="3165"/>
      <c r="C3" s="3165"/>
      <c r="D3" s="963" t="s">
        <v>1603</v>
      </c>
      <c r="E3" s="963" t="s">
        <v>1609</v>
      </c>
      <c r="F3" s="963" t="s">
        <v>1603</v>
      </c>
      <c r="G3" s="963" t="s">
        <v>1604</v>
      </c>
      <c r="H3" s="963" t="s">
        <v>1603</v>
      </c>
      <c r="I3" s="963" t="s">
        <v>1604</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5" t="s">
        <v>1605</v>
      </c>
      <c r="B5" s="3165"/>
      <c r="C5" s="3165"/>
      <c r="D5" s="3166" t="e">
        <f ca="1">结果表!D119</f>
        <v>#REF!</v>
      </c>
      <c r="E5" s="3166"/>
      <c r="F5" s="3166" t="e">
        <f ca="1">结果表!F119</f>
        <v>#REF!</v>
      </c>
      <c r="G5" s="3166"/>
      <c r="H5" s="3166" t="e">
        <f ca="1">结果表!H119</f>
        <v>#REF!</v>
      </c>
      <c r="I5" s="3166"/>
    </row>
    <row r="6" spans="1:9" ht="15.75">
      <c r="A6" s="3164" t="str">
        <f>结果表!A120</f>
        <v/>
      </c>
      <c r="B6" s="3164"/>
      <c r="C6" s="3164"/>
      <c r="D6" s="3164">
        <f>结果表!D120</f>
        <v>0</v>
      </c>
      <c r="E6" s="3164"/>
      <c r="F6" s="3164"/>
      <c r="G6" s="3164"/>
      <c r="H6" s="3164"/>
      <c r="I6" s="3164"/>
    </row>
    <row r="7" spans="1:9" ht="15">
      <c r="A7" s="3165" t="s">
        <v>1605</v>
      </c>
      <c r="B7" s="3165"/>
      <c r="C7" s="3165"/>
      <c r="D7" s="3167" t="str">
        <f>结果表!D121</f>
        <v>零元整</v>
      </c>
      <c r="E7" s="3168"/>
      <c r="F7" s="3168"/>
      <c r="G7" s="3168"/>
      <c r="H7" s="3168"/>
      <c r="I7" s="3169"/>
    </row>
    <row r="8" spans="1:9" ht="15.75">
      <c r="A8" s="3164" t="str">
        <f>结果表!A122</f>
        <v/>
      </c>
      <c r="B8" s="3164"/>
      <c r="C8" s="3164"/>
      <c r="D8" s="3164" t="e">
        <f ca="1">结果表!D122</f>
        <v>#REF!</v>
      </c>
      <c r="E8" s="3164"/>
      <c r="F8" s="3164"/>
      <c r="G8" s="3164"/>
      <c r="H8" s="3164"/>
      <c r="I8" s="3164"/>
    </row>
    <row r="9" spans="1:9" ht="15">
      <c r="A9" s="3165" t="s">
        <v>1605</v>
      </c>
      <c r="B9" s="3165"/>
      <c r="C9" s="3165"/>
      <c r="D9" s="3166" t="e">
        <f ca="1">结果表!D123</f>
        <v>#REF!</v>
      </c>
      <c r="E9" s="3166"/>
      <c r="F9" s="3166"/>
      <c r="G9" s="3166"/>
      <c r="H9" s="3166"/>
      <c r="I9" s="3166"/>
    </row>
    <row r="10" spans="1:9" ht="15.75">
      <c r="A10" s="3164" t="str">
        <f>结果表!A124</f>
        <v/>
      </c>
      <c r="B10" s="3164"/>
      <c r="C10" s="3164"/>
      <c r="D10" s="3164" t="str">
        <f>结果表!D124</f>
        <v>——</v>
      </c>
      <c r="E10" s="3164"/>
      <c r="F10" s="3164"/>
      <c r="G10" s="3164"/>
      <c r="H10" s="3164"/>
      <c r="I10" s="3164"/>
    </row>
    <row r="11" spans="1:9" ht="15">
      <c r="A11" s="3165" t="s">
        <v>1605</v>
      </c>
      <c r="B11" s="3165"/>
      <c r="C11" s="3165"/>
      <c r="D11" s="3166" t="e">
        <f>结果表!D125</f>
        <v>#VALUE!</v>
      </c>
      <c r="E11" s="3166"/>
      <c r="F11" s="3166"/>
      <c r="G11" s="3166"/>
      <c r="H11" s="3166"/>
      <c r="I11" s="3166"/>
    </row>
    <row r="12" spans="1:9" ht="15.75">
      <c r="A12" s="3164" t="str">
        <f>结果表!A126</f>
        <v/>
      </c>
      <c r="B12" s="3164"/>
      <c r="C12" s="3164"/>
      <c r="D12" s="3164" t="str">
        <f>结果表!D126</f>
        <v>——</v>
      </c>
      <c r="E12" s="3164"/>
      <c r="F12" s="3164"/>
      <c r="G12" s="3164"/>
      <c r="H12" s="3164"/>
      <c r="I12" s="3164"/>
    </row>
    <row r="13" spans="1:9" ht="15.75" thickBot="1">
      <c r="A13" s="3161" t="s">
        <v>1605</v>
      </c>
      <c r="B13" s="3161"/>
      <c r="C13" s="3161"/>
      <c r="D13" s="3162" t="e">
        <f>结果表!D127</f>
        <v>#VALUE!</v>
      </c>
      <c r="E13" s="3162"/>
      <c r="F13" s="3162"/>
      <c r="G13" s="3162"/>
      <c r="H13" s="3162"/>
      <c r="I13" s="3162"/>
    </row>
    <row r="14" spans="1:9" ht="15" thickTop="1">
      <c r="A14" s="3163" t="s">
        <v>1610</v>
      </c>
      <c r="B14" s="3163"/>
      <c r="C14" s="3163"/>
      <c r="D14" s="3163"/>
      <c r="E14" s="3163"/>
      <c r="F14" s="3163"/>
      <c r="G14" s="3163"/>
      <c r="H14" s="3163"/>
      <c r="I14" s="316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8" t="s">
        <v>1627</v>
      </c>
      <c r="B1" s="3178"/>
      <c r="C1" s="3178"/>
      <c r="D1" s="3178"/>
    </row>
    <row r="2" spans="1:4" ht="18">
      <c r="A2" s="3179" t="s">
        <v>1611</v>
      </c>
      <c r="B2" s="3179"/>
      <c r="C2" s="3179"/>
      <c r="D2" s="3179"/>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79" t="s">
        <v>1617</v>
      </c>
      <c r="B6" s="3179"/>
      <c r="C6" s="3179"/>
      <c r="D6" s="317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80" t="s">
        <v>1620</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1621</v>
      </c>
      <c r="B16" s="3174"/>
      <c r="C16" s="3174"/>
      <c r="D16" s="3174"/>
    </row>
    <row r="17" spans="1:4" ht="144" customHeight="1">
      <c r="A17" s="3174" t="s">
        <v>1622</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1623</v>
      </c>
      <c r="B22" s="3176"/>
      <c r="C22" s="3176"/>
      <c r="D22" s="317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86" t="s">
        <v>1634</v>
      </c>
      <c r="B15" s="3181" t="s">
        <v>136</v>
      </c>
      <c r="C15" s="3182"/>
    </row>
    <row r="16" spans="1:7" ht="13.5">
      <c r="A16" s="3187"/>
      <c r="B16" s="3181" t="s">
        <v>69</v>
      </c>
      <c r="C16" s="3182"/>
    </row>
    <row r="17" spans="1:3" ht="13.5">
      <c r="A17" s="3187"/>
      <c r="B17" s="3184" t="s">
        <v>1635</v>
      </c>
      <c r="C17" s="1717" t="s">
        <v>1634</v>
      </c>
    </row>
    <row r="18" spans="1:3" ht="13.5">
      <c r="A18" s="3187"/>
      <c r="B18" s="3184"/>
      <c r="C18" s="1717" t="s">
        <v>1636</v>
      </c>
    </row>
    <row r="19" spans="1:3" ht="13.5">
      <c r="A19" s="3187"/>
      <c r="B19" s="3184"/>
      <c r="C19" s="1717" t="s">
        <v>1637</v>
      </c>
    </row>
    <row r="20" spans="1:3" ht="13.5">
      <c r="A20" s="3188"/>
      <c r="B20" s="3183" t="s">
        <v>1638</v>
      </c>
      <c r="C20" s="3182"/>
    </row>
    <row r="21" spans="1:3" ht="13.5">
      <c r="A21" s="1718" t="s">
        <v>1639</v>
      </c>
      <c r="B21" s="1719"/>
      <c r="C21" s="1720"/>
    </row>
    <row r="22" spans="1:3" ht="13.5">
      <c r="A22" s="3185" t="s">
        <v>1640</v>
      </c>
      <c r="B22" s="3183" t="s">
        <v>1641</v>
      </c>
      <c r="C22" s="3182"/>
    </row>
    <row r="23" spans="1:3" ht="13.5">
      <c r="A23" s="3185"/>
      <c r="B23" s="3183" t="s">
        <v>1642</v>
      </c>
      <c r="C23" s="3182"/>
    </row>
    <row r="24" spans="1:3" ht="13.5">
      <c r="A24" s="3185"/>
      <c r="B24" s="3183" t="s">
        <v>1643</v>
      </c>
      <c r="C24" s="3182"/>
    </row>
    <row r="25" spans="1:3" ht="13.5">
      <c r="A25" s="3185"/>
      <c r="B25" s="3184" t="s">
        <v>1644</v>
      </c>
      <c r="C25" s="1717" t="s">
        <v>1645</v>
      </c>
    </row>
    <row r="26" spans="1:3" ht="13.5">
      <c r="A26" s="3185"/>
      <c r="B26" s="3184"/>
      <c r="C26" s="1717" t="s">
        <v>1646</v>
      </c>
    </row>
    <row r="27" spans="1:3" ht="13.5">
      <c r="A27" s="3185"/>
      <c r="B27" s="3184"/>
      <c r="C27" s="1717" t="s">
        <v>1647</v>
      </c>
    </row>
    <row r="28" spans="1:3" ht="13.5">
      <c r="A28" s="3185"/>
      <c r="B28" s="3184"/>
      <c r="C28" s="1717" t="s">
        <v>1648</v>
      </c>
    </row>
    <row r="29" spans="1:3" ht="13.5">
      <c r="A29" s="3185"/>
      <c r="B29" s="3184"/>
      <c r="C29" s="1717" t="s">
        <v>1649</v>
      </c>
    </row>
    <row r="30" spans="1:3" ht="13.5">
      <c r="A30" s="3185"/>
      <c r="B30" s="3184"/>
      <c r="C30" s="1717" t="s">
        <v>1650</v>
      </c>
    </row>
    <row r="31" spans="1:3" ht="13.5">
      <c r="A31" s="3185"/>
      <c r="B31" s="3184"/>
      <c r="C31" s="1717" t="s">
        <v>1651</v>
      </c>
    </row>
    <row r="32" spans="1:3" ht="13.5">
      <c r="A32" s="3185"/>
      <c r="B32" s="3184"/>
      <c r="C32" s="1717" t="s">
        <v>1652</v>
      </c>
    </row>
    <row r="33" spans="1:3" ht="13.5">
      <c r="A33" s="3185"/>
      <c r="B33" s="318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44347</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9" t="s">
        <v>2903</v>
      </c>
      <c r="B17" s="3189"/>
      <c r="C17" s="3189"/>
      <c r="D17" s="3189"/>
      <c r="E17" s="3189"/>
      <c r="F17" s="3189"/>
      <c r="G17" s="3189"/>
      <c r="H17" s="3189"/>
    </row>
    <row r="18" spans="1:8" ht="24" customHeight="1">
      <c r="A18" s="3190" t="s">
        <v>2904</v>
      </c>
      <c r="B18" s="3190"/>
      <c r="C18" s="3190"/>
      <c r="D18" s="2566"/>
      <c r="E18" s="3191" t="s">
        <v>2905</v>
      </c>
      <c r="F18" s="3190"/>
      <c r="G18" s="319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2021-05-31T06:05:25Z</dcterms:modified>
</cp:coreProperties>
</file>