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715" windowWidth="17280" windowHeight="891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6" i="77" l="1"/>
  <c r="E104" i="79" l="1"/>
  <c r="F104" i="79" s="1"/>
  <c r="G104" i="79" s="1"/>
  <c r="D104" i="79"/>
  <c r="N18" i="1" l="1"/>
  <c r="E47" i="33"/>
  <c r="E104" i="33"/>
  <c r="F104" i="33" s="1"/>
  <c r="G104" i="33" s="1"/>
  <c r="D104" i="33"/>
  <c r="I33" i="79" l="1"/>
  <c r="G33" i="79"/>
  <c r="E33" i="79"/>
  <c r="I33" i="33"/>
  <c r="G33" i="33"/>
  <c r="E33" i="33"/>
  <c r="C33" i="79" l="1"/>
  <c r="C33" i="33" l="1"/>
  <c r="I47" i="79" l="1"/>
  <c r="G47" i="79"/>
  <c r="E47" i="79"/>
  <c r="I47" i="33"/>
  <c r="G47" i="33"/>
  <c r="I20" i="77" l="1"/>
  <c r="I17" i="77"/>
  <c r="H15" i="77"/>
  <c r="H14" i="77"/>
  <c r="I11" i="77"/>
  <c r="H10" i="77"/>
  <c r="H9" i="77"/>
  <c r="I8" i="77"/>
  <c r="C8" i="77" s="1"/>
  <c r="I6" i="77"/>
  <c r="I4" i="77"/>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AO10" i="1"/>
  <c r="AO7" i="1"/>
  <c r="F40" i="15"/>
  <c r="D6" i="73"/>
  <c r="M27" i="67"/>
  <c r="D2" i="34"/>
  <c r="D2" i="36"/>
  <c r="D34" i="9"/>
  <c r="F5" i="73"/>
  <c r="L47" i="15"/>
  <c r="E7" i="76"/>
  <c r="B7" i="76"/>
  <c r="F9" i="15"/>
  <c r="M22" i="15"/>
  <c r="M24" i="15"/>
  <c r="M8" i="15"/>
  <c r="F40" i="67"/>
  <c r="D20" i="9"/>
  <c r="F4" i="73"/>
  <c r="F16" i="67"/>
  <c r="D35" i="9"/>
  <c r="M26" i="67"/>
  <c r="D5" i="73"/>
  <c r="F9" i="67"/>
  <c r="M9" i="15"/>
  <c r="C76" i="15"/>
  <c r="M21" i="67"/>
  <c r="D2" i="33"/>
  <c r="M26" i="15"/>
  <c r="M28" i="15"/>
  <c r="E12" i="76"/>
  <c r="D4" i="73"/>
  <c r="L47" i="67"/>
  <c r="B8" i="76"/>
  <c r="AO8" i="1"/>
  <c r="F6" i="67"/>
  <c r="F38" i="15"/>
  <c r="F38" i="67"/>
  <c r="J15" i="15"/>
  <c r="F26" i="67"/>
  <c r="C20" i="9"/>
  <c r="F35" i="67"/>
  <c r="F7" i="67"/>
  <c r="E13" i="76"/>
  <c r="F8" i="15"/>
  <c r="D2" i="37"/>
  <c r="F13" i="15"/>
  <c r="B12" i="76"/>
  <c r="D3" i="73"/>
  <c r="F37" i="15"/>
  <c r="M24" i="67"/>
  <c r="F13" i="67"/>
  <c r="M29" i="67"/>
  <c r="C19" i="9"/>
  <c r="AO9" i="1"/>
  <c r="F42" i="67"/>
  <c r="AO12" i="1"/>
  <c r="E8" i="76"/>
  <c r="F3" i="73"/>
  <c r="F26" i="15"/>
  <c r="F43" i="67"/>
  <c r="M9" i="67"/>
  <c r="F6" i="73"/>
  <c r="C76" i="67"/>
  <c r="M22" i="67"/>
  <c r="F7" i="73"/>
  <c r="B13" i="76"/>
  <c r="E2" i="69"/>
  <c r="AO13" i="1"/>
  <c r="E9" i="76"/>
  <c r="M29" i="15"/>
  <c r="D7" i="73"/>
  <c r="F42" i="15"/>
  <c r="F43" i="15"/>
  <c r="B9" i="76"/>
  <c r="M23" i="67"/>
  <c r="M6" i="15"/>
  <c r="M6" i="67"/>
  <c r="F16" i="15"/>
  <c r="AO11" i="1"/>
  <c r="F37" i="67"/>
  <c r="L48" i="15"/>
  <c r="D2" i="21"/>
  <c r="B10" i="76"/>
  <c r="B11" i="76"/>
  <c r="D2" i="35"/>
  <c r="D19" i="9"/>
  <c r="F20" i="31"/>
  <c r="M23" i="15"/>
  <c r="M27" i="15"/>
  <c r="E11" i="76"/>
  <c r="E2" i="68"/>
  <c r="F7" i="15"/>
  <c r="F36" i="15"/>
  <c r="E10" i="76"/>
  <c r="M8" i="67"/>
  <c r="F42" i="33" l="1"/>
  <c r="D126" i="9"/>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C16" i="67"/>
  <c r="F36" i="67"/>
  <c r="C17" i="67"/>
  <c r="J15" i="67"/>
  <c r="L48" i="67"/>
  <c r="G1" i="73"/>
  <c r="M28" i="67"/>
  <c r="F8" i="67"/>
  <c r="C14" i="67"/>
  <c r="F41" i="67"/>
  <c r="C16" i="15"/>
  <c r="AA42" i="33" l="1"/>
  <c r="S42" i="33"/>
  <c r="AA36" i="33"/>
  <c r="D12" i="52"/>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C17" i="15"/>
  <c r="AE6" i="1"/>
  <c r="E6" i="76"/>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C14" i="15"/>
  <c r="F41" i="15"/>
  <c r="B6" i="76"/>
  <c r="G53" i="33" l="1"/>
  <c r="H53" i="33" s="1"/>
  <c r="F69" i="15"/>
  <c r="J29" i="15"/>
  <c r="R49" i="33"/>
  <c r="C48" i="33"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B2" i="76"/>
  <c r="B3" i="76" s="1"/>
  <c r="B3" i="43"/>
  <c r="J59" i="15"/>
  <c r="J60" i="15" s="1"/>
  <c r="C36" i="67"/>
  <c r="C33" i="67"/>
  <c r="C31" i="67" s="1"/>
  <c r="J14" i="67"/>
  <c r="C13" i="67"/>
  <c r="J19" i="67"/>
  <c r="J17" i="67" s="1"/>
  <c r="C57" i="67"/>
  <c r="C61" i="67" s="1"/>
  <c r="Q49" i="67"/>
  <c r="J59" i="67"/>
  <c r="J60" i="67" s="1"/>
  <c r="F6" i="15"/>
  <c r="E52" i="33" l="1"/>
  <c r="F52" i="33" s="1"/>
  <c r="C49" i="33"/>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C3" i="77" l="1"/>
  <c r="C4" i="77" s="1"/>
  <c r="C29" i="77" s="1"/>
  <c r="D14" i="74"/>
  <c r="B10" i="74" s="1"/>
  <c r="B3" i="33"/>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F35"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8" i="77" l="1"/>
  <c r="C39" i="77" s="1"/>
  <c r="E38" i="77"/>
  <c r="E39" i="77" s="1"/>
  <c r="G37" i="77"/>
  <c r="C22" i="68"/>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G14" i="74" l="1"/>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<sst xmlns="http://schemas.openxmlformats.org/spreadsheetml/2006/main" count="7885" uniqueCount="3291">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</sst>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739" t="s">
        <v>832</v>
      </c>
      <c r="C54" s="1736" t="s">
        <v>1248</v>
      </c>
    </row>
    <row r="55" spans="1:4">
      <c r="A55" s="3193"/>
      <c r="B55" s="1739" t="s">
        <v>833</v>
      </c>
      <c r="C55" s="1736" t="s">
        <v>1249</v>
      </c>
    </row>
    <row r="56" spans="1:4">
      <c r="A56" s="3193"/>
      <c r="B56" s="1739" t="s">
        <v>834</v>
      </c>
      <c r="C56" s="1736" t="s">
        <v>1253</v>
      </c>
    </row>
    <row r="57" spans="1:4">
      <c r="A57" s="319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202" t="str">
        <f>IF(B10="北京市","北京市",C10)&amp;F10&amp;IF(结果表!G1="在建","出让国有建设用地使用权及在建建筑物",IF(结果表!G1="土地","出让国有建设用地使用权",))&amp;B9&amp;"预评估"</f>
        <v>北京市房地产市场价值预评估</v>
      </c>
      <c r="C1" s="3203"/>
      <c r="D1" s="3203"/>
      <c r="E1" s="3203"/>
      <c r="F1" s="3203"/>
      <c r="G1" s="3203"/>
      <c r="H1" s="3203"/>
      <c r="I1" s="3204"/>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44341</v>
      </c>
      <c r="C3" s="2598" t="s">
        <v>2917</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2921</v>
      </c>
      <c r="B7" s="2611"/>
      <c r="C7" s="2609"/>
      <c r="D7" s="2610"/>
      <c r="E7" s="2887"/>
      <c r="F7" s="2889"/>
      <c r="G7" s="2889"/>
      <c r="H7" s="2889"/>
      <c r="I7" s="2889"/>
      <c r="J7" s="2665"/>
      <c r="K7" s="2840"/>
      <c r="L7" s="2837"/>
      <c r="M7" s="2837"/>
      <c r="N7" s="2665"/>
      <c r="O7" s="2676"/>
      <c r="P7" s="2665"/>
      <c r="Q7" s="2665"/>
      <c r="R7" s="2665"/>
    </row>
    <row r="8" spans="1:28">
      <c r="A8" s="2612" t="s">
        <v>2922</v>
      </c>
      <c r="B8" s="2613" t="s">
        <v>3199</v>
      </c>
      <c r="C8" s="2614"/>
      <c r="D8" s="3205" t="s">
        <v>2923</v>
      </c>
      <c r="E8" s="2615"/>
      <c r="F8" s="2616"/>
      <c r="G8" s="2888"/>
      <c r="H8" s="2888"/>
      <c r="I8" s="2888"/>
      <c r="J8" s="2665"/>
      <c r="K8" s="2838"/>
      <c r="L8" s="2837"/>
      <c r="M8" s="2837"/>
      <c r="N8" s="2665"/>
      <c r="O8" s="2676"/>
      <c r="P8" s="2665"/>
      <c r="Q8" s="2665"/>
      <c r="R8" s="2665"/>
    </row>
    <row r="9" spans="1:28" ht="13.5" thickBot="1">
      <c r="A9" s="2617" t="s">
        <v>2924</v>
      </c>
      <c r="B9" s="2618" t="s">
        <v>3200</v>
      </c>
      <c r="C9" s="2619"/>
      <c r="D9" s="3206"/>
      <c r="E9" s="2618" t="s">
        <v>70</v>
      </c>
      <c r="F9" s="2620"/>
      <c r="G9" s="2890"/>
      <c r="H9" s="2890"/>
      <c r="I9" s="2890"/>
      <c r="J9" s="2665"/>
      <c r="K9" s="2840"/>
      <c r="L9" s="2837"/>
      <c r="M9" s="2837"/>
      <c r="N9" s="2665"/>
      <c r="O9" s="2676"/>
      <c r="P9" s="2665"/>
      <c r="Q9" s="2665"/>
      <c r="R9" s="2665"/>
    </row>
    <row r="10" spans="1:28" ht="13.5" thickTop="1">
      <c r="A10" s="2621" t="s">
        <v>2925</v>
      </c>
      <c r="B10" s="2622" t="s">
        <v>3201</v>
      </c>
      <c r="C10" s="2623" t="s">
        <v>3216</v>
      </c>
      <c r="D10" s="2606"/>
      <c r="E10" s="2624" t="s">
        <v>2926</v>
      </c>
      <c r="F10" s="2891"/>
      <c r="G10" s="2892"/>
      <c r="H10" s="2893"/>
      <c r="I10" s="2894"/>
      <c r="J10" s="2665"/>
      <c r="K10" s="2840"/>
      <c r="L10" s="2837"/>
      <c r="M10" s="2837"/>
      <c r="N10" s="2665"/>
      <c r="O10" s="2676"/>
      <c r="P10" s="2665"/>
      <c r="Q10" s="2665"/>
      <c r="R10" s="2665"/>
    </row>
    <row r="11" spans="1:28">
      <c r="A11" s="2625" t="s">
        <v>2927</v>
      </c>
      <c r="B11" s="2626" t="s">
        <v>3208</v>
      </c>
      <c r="C11" s="2627"/>
      <c r="D11" s="2628"/>
      <c r="E11" s="2594"/>
      <c r="F11" s="2594"/>
      <c r="G11" s="2594"/>
      <c r="H11" s="2594"/>
      <c r="I11" s="2594"/>
      <c r="J11" s="2665"/>
      <c r="K11" s="2840"/>
      <c r="L11" s="2837"/>
      <c r="M11" s="2837"/>
      <c r="N11" s="2665"/>
      <c r="O11" s="2676"/>
      <c r="P11" s="2665"/>
      <c r="Q11" s="2665"/>
      <c r="R11" s="2665"/>
    </row>
    <row r="12" spans="1:28">
      <c r="A12" s="2629" t="s">
        <v>2928</v>
      </c>
      <c r="B12" s="2626" t="s">
        <v>3215</v>
      </c>
      <c r="C12" s="329" t="s">
        <v>2929</v>
      </c>
      <c r="D12" s="2630" t="s">
        <v>2930</v>
      </c>
      <c r="E12" s="2630" t="s">
        <v>2931</v>
      </c>
      <c r="F12" s="2630" t="s">
        <v>2932</v>
      </c>
      <c r="G12" s="2630" t="s">
        <v>2933</v>
      </c>
      <c r="H12" s="2630" t="s">
        <v>2934</v>
      </c>
      <c r="I12" s="2630" t="s">
        <v>2935</v>
      </c>
      <c r="J12" s="2665"/>
      <c r="K12" s="2840"/>
      <c r="L12" s="2837"/>
      <c r="M12" s="2837"/>
      <c r="N12" s="2665"/>
      <c r="O12" s="2676"/>
      <c r="P12" s="2665"/>
      <c r="Q12" s="2665"/>
      <c r="R12" s="2665"/>
    </row>
    <row r="13" spans="1:28">
      <c r="A13" s="1241"/>
      <c r="B13" s="2631"/>
      <c r="C13" s="2632" t="s">
        <v>2936</v>
      </c>
      <c r="D13" s="965"/>
      <c r="E13" s="965"/>
      <c r="F13" s="965"/>
      <c r="G13" s="965"/>
      <c r="H13" s="965"/>
      <c r="I13" s="965"/>
      <c r="J13" s="2665"/>
      <c r="K13" s="2840"/>
      <c r="L13" s="2837"/>
      <c r="M13" s="2837"/>
      <c r="N13" s="2665"/>
      <c r="O13" s="2676"/>
      <c r="P13" s="2665"/>
      <c r="Q13" s="2665"/>
      <c r="R13" s="2665"/>
    </row>
    <row r="14" spans="1:28">
      <c r="A14" s="1241"/>
      <c r="B14" s="2631"/>
      <c r="C14" s="2632" t="s">
        <v>2937</v>
      </c>
      <c r="D14" s="2633"/>
      <c r="E14" s="2633">
        <v>40</v>
      </c>
      <c r="F14" s="2633"/>
      <c r="G14" s="2633"/>
      <c r="H14" s="2633"/>
      <c r="I14" s="2633"/>
      <c r="J14" s="2665"/>
      <c r="K14" s="2841"/>
      <c r="L14" s="2837"/>
      <c r="M14" s="2837"/>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2939</v>
      </c>
      <c r="B16" s="3212"/>
      <c r="C16" s="3213"/>
      <c r="D16" s="3214"/>
      <c r="E16" s="2639" t="s">
        <v>2940</v>
      </c>
      <c r="F16" s="3215"/>
      <c r="G16" s="3216"/>
      <c r="H16" s="3216"/>
      <c r="I16" s="3217"/>
      <c r="J16" s="2665"/>
      <c r="K16" s="2842"/>
      <c r="L16" s="2677"/>
      <c r="M16" s="2677"/>
      <c r="N16" s="2733"/>
      <c r="O16" s="2677"/>
      <c r="P16" s="2733"/>
      <c r="Q16" s="2665"/>
      <c r="R16" s="2665"/>
    </row>
    <row r="17" spans="1:28">
      <c r="A17" s="319" t="s">
        <v>2941</v>
      </c>
      <c r="B17" s="308" t="s">
        <v>2942</v>
      </c>
      <c r="C17" s="11">
        <f>'数据-汇总表'!E3</f>
        <v>994.5</v>
      </c>
      <c r="D17" s="2545" t="s">
        <v>2943</v>
      </c>
      <c r="E17" s="3218" t="s">
        <v>2944</v>
      </c>
      <c r="F17" s="3219"/>
      <c r="G17" s="3219"/>
      <c r="H17" s="3219"/>
      <c r="I17" s="3220"/>
      <c r="J17" s="2665"/>
      <c r="K17" s="2843"/>
      <c r="L17" s="2677"/>
      <c r="M17" s="2677"/>
      <c r="N17" s="2733"/>
      <c r="O17" s="2677"/>
      <c r="P17" s="2733"/>
      <c r="Q17" s="2665"/>
      <c r="R17" s="2665"/>
      <c r="S17" s="2665"/>
      <c r="T17" s="2665"/>
      <c r="U17" s="2665"/>
      <c r="V17" s="2665"/>
    </row>
    <row r="18" spans="1:28" ht="24.75" thickBot="1">
      <c r="A18" s="2640" t="s">
        <v>2945</v>
      </c>
      <c r="B18" s="1250" t="s">
        <v>2946</v>
      </c>
      <c r="C18" s="2641">
        <f>'数据-汇总表'!D3</f>
        <v>0</v>
      </c>
      <c r="D18" s="1252" t="s">
        <v>2947</v>
      </c>
      <c r="E18" s="3221" t="s">
        <v>2948</v>
      </c>
      <c r="F18" s="3222"/>
      <c r="G18" s="3222"/>
      <c r="H18" s="3222"/>
      <c r="I18" s="3223"/>
      <c r="J18" s="2665"/>
      <c r="K18" s="2843"/>
      <c r="L18" s="2677"/>
      <c r="M18" s="2677"/>
      <c r="N18" s="2733"/>
      <c r="O18" s="2677"/>
      <c r="P18" s="2733"/>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2951</v>
      </c>
      <c r="B20" s="3208" t="s">
        <v>2952</v>
      </c>
      <c r="C20" s="3209"/>
      <c r="D20" s="3210" t="s">
        <v>2953</v>
      </c>
      <c r="E20" s="3211"/>
      <c r="F20" s="2872" t="s">
        <v>1741</v>
      </c>
      <c r="G20" s="2889"/>
      <c r="H20" s="2889"/>
      <c r="I20" s="2889"/>
      <c r="J20" s="2665"/>
      <c r="K20" s="320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2955</v>
      </c>
      <c r="C21" s="2859" t="s">
        <v>1742</v>
      </c>
      <c r="D21" s="1753" t="s">
        <v>2956</v>
      </c>
      <c r="E21" s="2860" t="s">
        <v>1742</v>
      </c>
      <c r="F21" s="2873"/>
      <c r="G21" s="2889"/>
      <c r="H21" s="2889"/>
      <c r="I21" s="2889"/>
      <c r="J21" s="2665"/>
      <c r="K21" s="32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2957</v>
      </c>
      <c r="C22" s="2859" t="s">
        <v>1743</v>
      </c>
      <c r="D22" s="2888"/>
      <c r="E22" s="2888"/>
      <c r="F22" s="2888"/>
      <c r="G22" s="2889"/>
      <c r="H22" s="2889"/>
      <c r="I22" s="2889"/>
      <c r="J22" s="2665"/>
      <c r="K22" s="32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2958</v>
      </c>
      <c r="B23" s="2726" t="s">
        <v>2959</v>
      </c>
      <c r="C23" s="2863"/>
      <c r="D23" s="2864" t="s">
        <v>2959</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95" t="s">
        <v>2960</v>
      </c>
      <c r="B27" s="326" t="s">
        <v>2961</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195"/>
      <c r="B28" s="308" t="s">
        <v>2962</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195"/>
      <c r="B29" s="308" t="s">
        <v>2963</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196"/>
      <c r="B30" s="308" t="s">
        <v>2964</v>
      </c>
      <c r="C30" s="3197"/>
      <c r="D30" s="3198"/>
      <c r="E30" s="2889"/>
      <c r="F30" s="2889"/>
      <c r="G30" s="2889"/>
      <c r="H30" s="2889"/>
      <c r="I30" s="2889"/>
      <c r="J30" s="2665"/>
      <c r="K30" s="2840"/>
      <c r="L30" s="2837"/>
      <c r="M30" s="2837"/>
      <c r="N30" s="2665"/>
      <c r="O30" s="2676"/>
      <c r="P30" s="2665"/>
      <c r="Q30" s="2665"/>
      <c r="R30" s="2665"/>
      <c r="S30" s="2665"/>
      <c r="T30" s="2665"/>
      <c r="U30" s="2665"/>
      <c r="V30" s="2665"/>
    </row>
    <row r="31" spans="1:28">
      <c r="A31" s="3199" t="s">
        <v>2965</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00"/>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00"/>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2966</v>
      </c>
      <c r="B34" s="2214"/>
      <c r="C34" s="2214"/>
      <c r="D34" s="2214"/>
      <c r="E34" s="2214"/>
      <c r="F34" s="2214"/>
      <c r="G34" s="2214"/>
      <c r="H34" s="2214"/>
      <c r="I34" s="2889"/>
      <c r="J34" s="2665"/>
      <c r="K34" s="2653">
        <f>COUNTIF(B34:H34,"——")</f>
        <v>0</v>
      </c>
      <c r="L34" s="329" t="s">
        <v>2967</v>
      </c>
      <c r="M34" s="329" t="s">
        <v>2968</v>
      </c>
      <c r="N34" s="329" t="s">
        <v>2969</v>
      </c>
      <c r="O34" s="329" t="s">
        <v>2970</v>
      </c>
      <c r="P34" s="329" t="s">
        <v>2971</v>
      </c>
      <c r="Q34" s="329" t="s">
        <v>2972</v>
      </c>
      <c r="R34" s="329" t="s">
        <v>2973</v>
      </c>
      <c r="S34" s="3194" t="s">
        <v>2974</v>
      </c>
      <c r="T34" s="2654" t="str">
        <f>NUMBERSTRING(7-K34,1)&amp;"通"</f>
        <v>七通</v>
      </c>
      <c r="U34" s="2665"/>
      <c r="V34" s="2665"/>
    </row>
    <row r="35" spans="1:30" ht="25.5">
      <c r="A35" s="2655"/>
      <c r="B35" s="3201" t="s">
        <v>2975</v>
      </c>
      <c r="C35" s="3201"/>
      <c r="D35" s="3201"/>
      <c r="E35" s="3201"/>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4"/>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5"/>
      <c r="G36" s="2889"/>
      <c r="H36" s="2889"/>
      <c r="I36" s="2889"/>
      <c r="J36" s="2665"/>
      <c r="K36" s="2840"/>
      <c r="L36" s="2837"/>
      <c r="M36" s="2837"/>
      <c r="N36" s="2665"/>
      <c r="O36" s="2676"/>
      <c r="P36" s="2665"/>
      <c r="Q36" s="2665"/>
      <c r="R36" s="2665"/>
      <c r="S36" s="2665"/>
      <c r="T36" s="2665"/>
      <c r="U36" s="2665"/>
      <c r="V36" s="2665"/>
    </row>
    <row r="37" spans="1:30">
      <c r="A37" s="2855" t="s">
        <v>2976</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2977</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2979</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3202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3203</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4" t="s">
        <v>0</v>
      </c>
      <c r="B1" s="3224" t="s">
        <v>4</v>
      </c>
      <c r="C1" s="3224" t="s">
        <v>5</v>
      </c>
      <c r="D1" s="3225" t="s">
        <v>53</v>
      </c>
      <c r="E1" s="3225" t="s">
        <v>54</v>
      </c>
      <c r="F1" s="3225"/>
      <c r="G1" s="3225"/>
      <c r="H1" s="3225"/>
      <c r="I1" s="3225"/>
      <c r="J1" s="3225"/>
      <c r="K1" s="3225"/>
      <c r="L1" s="3225"/>
      <c r="M1" s="3225"/>
    </row>
    <row r="2" spans="1:13" ht="27" customHeight="1">
      <c r="A2" s="3224"/>
      <c r="B2" s="3224"/>
      <c r="C2" s="3224"/>
      <c r="D2" s="3225"/>
      <c r="E2" s="3225" t="s">
        <v>37</v>
      </c>
      <c r="F2" s="3225" t="s">
        <v>38</v>
      </c>
      <c r="G2" s="3225"/>
      <c r="H2" s="3225"/>
      <c r="I2" s="3225"/>
      <c r="J2" s="3225" t="s">
        <v>39</v>
      </c>
      <c r="K2" s="3225"/>
      <c r="L2" s="3225"/>
      <c r="M2" s="3225"/>
    </row>
    <row r="3" spans="1:13" ht="28.5">
      <c r="A3" s="3224"/>
      <c r="B3" s="3224"/>
      <c r="C3" s="3224"/>
      <c r="D3" s="3225"/>
      <c r="E3" s="32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5" t="s">
        <v>55</v>
      </c>
      <c r="B9" s="3225"/>
      <c r="C9" s="32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5" t="s">
        <v>1816</v>
      </c>
      <c r="B2" s="3235"/>
      <c r="C2" s="3235"/>
      <c r="D2" s="904" t="s">
        <v>1792</v>
      </c>
      <c r="E2" s="1824" t="s">
        <v>1793</v>
      </c>
      <c r="F2" s="2884"/>
      <c r="G2" s="2875"/>
      <c r="H2" s="2876"/>
      <c r="I2" s="2548" t="s">
        <v>1817</v>
      </c>
      <c r="J2" s="2884"/>
      <c r="K2" s="2884"/>
      <c r="L2" s="2884"/>
      <c r="M2" s="2884"/>
      <c r="N2" s="2886"/>
      <c r="O2" s="2884"/>
      <c r="P2" s="2884"/>
    </row>
    <row r="3" spans="1:16" ht="15.75" thickBot="1">
      <c r="A3" s="3236" t="s">
        <v>1790</v>
      </c>
      <c r="B3" s="3236"/>
      <c r="C3" s="3236"/>
      <c r="D3" s="46">
        <f>'数据-基础表'!AY6</f>
        <v>0</v>
      </c>
      <c r="E3" s="46">
        <f>'数据-基础表'!AZ5</f>
        <v>994.5</v>
      </c>
      <c r="F3" s="2884"/>
      <c r="G3" s="1307"/>
      <c r="H3" s="1157" t="s">
        <v>1791</v>
      </c>
      <c r="I3" s="964" t="e">
        <f>ROUND('数据-基础表'!B3/'数据-基础表'!A3,2)</f>
        <v>#DIV/0!</v>
      </c>
      <c r="J3" s="2884"/>
      <c r="K3" s="2884"/>
      <c r="L3" s="2884"/>
      <c r="M3" s="2884"/>
      <c r="N3" s="2886"/>
      <c r="O3" s="2884"/>
      <c r="P3" s="2884"/>
    </row>
    <row r="4" spans="1:16" ht="15">
      <c r="A4" s="3237"/>
      <c r="B4" s="3238"/>
      <c r="C4" s="3239"/>
      <c r="D4" s="1826" t="s">
        <v>1792</v>
      </c>
      <c r="E4" s="1827"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240" t="s">
        <v>1795</v>
      </c>
      <c r="C5" s="3240"/>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9"/>
      <c r="B6" s="3240" t="s">
        <v>1796</v>
      </c>
      <c r="C6" s="3240"/>
      <c r="D6" s="48">
        <f>ROUND($D$3*E6/$E$3,2)</f>
        <v>0</v>
      </c>
      <c r="E6" s="49">
        <f>E3-E5</f>
        <v>994.5</v>
      </c>
      <c r="F6" s="2884"/>
      <c r="G6" s="2878" t="s">
        <v>1797</v>
      </c>
      <c r="H6" s="1308" t="s">
        <v>1798</v>
      </c>
      <c r="I6" s="2879" t="e">
        <f>ROUND(F31/D31,2)</f>
        <v>#DIV/0!</v>
      </c>
      <c r="J6" s="2884"/>
      <c r="K6" s="2884"/>
      <c r="L6" s="2884"/>
      <c r="M6" s="2884"/>
      <c r="N6" s="2884"/>
      <c r="O6" s="2884"/>
      <c r="P6" s="2884"/>
    </row>
    <row r="7" spans="1:16" ht="15.75" thickBot="1">
      <c r="A7" s="3232"/>
      <c r="B7" s="3233"/>
      <c r="C7" s="3234"/>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0</v>
      </c>
      <c r="E16" s="53">
        <f>SUM(E8:E15)</f>
        <v>994.5</v>
      </c>
      <c r="F16" s="2884"/>
      <c r="G16" s="2885"/>
      <c r="H16" s="1833" t="s">
        <v>1820</v>
      </c>
      <c r="I16" s="1834"/>
      <c r="J16" s="1301"/>
      <c r="K16" s="3229" t="s">
        <v>1820</v>
      </c>
      <c r="L16" s="3230"/>
      <c r="M16" s="3230"/>
      <c r="N16" s="3230"/>
      <c r="O16" s="3230"/>
      <c r="P16" s="3231"/>
    </row>
    <row r="17" spans="1:19" ht="15">
      <c r="A17" s="1835" t="s">
        <v>1821</v>
      </c>
      <c r="B17" s="1836" t="s">
        <v>1822</v>
      </c>
      <c r="C17" s="1837" t="s">
        <v>1823</v>
      </c>
      <c r="D17" s="1838" t="s">
        <v>1811</v>
      </c>
      <c r="E17" s="1839" t="s">
        <v>1812</v>
      </c>
      <c r="F17" s="1840"/>
      <c r="G17" s="1841"/>
      <c r="H17" s="1842" t="s">
        <v>1824</v>
      </c>
      <c r="I17" s="1843" t="s">
        <v>1809</v>
      </c>
      <c r="J17" s="1301"/>
      <c r="K17" s="3226" t="s">
        <v>1825</v>
      </c>
      <c r="L17" s="3227"/>
      <c r="M17" s="3228"/>
      <c r="N17" s="3226" t="s">
        <v>1826</v>
      </c>
      <c r="O17" s="3227"/>
      <c r="P17" s="3228"/>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36" t="s">
        <v>3204</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1843</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3209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1342</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3500</v>
      </c>
      <c r="M6" s="71">
        <f t="shared" ref="M6:M14" si="0">ROUND(K6*L6/10000,0)</f>
        <v>348</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0.05</v>
      </c>
      <c r="X6" s="1171"/>
      <c r="Y6" s="76">
        <f>N6</f>
        <v>0.85</v>
      </c>
      <c r="Z6" s="77"/>
      <c r="AA6" s="70"/>
      <c r="AB6" s="70"/>
      <c r="AC6" s="1171"/>
      <c r="AD6" s="78"/>
      <c r="AE6" s="1172">
        <f ca="1">IF(AN6="",0,SUMIF(INDIRECT("'"&amp;AN6&amp;"'"&amp;"!E:E"),$AE$5,INDIRECT("'"&amp;AN6&amp;"'"&amp;"!F:F")))</f>
        <v>40</v>
      </c>
      <c r="AF6" s="1532"/>
      <c r="AG6" s="143">
        <f>IF(AF6="",0,AE6-AF6)</f>
        <v>0</v>
      </c>
      <c r="AH6" s="79"/>
      <c r="AI6" s="81">
        <v>365</v>
      </c>
      <c r="AJ6" s="82"/>
      <c r="AK6" s="83">
        <v>0.01</v>
      </c>
      <c r="AL6" s="84">
        <v>1E-3</v>
      </c>
      <c r="AM6" s="85">
        <v>0.01</v>
      </c>
      <c r="AN6" s="1901" t="s">
        <v>3189</v>
      </c>
      <c r="AO6" s="55">
        <f ca="1">SUMIF(INDIRECT("'"&amp;AN6&amp;"'"&amp;"!A:A"),"总价",INDIRECT("'"&amp;AN6&amp;"'"&amp;"!B:B"))</f>
        <v>-148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3499</v>
      </c>
      <c r="M16" s="98">
        <f>SUM(M6:M14)</f>
        <v>348</v>
      </c>
      <c r="N16" s="99">
        <f>ROUND(SUMPRODUCT(M6:M14,N6:N14)/M16,3)</f>
        <v>0.85</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f>ROUND(1-(2021-2011)/60,2)</f>
        <v>0.83</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3039</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3210</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1" t="s">
        <v>3029</v>
      </c>
      <c r="B1" s="3242"/>
      <c r="C1" s="3242"/>
      <c r="D1" s="3242"/>
      <c r="E1" s="3242"/>
      <c r="F1" s="3242"/>
      <c r="G1" s="324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39" hidden="1" thickBot="1">
      <c r="A3" s="2667" t="s">
        <v>3027</v>
      </c>
      <c r="B3" s="2689" t="s">
        <v>2998</v>
      </c>
      <c r="C3" s="3143" t="s">
        <v>3281</v>
      </c>
      <c r="D3" s="2690"/>
      <c r="E3" s="2668" t="s">
        <v>3027</v>
      </c>
      <c r="F3" s="2691" t="s">
        <v>2999</v>
      </c>
      <c r="G3" s="2692" t="s">
        <v>3028</v>
      </c>
      <c r="H3" s="907"/>
      <c r="I3" s="907"/>
      <c r="J3" s="907"/>
      <c r="K3" s="907"/>
      <c r="L3" s="907"/>
      <c r="M3" s="907"/>
      <c r="N3" s="907"/>
      <c r="O3" s="907"/>
      <c r="P3" s="907"/>
      <c r="Q3" s="907"/>
      <c r="R3" s="907"/>
    </row>
    <row r="4" spans="1:29" ht="39" thickBot="1">
      <c r="A4" s="2668"/>
      <c r="B4" s="329" t="s">
        <v>3000</v>
      </c>
      <c r="C4" s="3143" t="s">
        <v>3281</v>
      </c>
      <c r="D4" s="2690"/>
      <c r="E4" s="2694"/>
      <c r="F4" s="1557" t="s">
        <v>3001</v>
      </c>
      <c r="G4" s="2695" t="s">
        <v>3002</v>
      </c>
      <c r="H4" s="907"/>
      <c r="I4" s="907"/>
      <c r="J4" s="907"/>
      <c r="K4" s="907"/>
      <c r="L4" s="907"/>
      <c r="M4" s="907"/>
      <c r="N4" s="907"/>
      <c r="O4" s="907"/>
      <c r="P4" s="907"/>
      <c r="Q4" s="907"/>
      <c r="R4" s="907"/>
    </row>
    <row r="5" spans="1:29" ht="36.75" hidden="1">
      <c r="A5" s="2668"/>
      <c r="B5" s="329" t="s">
        <v>3003</v>
      </c>
      <c r="C5" s="2693" t="s">
        <v>3004</v>
      </c>
      <c r="D5" s="2690"/>
      <c r="E5" s="2694"/>
      <c r="F5" s="329" t="s">
        <v>3005</v>
      </c>
      <c r="G5" s="2695" t="s">
        <v>3006</v>
      </c>
      <c r="H5" s="907"/>
      <c r="I5" s="907"/>
      <c r="J5" s="907"/>
      <c r="K5" s="907"/>
      <c r="L5" s="907"/>
      <c r="M5" s="907"/>
      <c r="N5" s="907"/>
      <c r="O5" s="907"/>
      <c r="P5" s="907"/>
      <c r="Q5" s="907"/>
      <c r="R5" s="907"/>
    </row>
    <row r="6" spans="1:29" ht="63.75">
      <c r="A6" s="2668"/>
      <c r="B6" s="329" t="s">
        <v>3007</v>
      </c>
      <c r="C6" s="3144" t="s">
        <v>3283</v>
      </c>
      <c r="D6" s="2690"/>
      <c r="E6" s="2694"/>
      <c r="F6" s="329" t="s">
        <v>3008</v>
      </c>
      <c r="G6" s="2695" t="s">
        <v>3009</v>
      </c>
      <c r="H6" s="907"/>
      <c r="I6" s="907"/>
      <c r="J6" s="907"/>
      <c r="K6" s="907"/>
      <c r="L6" s="907"/>
      <c r="M6" s="907"/>
      <c r="N6" s="907"/>
      <c r="O6" s="907"/>
      <c r="P6" s="907"/>
      <c r="Q6" s="907"/>
      <c r="R6" s="907"/>
    </row>
    <row r="7" spans="1:29" ht="171.75" thickBot="1">
      <c r="A7" s="2668"/>
      <c r="B7" s="329" t="s">
        <v>3005</v>
      </c>
      <c r="C7" s="3146" t="s">
        <v>3285</v>
      </c>
      <c r="D7" s="2696"/>
      <c r="E7" s="2697"/>
      <c r="F7" s="2698" t="s">
        <v>3010</v>
      </c>
      <c r="G7" s="2699" t="s">
        <v>3011</v>
      </c>
      <c r="H7" s="907"/>
      <c r="I7" s="907"/>
      <c r="J7" s="907"/>
      <c r="K7" s="907"/>
      <c r="L7" s="907"/>
      <c r="M7" s="907"/>
      <c r="N7" s="907"/>
      <c r="O7" s="907"/>
      <c r="P7" s="907"/>
      <c r="Q7" s="907"/>
      <c r="R7" s="907"/>
    </row>
    <row r="8" spans="1:29" ht="24.75">
      <c r="A8" s="2668"/>
      <c r="B8" s="329" t="s">
        <v>3008</v>
      </c>
      <c r="C8" s="3146" t="s">
        <v>3282</v>
      </c>
      <c r="D8" s="2696"/>
      <c r="E8" s="2696"/>
      <c r="F8" s="2700"/>
      <c r="G8" s="2700"/>
      <c r="H8" s="907"/>
      <c r="I8" s="907"/>
      <c r="J8" s="907"/>
      <c r="K8" s="907"/>
      <c r="L8" s="907"/>
      <c r="M8" s="907"/>
      <c r="N8" s="907"/>
      <c r="O8" s="907"/>
      <c r="P8" s="907"/>
      <c r="Q8" s="907"/>
      <c r="R8" s="907"/>
    </row>
    <row r="9" spans="1:29" ht="82.5">
      <c r="A9" s="2668"/>
      <c r="B9" s="329" t="s">
        <v>3012</v>
      </c>
      <c r="C9" s="3145" t="s">
        <v>3286</v>
      </c>
      <c r="D9" s="2690"/>
      <c r="E9" s="2696"/>
      <c r="F9" s="2700"/>
      <c r="G9" s="2700"/>
      <c r="H9" s="907"/>
      <c r="I9" s="907"/>
      <c r="J9" s="907"/>
      <c r="K9" s="907"/>
      <c r="L9" s="907"/>
      <c r="M9" s="907"/>
      <c r="N9" s="907"/>
      <c r="O9" s="907"/>
      <c r="P9" s="907"/>
      <c r="Q9" s="907"/>
      <c r="R9" s="907"/>
    </row>
    <row r="10" spans="1:29" s="2705" customFormat="1" ht="24.75" thickBot="1">
      <c r="A10" s="2669"/>
      <c r="B10" s="2701" t="s">
        <v>3013</v>
      </c>
      <c r="C10" s="3147" t="s">
        <v>3284</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3030</v>
      </c>
      <c r="B13" s="2708"/>
      <c r="C13" s="2708"/>
      <c r="D13" s="2706"/>
      <c r="E13" s="2708"/>
      <c r="F13" s="2708"/>
      <c r="G13" s="2708"/>
    </row>
    <row r="14" spans="1:29" ht="15" thickBot="1">
      <c r="A14" s="2718"/>
      <c r="B14" s="2718"/>
      <c r="C14" s="2719" t="s">
        <v>3014</v>
      </c>
      <c r="D14" s="2690"/>
      <c r="E14" s="2720"/>
      <c r="F14" s="2720"/>
      <c r="G14" s="2686" t="s">
        <v>3015</v>
      </c>
    </row>
    <row r="15" spans="1:29" ht="51">
      <c r="A15" s="2670" t="s">
        <v>3016</v>
      </c>
      <c r="B15" s="2721" t="s">
        <v>2998</v>
      </c>
      <c r="C15" s="2722" t="str">
        <f>C3</f>
        <v>估价对象周边有光耀东方广场、西单商场（万方店）、北京长安商场等项目，商业繁华程度较好。</v>
      </c>
      <c r="D15" s="2690"/>
      <c r="E15" s="2671" t="s">
        <v>3017</v>
      </c>
      <c r="F15" s="2721" t="s">
        <v>3018</v>
      </c>
      <c r="G15" s="2723" t="str">
        <f>G3</f>
        <v>估价对象位于XX开发区，园区建设成熟度XX，产业集聚程度XX</v>
      </c>
    </row>
    <row r="16" spans="1:29" ht="51">
      <c r="A16" s="2672"/>
      <c r="B16" s="2724" t="s">
        <v>3000</v>
      </c>
      <c r="C16" s="2725" t="str">
        <f>C4</f>
        <v>估价对象周边有光耀东方广场、西单商场（万方店）、北京长安商场等项目，商业繁华程度较好。</v>
      </c>
      <c r="D16" s="2690"/>
      <c r="E16" s="2673"/>
      <c r="F16" s="2726" t="s">
        <v>3001</v>
      </c>
      <c r="G16" s="2727" t="str">
        <f>G4</f>
        <v>估价对象周边道路状况、公共交通通达情况、停车便捷程度，综合评价交通便捷度较好</v>
      </c>
    </row>
    <row r="17" spans="1:18" ht="38.25">
      <c r="A17" s="2672"/>
      <c r="B17" s="2724" t="s">
        <v>3003</v>
      </c>
      <c r="C17" s="2725" t="str">
        <f>C5</f>
        <v>估价对象位于XX商圈，周边办公楼项目较多，入驻率高，办公集聚程度较好</v>
      </c>
      <c r="D17" s="2696"/>
      <c r="E17" s="2673"/>
      <c r="F17" s="2726" t="s">
        <v>3019</v>
      </c>
      <c r="G17" s="2728"/>
    </row>
    <row r="18" spans="1:18" ht="63.75">
      <c r="A18" s="2672"/>
      <c r="B18" s="2726" t="s">
        <v>3007</v>
      </c>
      <c r="C18" s="2727" t="str">
        <f>C6</f>
        <v>距地铁1、9号线军事博物馆站约400米，距地铁1号线木樨地约900米；周边有1路、21路、65路、85路、78路等多条公交线路经过，交通便捷度好。</v>
      </c>
      <c r="D18" s="2696"/>
      <c r="E18" s="2673"/>
      <c r="F18" s="2726" t="s">
        <v>3010</v>
      </c>
      <c r="G18" s="2727" t="str">
        <f>G7</f>
        <v>该园区内是否有污染型企业，绿化情况，卫生条件，整体环境状况判断</v>
      </c>
    </row>
    <row r="19" spans="1:18" ht="25.5">
      <c r="A19" s="2672"/>
      <c r="B19" s="2726" t="s">
        <v>3020</v>
      </c>
      <c r="C19" s="2728"/>
      <c r="D19" s="2690"/>
      <c r="E19" s="2673"/>
      <c r="F19" s="329" t="s">
        <v>3005</v>
      </c>
      <c r="G19" s="2727" t="str">
        <f>G5</f>
        <v>估价对象所在区域公共配套设施齐备情况</v>
      </c>
    </row>
    <row r="20" spans="1:18" ht="63.75">
      <c r="A20" s="2672"/>
      <c r="B20" s="2726" t="s">
        <v>3021</v>
      </c>
      <c r="C20" s="2725" t="str">
        <f>C9</f>
        <v>自然环境：紫竹院公园、玉渊潭公园、玲珑公园等自然景观；
人文环境：中国人民军事博物馆等人文场所；
综合评价环境状况好。</v>
      </c>
      <c r="D20" s="2696"/>
      <c r="E20" s="2673"/>
      <c r="F20" s="329" t="s">
        <v>3008</v>
      </c>
      <c r="G20" s="2727" t="str">
        <f>G6</f>
        <v>估价对象所在区域基础设施水平</v>
      </c>
    </row>
    <row r="21" spans="1:18" ht="178.5">
      <c r="A21" s="2672"/>
      <c r="B21" s="329" t="s">
        <v>3005</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3022</v>
      </c>
      <c r="G21" s="2729"/>
    </row>
    <row r="22" spans="1:18" ht="13.5" customHeight="1">
      <c r="A22" s="2672"/>
      <c r="B22" s="329" t="s">
        <v>3008</v>
      </c>
      <c r="C22" s="2727" t="str">
        <f>C8</f>
        <v>估价对象所在区域基础设施水平-七通</v>
      </c>
      <c r="D22" s="2690"/>
      <c r="E22" s="2673"/>
      <c r="F22" s="2726" t="s">
        <v>3013</v>
      </c>
      <c r="G22" s="2728"/>
    </row>
    <row r="23" spans="1:18" s="907" customFormat="1" ht="15" thickBot="1">
      <c r="A23" s="2672"/>
      <c r="B23" s="2726" t="s">
        <v>3022</v>
      </c>
      <c r="C23" s="2729"/>
      <c r="D23" s="1927"/>
      <c r="E23" s="2674"/>
      <c r="F23" s="2730" t="s">
        <v>3023</v>
      </c>
      <c r="G23" s="2731"/>
      <c r="H23" s="2715"/>
      <c r="I23" s="2716"/>
      <c r="J23" s="2715"/>
      <c r="K23" s="2715"/>
      <c r="L23" s="2716"/>
      <c r="M23" s="2715"/>
      <c r="N23" s="2715"/>
      <c r="O23" s="2716"/>
      <c r="P23" s="2715"/>
      <c r="Q23" s="2715"/>
      <c r="R23" s="2717"/>
    </row>
    <row r="24" spans="1:18" s="907" customFormat="1" ht="26.25" thickBot="1">
      <c r="A24" s="2675"/>
      <c r="B24" s="2730" t="s">
        <v>3024</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1330</v>
      </c>
      <c r="B1" s="2736">
        <f>SUM(B14:B23)</f>
        <v>994.5</v>
      </c>
      <c r="C1" s="2913"/>
      <c r="D1" s="2913"/>
      <c r="E1" s="2913"/>
      <c r="F1" s="2913"/>
      <c r="G1" s="2914"/>
      <c r="H1" s="2915"/>
      <c r="I1" s="2915"/>
      <c r="J1" s="2915"/>
      <c r="K1" s="2915"/>
    </row>
    <row r="2" spans="1:11" ht="16.5">
      <c r="A2" s="2736" t="s">
        <v>1318</v>
      </c>
      <c r="B2" s="2736">
        <f>SUM(C14:C23)</f>
        <v>0</v>
      </c>
      <c r="C2" s="2913"/>
      <c r="D2" s="2913"/>
      <c r="E2" s="2913"/>
      <c r="F2" s="2913"/>
      <c r="G2" s="2914"/>
      <c r="H2" s="2915"/>
      <c r="I2" s="2915"/>
      <c r="J2" s="2915"/>
      <c r="K2" s="2915"/>
    </row>
    <row r="3" spans="1:11" ht="16.5">
      <c r="A3" s="2736" t="s">
        <v>1327</v>
      </c>
      <c r="B3" s="2738">
        <f>项目基本情况!D3</f>
        <v>44341</v>
      </c>
      <c r="C3" s="2913"/>
      <c r="D3" s="2913"/>
      <c r="E3" s="2913"/>
      <c r="F3" s="2913"/>
      <c r="G3" s="2914"/>
      <c r="H3" s="2915"/>
      <c r="I3" s="2915"/>
      <c r="J3" s="2915"/>
      <c r="K3" s="2915"/>
    </row>
    <row r="4" spans="1:11" ht="33">
      <c r="A4" s="2736" t="s">
        <v>1326</v>
      </c>
      <c r="B4" s="2736" t="s">
        <v>1325</v>
      </c>
      <c r="C4" s="2736" t="s">
        <v>1324</v>
      </c>
      <c r="D4" s="2736" t="s">
        <v>1323</v>
      </c>
      <c r="E4" s="2913"/>
      <c r="F4" s="2914"/>
      <c r="G4" s="2914"/>
      <c r="H4" s="2915"/>
      <c r="I4" s="2915"/>
      <c r="J4" s="2915"/>
      <c r="K4" s="2915"/>
    </row>
    <row r="5" spans="1:11" ht="16.5">
      <c r="A5" s="2736" t="s">
        <v>1322</v>
      </c>
      <c r="B5" s="2736">
        <f>SUM(D14:D23)</f>
        <v>5705</v>
      </c>
      <c r="C5" s="2736">
        <f>ROUND(B5*10000/$B$1,0)</f>
        <v>57366</v>
      </c>
      <c r="D5" s="2736" t="e">
        <f>ROUND(B5*10000/$B$2,0)</f>
        <v>#DIV/0!</v>
      </c>
      <c r="E5" s="2913"/>
      <c r="F5" s="2914"/>
      <c r="G5" s="2914"/>
      <c r="H5" s="2915"/>
      <c r="I5" s="2915"/>
      <c r="J5" s="2915"/>
      <c r="K5" s="2915"/>
    </row>
    <row r="6" spans="1:11" ht="16.5">
      <c r="A6" s="2736" t="s">
        <v>1321</v>
      </c>
      <c r="B6" s="2736">
        <f>SUM(G14:G23)</f>
        <v>5705</v>
      </c>
      <c r="C6" s="2736">
        <f>ROUND(B6*10000/$B$1,0)</f>
        <v>57366</v>
      </c>
      <c r="D6" s="2736" t="e">
        <f>ROUND(B6*10000/$B$2,0)</f>
        <v>#DIV/0!</v>
      </c>
      <c r="E6" s="2913"/>
      <c r="F6" s="2914"/>
      <c r="G6" s="2914"/>
      <c r="H6" s="2915"/>
      <c r="I6" s="2915"/>
      <c r="J6" s="2915"/>
      <c r="K6" s="2915"/>
    </row>
    <row r="7" spans="1:11" ht="16.5">
      <c r="A7" s="2736" t="s">
        <v>1329</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1320</v>
      </c>
      <c r="B9" s="2744"/>
      <c r="C9" s="2913"/>
      <c r="D9" s="2913"/>
      <c r="E9" s="2913"/>
      <c r="F9" s="2914"/>
      <c r="G9" s="2914"/>
      <c r="H9" s="2915"/>
      <c r="I9" s="2915"/>
      <c r="J9" s="2915"/>
      <c r="K9" s="2915"/>
    </row>
    <row r="10" spans="1:11" ht="16.5">
      <c r="A10" s="2736" t="s">
        <v>1319</v>
      </c>
      <c r="B10" s="2744">
        <f>D14</f>
        <v>5705</v>
      </c>
      <c r="C10" s="2913"/>
      <c r="D10" s="2913"/>
      <c r="E10" s="2913"/>
      <c r="F10" s="2914"/>
      <c r="G10" s="2914"/>
      <c r="H10" s="2915"/>
      <c r="I10" s="2915"/>
      <c r="J10" s="2915"/>
      <c r="K10" s="2915"/>
    </row>
    <row r="11" spans="1:11" ht="16.5">
      <c r="A11" s="2736" t="s">
        <v>1335</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1334</v>
      </c>
      <c r="B13" s="2740" t="s">
        <v>1331</v>
      </c>
      <c r="C13" s="2740" t="s">
        <v>1333</v>
      </c>
      <c r="D13" s="2740" t="s">
        <v>1332</v>
      </c>
      <c r="E13" s="2736" t="s">
        <v>1324</v>
      </c>
      <c r="F13" s="2736" t="s">
        <v>1323</v>
      </c>
      <c r="G13" s="2740" t="s">
        <v>1317</v>
      </c>
      <c r="H13" s="2740" t="s">
        <v>1328</v>
      </c>
      <c r="I13" s="2740" t="s">
        <v>1316</v>
      </c>
      <c r="J13" s="2914"/>
      <c r="K13" s="2915"/>
    </row>
    <row r="14" spans="1:11" ht="16.5">
      <c r="A14" s="2741" t="s">
        <v>3287</v>
      </c>
      <c r="B14" s="2742">
        <f>结果表!B118</f>
        <v>994.5</v>
      </c>
      <c r="C14" s="2742">
        <f>结果表!C118</f>
        <v>0</v>
      </c>
      <c r="D14" s="2742">
        <f>'比较法-商业 (2)'!B2</f>
        <v>5705</v>
      </c>
      <c r="E14" s="2742">
        <f>ROUND(D14*10000/B14,0)</f>
        <v>57366</v>
      </c>
      <c r="F14" s="2742" t="e">
        <f>ROUND(D14*10000/C14,0)</f>
        <v>#DIV/0!</v>
      </c>
      <c r="G14" s="2742">
        <f>D14</f>
        <v>5705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77" t="str">
        <f>项目基本情况!S2</f>
        <v>北京市房地产</v>
      </c>
      <c r="B2" s="3278"/>
      <c r="C2" s="3278"/>
      <c r="D2" s="3278"/>
      <c r="E2" s="3278"/>
      <c r="F2" s="3278"/>
      <c r="G2" s="3278"/>
      <c r="H2" s="3278"/>
      <c r="I2" s="3279"/>
    </row>
    <row r="3" spans="1:12" ht="12.75">
      <c r="A3" s="3281" t="s">
        <v>1949</v>
      </c>
      <c r="B3" s="3282"/>
      <c r="C3" s="3282"/>
      <c r="D3" s="3282"/>
      <c r="E3" s="3282"/>
      <c r="F3" s="3282"/>
      <c r="G3" s="3282"/>
      <c r="H3" s="3282"/>
      <c r="I3" s="3282"/>
    </row>
    <row r="4" spans="1:12" ht="14.25">
      <c r="A4" s="1940" t="s">
        <v>1950</v>
      </c>
      <c r="B4" s="1941" t="s">
        <v>1951</v>
      </c>
      <c r="C4" s="1942"/>
      <c r="D4" s="1942"/>
      <c r="E4" s="3283" t="s">
        <v>1952</v>
      </c>
      <c r="F4" s="3284"/>
      <c r="G4" s="3284"/>
      <c r="H4" s="3284"/>
      <c r="I4" s="3285"/>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7" t="s">
        <v>1953</v>
      </c>
      <c r="B5" s="3244">
        <v>25</v>
      </c>
      <c r="C5" s="3260"/>
      <c r="D5" s="3280"/>
      <c r="E5" s="136" t="s">
        <v>1954</v>
      </c>
      <c r="F5" s="1943"/>
      <c r="G5" s="1943"/>
      <c r="H5" s="1943"/>
      <c r="I5" s="1557"/>
    </row>
    <row r="6" spans="1:12" ht="12.75">
      <c r="A6" s="3257"/>
      <c r="B6" s="3244"/>
      <c r="C6" s="3261"/>
      <c r="D6" s="3280"/>
      <c r="E6" s="136" t="s">
        <v>1955</v>
      </c>
      <c r="F6" s="1943"/>
      <c r="G6" s="1943"/>
      <c r="H6" s="1943"/>
      <c r="I6" s="1557"/>
    </row>
    <row r="7" spans="1:12" ht="12.75">
      <c r="A7" s="3257"/>
      <c r="B7" s="3244"/>
      <c r="C7" s="3262"/>
      <c r="D7" s="3280"/>
      <c r="E7" s="136" t="s">
        <v>1956</v>
      </c>
      <c r="F7" s="1943"/>
      <c r="G7" s="1943"/>
      <c r="H7" s="1943"/>
      <c r="I7" s="1557"/>
    </row>
    <row r="8" spans="1:12" ht="12.75">
      <c r="A8" s="3257" t="s">
        <v>1957</v>
      </c>
      <c r="B8" s="3244">
        <v>15</v>
      </c>
      <c r="C8" s="3260"/>
      <c r="D8" s="3280"/>
      <c r="E8" s="136" t="s">
        <v>1958</v>
      </c>
      <c r="F8" s="1943"/>
      <c r="G8" s="1943"/>
      <c r="H8" s="1943"/>
      <c r="I8" s="1557"/>
    </row>
    <row r="9" spans="1:12" ht="12.75">
      <c r="A9" s="3257"/>
      <c r="B9" s="3244"/>
      <c r="C9" s="3262"/>
      <c r="D9" s="3280"/>
      <c r="E9" s="136" t="s">
        <v>1959</v>
      </c>
      <c r="F9" s="1943"/>
      <c r="G9" s="1943"/>
      <c r="H9" s="1943"/>
      <c r="I9" s="1557"/>
    </row>
    <row r="10" spans="1:12" ht="12.75">
      <c r="A10" s="3257" t="s">
        <v>1960</v>
      </c>
      <c r="B10" s="3244">
        <v>15</v>
      </c>
      <c r="C10" s="3260"/>
      <c r="D10" s="3280"/>
      <c r="E10" s="136" t="s">
        <v>1961</v>
      </c>
      <c r="F10" s="1943"/>
      <c r="G10" s="1943"/>
      <c r="H10" s="1943"/>
      <c r="I10" s="1557"/>
    </row>
    <row r="11" spans="1:12" ht="12.75">
      <c r="A11" s="3257"/>
      <c r="B11" s="3244"/>
      <c r="C11" s="3262"/>
      <c r="D11" s="3280"/>
      <c r="E11" s="136" t="s">
        <v>1962</v>
      </c>
      <c r="F11" s="1943"/>
      <c r="G11" s="1943"/>
      <c r="H11" s="1943"/>
      <c r="I11" s="1557"/>
    </row>
    <row r="12" spans="1:12" ht="12.75">
      <c r="A12" s="3257" t="s">
        <v>1963</v>
      </c>
      <c r="B12" s="3244">
        <v>15</v>
      </c>
      <c r="C12" s="3260"/>
      <c r="D12" s="3280"/>
      <c r="E12" s="136" t="s">
        <v>1964</v>
      </c>
      <c r="F12" s="1943"/>
      <c r="G12" s="1943"/>
      <c r="H12" s="1943"/>
      <c r="I12" s="1557"/>
    </row>
    <row r="13" spans="1:12" ht="12.75">
      <c r="A13" s="3257"/>
      <c r="B13" s="3244"/>
      <c r="C13" s="3262"/>
      <c r="D13" s="3280"/>
      <c r="E13" s="136" t="s">
        <v>1965</v>
      </c>
      <c r="F13" s="1943"/>
      <c r="G13" s="1943"/>
      <c r="H13" s="1943"/>
      <c r="I13" s="1557"/>
    </row>
    <row r="14" spans="1:12" ht="12.75">
      <c r="A14" s="3257" t="s">
        <v>1966</v>
      </c>
      <c r="B14" s="3244">
        <v>30</v>
      </c>
      <c r="C14" s="3260"/>
      <c r="D14" s="3280"/>
      <c r="E14" s="136" t="s">
        <v>1967</v>
      </c>
      <c r="F14" s="1943"/>
      <c r="G14" s="1943"/>
      <c r="H14" s="1943"/>
      <c r="I14" s="1557"/>
    </row>
    <row r="15" spans="1:12" ht="12.75">
      <c r="A15" s="3257"/>
      <c r="B15" s="3244"/>
      <c r="C15" s="3261"/>
      <c r="D15" s="3280"/>
      <c r="E15" s="136" t="s">
        <v>1968</v>
      </c>
      <c r="F15" s="1943"/>
      <c r="G15" s="1943"/>
      <c r="H15" s="1943"/>
      <c r="I15" s="1557"/>
    </row>
    <row r="16" spans="1:12" ht="12.75">
      <c r="A16" s="3257"/>
      <c r="B16" s="3244"/>
      <c r="C16" s="3262"/>
      <c r="D16" s="3280"/>
      <c r="E16" s="136" t="s">
        <v>1969</v>
      </c>
      <c r="F16" s="1943"/>
      <c r="G16" s="1943"/>
      <c r="H16" s="1943"/>
      <c r="I16" s="1557"/>
    </row>
    <row r="17" spans="1:36" ht="15">
      <c r="A17" s="1944" t="s">
        <v>1970</v>
      </c>
      <c r="B17" s="60"/>
      <c r="C17" s="137">
        <f>SUM(C5:C16)</f>
        <v>0</v>
      </c>
      <c r="D17" s="137">
        <f>SUM(D5:D16)</f>
        <v>0</v>
      </c>
      <c r="E17" s="134"/>
      <c r="F17" s="134"/>
      <c r="G17" s="134"/>
      <c r="H17" s="134"/>
      <c r="I17" s="134"/>
      <c r="K17" s="308"/>
      <c r="L17" s="308" t="s">
        <v>1971</v>
      </c>
      <c r="M17" s="308" t="s">
        <v>1972</v>
      </c>
    </row>
    <row r="18" spans="1:36" ht="31.9" customHeight="1" thickBot="1">
      <c r="A18" s="1945" t="s">
        <v>1973</v>
      </c>
      <c r="B18" s="1946"/>
      <c r="C18" s="138" t="e">
        <f>ROUND(C17/SUM(C17:D17),2)</f>
        <v>#DIV/0!</v>
      </c>
      <c r="D18" s="138" t="e">
        <f>1-C18</f>
        <v>#DIV/0!</v>
      </c>
      <c r="E18" s="3267" t="s">
        <v>2873</v>
      </c>
      <c r="F18" s="3268"/>
      <c r="G18" s="3268"/>
      <c r="H18" s="3268"/>
      <c r="I18" s="3268"/>
      <c r="K18" s="308" t="s">
        <v>1974</v>
      </c>
      <c r="L18" s="308">
        <f>IF(C1="",'数据-汇总表'!E3,SUMIF(项目类型,C1,'数据-汇总表'!E17:E26)+SUMIF(项目类型,C1,'数据-汇总表'!I17:I26))</f>
        <v>994.5</v>
      </c>
      <c r="M18" s="308">
        <f>IF(C1="",'数据-汇总表'!E3,SUMIF(项目类型,C1,'数据-汇总表'!E17:E26))</f>
        <v>994.5</v>
      </c>
    </row>
    <row r="19" spans="1:36" ht="15">
      <c r="A19" s="1947" t="s">
        <v>1975</v>
      </c>
      <c r="B19" s="1948" t="s">
        <v>1976</v>
      </c>
      <c r="C19" s="139" t="e">
        <f ca="1">SUMIF(INDIRECT("'"&amp;C4&amp;"'"&amp;"!A:A"),结果表!B19,INDIRECT("'"&amp;C4&amp;"'"&amp;"!B:B"))</f>
        <v>#REF!</v>
      </c>
      <c r="D19" s="140" t="e">
        <f ca="1">SUMIF(INDIRECT("'"&amp;D4&amp;"'"&amp;"!A:A"),结果表!B19,INDIRECT("'"&amp;D4&amp;"'"&amp;"!B:B"))</f>
        <v>#REF!</v>
      </c>
      <c r="E19" s="1947" t="s">
        <v>1977</v>
      </c>
      <c r="F19" s="1948" t="s">
        <v>1976</v>
      </c>
      <c r="G19" s="141" t="e">
        <f ca="1">ROUND(C19*$C$18+D19*$D$18,0)</f>
        <v>#REF!</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7" t="s">
        <v>1980</v>
      </c>
      <c r="C20" s="142" t="e">
        <f ca="1">SUMIF(INDIRECT("'"&amp;C4&amp;"'"&amp;"!A:A"),结果表!B20,INDIRECT("'"&amp;C4&amp;"'"&amp;"!B:B"))</f>
        <v>#REF!</v>
      </c>
      <c r="D20" s="143" t="e">
        <f ca="1">SUMIF(INDIRECT("'"&amp;D4&amp;"'"&amp;"!A:A"),结果表!B20,INDIRECT("'"&amp;D4&amp;"'"&amp;"!B:B"))</f>
        <v>#REF!</v>
      </c>
      <c r="E20" s="1950"/>
      <c r="F20" s="1157" t="s">
        <v>1980</v>
      </c>
      <c r="G20" s="144" t="e">
        <f ca="1">ROUND(C20*$C$18+D20*$D$18,0)</f>
        <v>#REF!</v>
      </c>
      <c r="H20" s="917" t="s">
        <v>1981</v>
      </c>
      <c r="I20" s="134"/>
    </row>
    <row r="21" spans="1:36" ht="15" customHeight="1" thickBot="1">
      <c r="A21" s="937"/>
      <c r="B21" s="1951" t="s">
        <v>1982</v>
      </c>
      <c r="C21" s="728" t="e">
        <f ca="1">ROUND(C19*10000/L19,0)</f>
        <v>#REF!</v>
      </c>
      <c r="D21" s="729" t="e">
        <f ca="1">ROUND(D19*10000/L19,0)</f>
        <v>#REF!</v>
      </c>
      <c r="E21" s="937"/>
      <c r="F21" s="1951" t="s">
        <v>1982</v>
      </c>
      <c r="G21" s="145" t="e">
        <f ca="1">ROUND(G19*10000/L19,0)</f>
        <v>#REF!</v>
      </c>
      <c r="H21" s="1952" t="s">
        <v>1981</v>
      </c>
      <c r="I21" s="134"/>
    </row>
    <row r="22" spans="1:36" ht="15" thickBot="1">
      <c r="A22" s="1874" t="s">
        <v>1983</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251" t="s">
        <v>1984</v>
      </c>
      <c r="B24" s="1948" t="s">
        <v>1976</v>
      </c>
      <c r="C24" s="141">
        <f>IF(B30=0,0,D30)</f>
        <v>0</v>
      </c>
      <c r="D24" s="1955"/>
      <c r="E24" s="134"/>
      <c r="F24" s="134"/>
      <c r="G24" s="134"/>
      <c r="H24" s="134"/>
      <c r="I24" s="134"/>
    </row>
    <row r="25" spans="1:36" ht="14.25">
      <c r="A25" s="3252"/>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t="e">
        <f ca="1">IF(D32="总价",G19-C24,G20-C25)</f>
        <v>#REF!</v>
      </c>
      <c r="D32" s="1961"/>
      <c r="E32" s="134"/>
      <c r="F32" s="134"/>
      <c r="G32" s="134"/>
      <c r="H32" s="134"/>
      <c r="I32" s="134"/>
    </row>
    <row r="33" spans="1:15" ht="15">
      <c r="A33" s="894" t="s">
        <v>1991</v>
      </c>
      <c r="B33" s="1962"/>
      <c r="C33" s="1963"/>
      <c r="D33" s="1964"/>
      <c r="E33" s="1965" t="s">
        <v>1992</v>
      </c>
      <c r="F33" s="1966" t="str">
        <f>IF(D32="楼面单价","取值（单价）","取值（总价）")</f>
        <v>取值（总价）</v>
      </c>
      <c r="G33" s="134"/>
      <c r="H33" s="134"/>
      <c r="I33" s="134"/>
    </row>
    <row r="34" spans="1:15" ht="15">
      <c r="A34" s="1967"/>
      <c r="B34" s="1968"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1994</v>
      </c>
      <c r="F34" s="1498"/>
      <c r="G34" s="134"/>
      <c r="H34" s="134"/>
      <c r="I34" s="134"/>
    </row>
    <row r="35" spans="1:15" ht="15.75" thickBot="1">
      <c r="A35" s="1970"/>
      <c r="B35" s="1971"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1996</v>
      </c>
      <c r="F35" s="159"/>
      <c r="G35" s="134"/>
      <c r="H35" s="134"/>
      <c r="I35" s="134"/>
    </row>
    <row r="36" spans="1:15" ht="15.75" thickBot="1">
      <c r="A36" s="3271" t="s">
        <v>1997</v>
      </c>
      <c r="B36" s="1973" t="s">
        <v>1998</v>
      </c>
      <c r="C36" s="150"/>
      <c r="D36" s="1974"/>
      <c r="E36" s="1975"/>
      <c r="F36" s="1976"/>
      <c r="G36" s="134"/>
      <c r="H36" s="134"/>
      <c r="I36" s="134"/>
    </row>
    <row r="37" spans="1:15" ht="15.75" thickBot="1">
      <c r="A37" s="3272"/>
      <c r="B37" s="1860" t="s">
        <v>1999</v>
      </c>
      <c r="C37" s="152"/>
      <c r="D37" s="1301"/>
      <c r="E37" s="1301"/>
      <c r="F37" s="1976"/>
      <c r="G37" s="134"/>
      <c r="H37" s="134"/>
      <c r="I37" s="134"/>
    </row>
    <row r="38" spans="1:15" ht="15.75" thickBot="1">
      <c r="A38" s="3273"/>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8" t="s">
        <v>2011</v>
      </c>
      <c r="B45" s="3249"/>
      <c r="C45" s="3250"/>
      <c r="D45" s="160" t="e">
        <f ca="1">ROUND(H101*F45,0)</f>
        <v>#REF!</v>
      </c>
      <c r="E45" s="161" t="s">
        <v>2012</v>
      </c>
      <c r="F45" s="162">
        <v>1</v>
      </c>
      <c r="G45" s="163" t="s">
        <v>2013</v>
      </c>
      <c r="H45" s="134"/>
      <c r="I45" s="134"/>
      <c r="J45" s="3329" t="s">
        <v>2014</v>
      </c>
      <c r="K45" s="3329"/>
      <c r="L45" s="3329"/>
      <c r="M45" s="3329"/>
      <c r="N45" s="3329"/>
      <c r="O45" s="3329"/>
    </row>
    <row r="46" spans="1:15" ht="14.25" customHeight="1">
      <c r="A46" s="3245" t="s">
        <v>2015</v>
      </c>
      <c r="B46" s="3246"/>
      <c r="C46" s="3246"/>
      <c r="D46" s="3246"/>
      <c r="E46" s="3246"/>
      <c r="F46" s="3246"/>
      <c r="G46" s="3247"/>
      <c r="H46" s="1992"/>
      <c r="I46" s="164"/>
      <c r="J46" s="2747">
        <v>1</v>
      </c>
      <c r="K46" s="3310" t="s">
        <v>2016</v>
      </c>
      <c r="L46" s="3310"/>
      <c r="M46" s="3330"/>
      <c r="N46" s="3330"/>
      <c r="O46" s="3330"/>
    </row>
    <row r="47" spans="1:15" ht="12" customHeight="1">
      <c r="A47" s="165" t="s">
        <v>2017</v>
      </c>
      <c r="B47" s="166"/>
      <c r="C47" s="167"/>
      <c r="D47" s="1247" t="s">
        <v>2018</v>
      </c>
      <c r="E47" s="308" t="s">
        <v>2019</v>
      </c>
      <c r="F47" s="168" t="s">
        <v>2020</v>
      </c>
      <c r="G47" s="2770" t="s">
        <v>2021</v>
      </c>
      <c r="H47" s="2771"/>
      <c r="I47" s="164"/>
      <c r="J47" s="2747">
        <v>2</v>
      </c>
      <c r="K47" s="3310" t="s">
        <v>2022</v>
      </c>
      <c r="L47" s="3310"/>
      <c r="M47" s="3331">
        <f>'数据-取费表'!B2</f>
        <v>44341</v>
      </c>
      <c r="N47" s="3331"/>
      <c r="O47" s="3331"/>
    </row>
    <row r="48" spans="1:15" ht="25.5">
      <c r="A48" s="3276" t="s">
        <v>2023</v>
      </c>
      <c r="B48" s="3259"/>
      <c r="C48" s="3259"/>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2024</v>
      </c>
      <c r="H48" s="2774"/>
      <c r="I48" s="1992"/>
      <c r="J48" s="2747">
        <v>3</v>
      </c>
      <c r="K48" s="3310" t="s">
        <v>2025</v>
      </c>
      <c r="L48" s="3310"/>
      <c r="M48" s="3332" t="e">
        <f ca="1">H101</f>
        <v>#REF!</v>
      </c>
      <c r="N48" s="3332"/>
      <c r="O48" s="3332"/>
    </row>
    <row r="49" spans="1:35" ht="25.5" customHeight="1">
      <c r="A49" s="2556" t="s">
        <v>2026</v>
      </c>
      <c r="B49" s="3243" t="s">
        <v>2027</v>
      </c>
      <c r="C49" s="3243"/>
      <c r="D49" s="1775">
        <v>0</v>
      </c>
      <c r="E49" s="330" t="s">
        <v>2028</v>
      </c>
      <c r="F49" s="2650" t="s">
        <v>34</v>
      </c>
      <c r="G49" s="3316"/>
      <c r="H49" s="2528" t="s">
        <v>2876</v>
      </c>
      <c r="I49" s="2529"/>
      <c r="J49" s="2747">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775"/>
      <c r="B50" s="3243" t="s">
        <v>2029</v>
      </c>
      <c r="C50" s="3243"/>
      <c r="D50" s="2776"/>
      <c r="E50" s="338"/>
      <c r="F50" s="2650"/>
      <c r="G50" s="3317"/>
      <c r="H50" s="2530" t="s">
        <v>2877</v>
      </c>
      <c r="I50" s="2529"/>
      <c r="J50" s="3329" t="s">
        <v>2030</v>
      </c>
      <c r="K50" s="3329"/>
      <c r="L50" s="3329"/>
      <c r="M50" s="3329"/>
      <c r="N50" s="3329"/>
      <c r="O50" s="3329"/>
    </row>
    <row r="51" spans="1:35" ht="20.45" customHeight="1">
      <c r="A51" s="2777"/>
      <c r="B51" s="3243" t="s">
        <v>2031</v>
      </c>
      <c r="C51" s="3243"/>
      <c r="D51" s="1247"/>
      <c r="E51" s="333"/>
      <c r="F51" s="2650"/>
      <c r="G51" s="3318"/>
      <c r="H51" s="2530" t="s">
        <v>2878</v>
      </c>
      <c r="I51" s="2529"/>
      <c r="J51" s="2748" t="s">
        <v>2032</v>
      </c>
      <c r="K51" s="3310" t="s">
        <v>2033</v>
      </c>
      <c r="L51" s="3310"/>
      <c r="M51" s="2748" t="s">
        <v>2034</v>
      </c>
      <c r="N51" s="2748" t="s">
        <v>2035</v>
      </c>
      <c r="O51" s="2748" t="s">
        <v>2036</v>
      </c>
    </row>
    <row r="52" spans="1:35" ht="24" customHeight="1">
      <c r="A52" s="2558" t="s">
        <v>2037</v>
      </c>
      <c r="B52" s="3243" t="s">
        <v>2038</v>
      </c>
      <c r="C52" s="3243"/>
      <c r="D52" s="1247" t="e">
        <f ca="1">ROUND(D45*'数据-取费表'!B41/(1+'数据-取费表'!C42),0)</f>
        <v>#REF!</v>
      </c>
      <c r="E52" s="2557" t="s">
        <v>2039</v>
      </c>
      <c r="F52" s="2778">
        <f>'数据-取费表'!B41</f>
        <v>5.6000000000000001E-2</v>
      </c>
      <c r="G52" s="2779"/>
      <c r="H52" s="2768"/>
      <c r="I52" s="1993"/>
      <c r="J52" s="2747">
        <v>1</v>
      </c>
      <c r="K52" s="3311" t="s">
        <v>2040</v>
      </c>
      <c r="L52" s="3311"/>
      <c r="M52" s="2749" t="b">
        <f>D48</f>
        <v>0</v>
      </c>
      <c r="N52" s="2747" t="str">
        <f>E48</f>
        <v>销售额×税（费）率</v>
      </c>
      <c r="O52" s="2750">
        <f>F48</f>
        <v>5.6000000000000001E-2</v>
      </c>
    </row>
    <row r="53" spans="1:35" ht="12" customHeight="1">
      <c r="A53" s="2558" t="s">
        <v>2041</v>
      </c>
      <c r="B53" s="3269" t="s">
        <v>3034</v>
      </c>
      <c r="C53" s="3270"/>
      <c r="D53" s="1247" t="e">
        <f ca="1">ROUND(D45*'数据-取费表'!B41/(1+'数据-取费表'!C42),0)</f>
        <v>#REF!</v>
      </c>
      <c r="E53" s="2557" t="s">
        <v>2039</v>
      </c>
      <c r="F53" s="2778">
        <f>'数据-取费表'!B41</f>
        <v>5.6000000000000001E-2</v>
      </c>
      <c r="G53" s="2779"/>
      <c r="H53" s="2768"/>
      <c r="I53" s="1993"/>
      <c r="J53" s="2747">
        <v>2</v>
      </c>
      <c r="K53" s="3311" t="s">
        <v>2042</v>
      </c>
      <c r="L53" s="3311"/>
      <c r="M53" s="2749" t="e">
        <f t="shared" ref="M53:O54" ca="1" si="0">D55</f>
        <v>#REF!</v>
      </c>
      <c r="N53" s="2747" t="str">
        <f t="shared" si="0"/>
        <v>销售额×税（费）率</v>
      </c>
      <c r="O53" s="2750" t="str">
        <f t="shared" si="0"/>
        <v>免征</v>
      </c>
    </row>
    <row r="54" spans="1:35" ht="12" customHeight="1">
      <c r="A54" s="2558" t="s">
        <v>2043</v>
      </c>
      <c r="B54" s="3269" t="s">
        <v>3035</v>
      </c>
      <c r="C54" s="3270"/>
      <c r="D54" s="1247" t="e">
        <f ca="1">C68</f>
        <v>#REF!</v>
      </c>
      <c r="E54" s="333" t="s">
        <v>2044</v>
      </c>
      <c r="F54" s="2778">
        <f>'数据-取费表'!B41</f>
        <v>5.6000000000000001E-2</v>
      </c>
      <c r="G54" s="2779"/>
      <c r="H54" s="2780"/>
      <c r="I54" s="1993"/>
      <c r="J54" s="2747">
        <v>3</v>
      </c>
      <c r="K54" s="3311" t="s">
        <v>2045</v>
      </c>
      <c r="L54" s="3311"/>
      <c r="M54" s="2749" t="e">
        <f t="shared" ca="1" si="0"/>
        <v>#REF!</v>
      </c>
      <c r="N54" s="2747" t="str">
        <f t="shared" si="0"/>
        <v>增值额×税（费）率</v>
      </c>
      <c r="O54" s="2751" t="str">
        <f t="shared" si="0"/>
        <v>免征</v>
      </c>
    </row>
    <row r="55" spans="1:35" ht="24" customHeight="1">
      <c r="A55" s="3258" t="s">
        <v>2046</v>
      </c>
      <c r="B55" s="3259"/>
      <c r="C55" s="3259"/>
      <c r="D55" s="2547" t="e">
        <f ca="1">IF(H55="个人住宅",0,ROUND(D45*I55,0))</f>
        <v>#REF!</v>
      </c>
      <c r="E55" s="2557" t="s">
        <v>2047</v>
      </c>
      <c r="F55" s="2778" t="str">
        <f>IF(H55="正常",I55,"免征")</f>
        <v>免征</v>
      </c>
      <c r="G55" s="2779"/>
      <c r="H55" s="2774"/>
      <c r="I55" s="170">
        <f>'数据-取费表'!B49</f>
        <v>5.0000000000000001E-4</v>
      </c>
      <c r="J55" s="2747">
        <f>IF(H59="非个人房产","",4)</f>
        <v>4</v>
      </c>
      <c r="K55" s="3311" t="str">
        <f>IF(H59="非个人房产","——","个人所得税")</f>
        <v>个人所得税</v>
      </c>
      <c r="L55" s="3311"/>
      <c r="M55" s="2752" t="e">
        <f ca="1">D59</f>
        <v>#REF!</v>
      </c>
      <c r="N55" s="2228" t="str">
        <f>E59</f>
        <v>差额计税</v>
      </c>
      <c r="O55" s="2753">
        <f>F59</f>
        <v>0.01</v>
      </c>
    </row>
    <row r="56" spans="1:35" ht="24.75">
      <c r="A56" s="3258" t="s">
        <v>2048</v>
      </c>
      <c r="B56" s="3259"/>
      <c r="C56" s="3259"/>
      <c r="D56" s="2547" t="e">
        <f ca="1">IF(H56="个人住宅",D57,D58)</f>
        <v>#REF!</v>
      </c>
      <c r="E56" s="2557" t="s">
        <v>2049</v>
      </c>
      <c r="F56" s="2778" t="str">
        <f>IF(H56="正常",F58,"免征")</f>
        <v>免征</v>
      </c>
      <c r="G56" s="2781" t="s">
        <v>2050</v>
      </c>
      <c r="H56" s="2782"/>
      <c r="I56" s="1994"/>
      <c r="J56" s="2747" t="str">
        <f>IF(项目基本情况!K6="上海银行",IF(J55="",4,J55+1),"")</f>
        <v/>
      </c>
      <c r="K56" s="3334" t="str">
        <f>IF(项目基本情况!K6="上海银行","其他处置费用","")</f>
        <v/>
      </c>
      <c r="L56" s="3335"/>
      <c r="M56" s="2749" t="str">
        <f>IF(项目基本情况!K6="上海银行",M69,"")</f>
        <v/>
      </c>
      <c r="N56" s="3334" t="str">
        <f>IF(项目基本情况!K6="上海银行","包含处置中涉及的律师、诉讼、拍卖、评估等费用","")</f>
        <v/>
      </c>
      <c r="O56" s="3337"/>
    </row>
    <row r="57" spans="1:35" ht="12.75">
      <c r="A57" s="2558" t="s">
        <v>2026</v>
      </c>
      <c r="B57" s="3269" t="s">
        <v>2051</v>
      </c>
      <c r="C57" s="3270"/>
      <c r="D57" s="1775">
        <v>0</v>
      </c>
      <c r="E57" s="330" t="s">
        <v>2028</v>
      </c>
      <c r="F57" s="308"/>
      <c r="G57" s="2779"/>
      <c r="H57" s="2783"/>
      <c r="I57" s="1994"/>
      <c r="J57" s="3311">
        <f>IF(AND(J55="",J56=""),4,IF(项目基本情况!K6="上海银行",结果表!J56+1,结果表!J55+1))</f>
        <v>5</v>
      </c>
      <c r="K57" s="3311" t="s">
        <v>2052</v>
      </c>
      <c r="L57" s="2754" t="s">
        <v>2053</v>
      </c>
      <c r="M57" s="2755"/>
      <c r="N57" s="2756">
        <f ca="1">SUMIF(M52:M56,"&lt;9e307")</f>
        <v>0</v>
      </c>
      <c r="O57" s="2757"/>
      <c r="P57" s="2917" t="e">
        <f ca="1">N57/M49</f>
        <v>#VALUE!</v>
      </c>
    </row>
    <row r="58" spans="1:35" ht="24.75">
      <c r="A58" s="2558" t="s">
        <v>2037</v>
      </c>
      <c r="B58" s="3269" t="s">
        <v>2054</v>
      </c>
      <c r="C58" s="3243"/>
      <c r="D58" s="2547" t="e">
        <f ca="1">IF(H58="转让取得",C81,C97)</f>
        <v>#REF!</v>
      </c>
      <c r="E58" s="2557" t="s">
        <v>2049</v>
      </c>
      <c r="F58" s="308" t="s">
        <v>34</v>
      </c>
      <c r="G58" s="2779"/>
      <c r="H58" s="2782"/>
      <c r="I58" s="1994"/>
      <c r="J58" s="3311"/>
      <c r="K58" s="3311"/>
      <c r="L58" s="2754" t="s">
        <v>2055</v>
      </c>
      <c r="M58" s="2758"/>
      <c r="N58" s="2759" t="str">
        <f ca="1">NUMBERSTRING(INT(N57*10000),2)&amp;"元整"</f>
        <v>零元整</v>
      </c>
      <c r="O58" s="2760"/>
    </row>
    <row r="59" spans="1:35" ht="24.75" thickBot="1">
      <c r="A59" s="3314" t="s">
        <v>2056</v>
      </c>
      <c r="B59" s="3315"/>
      <c r="C59" s="3315"/>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2"/>
      <c r="I59" s="2531" t="s">
        <v>2879</v>
      </c>
      <c r="J59" s="3312">
        <f>J57+1</f>
        <v>6</v>
      </c>
      <c r="K59" s="3311" t="s">
        <v>2057</v>
      </c>
      <c r="L59" s="2747" t="s">
        <v>2053</v>
      </c>
      <c r="M59" s="2761"/>
      <c r="N59" s="2762" t="e">
        <f ca="1">M49-N57</f>
        <v>#VALUE!</v>
      </c>
      <c r="O59" s="2763"/>
    </row>
    <row r="60" spans="1:35" ht="12" customHeight="1">
      <c r="A60" s="1995"/>
      <c r="B60" s="1933"/>
      <c r="C60" s="1933"/>
      <c r="D60" s="1933"/>
      <c r="E60" s="1763"/>
      <c r="F60" s="1994"/>
      <c r="G60" s="1994"/>
      <c r="H60" s="1996"/>
      <c r="I60" s="134"/>
      <c r="J60" s="3313"/>
      <c r="K60" s="3311"/>
      <c r="L60" s="2754" t="s">
        <v>2055</v>
      </c>
      <c r="M60" s="2758"/>
      <c r="N60" s="2759" t="e">
        <f ca="1">NUMBERSTRING(INT(N59*10000),2)&amp;"元整"</f>
        <v>#VALUE!</v>
      </c>
      <c r="O60" s="2760"/>
    </row>
    <row r="61" spans="1:35" ht="13.5" thickBot="1">
      <c r="A61" s="3256" t="s">
        <v>2058</v>
      </c>
      <c r="B61" s="3256"/>
      <c r="C61" s="3256"/>
      <c r="D61" s="3256"/>
      <c r="E61" s="3256"/>
      <c r="F61" s="1994"/>
      <c r="G61" s="1994"/>
      <c r="H61" s="1996"/>
      <c r="I61" s="134"/>
      <c r="J61" s="2747">
        <f>J59+1</f>
        <v>7</v>
      </c>
      <c r="K61" s="3311" t="s">
        <v>2059</v>
      </c>
      <c r="L61" s="3311"/>
      <c r="M61" s="2764"/>
      <c r="N61" s="2765" t="e">
        <f ca="1">ROUND(N59*10000/'数据-汇总表'!E3,0)</f>
        <v>#VALUE!</v>
      </c>
      <c r="O61" s="2766"/>
    </row>
    <row r="62" spans="1:35" ht="12.75">
      <c r="A62" s="3274" t="s">
        <v>2060</v>
      </c>
      <c r="B62" s="3275"/>
      <c r="C62" s="2209"/>
      <c r="D62" s="2209" t="s">
        <v>2061</v>
      </c>
      <c r="E62" s="171" t="s">
        <v>2062</v>
      </c>
      <c r="F62" s="1994"/>
      <c r="G62" s="1994"/>
      <c r="H62" s="1996"/>
      <c r="I62" s="134"/>
    </row>
    <row r="63" spans="1:35" ht="12.75">
      <c r="A63" s="178" t="s">
        <v>775</v>
      </c>
      <c r="B63" s="172" t="s">
        <v>2063</v>
      </c>
      <c r="C63" s="2788" t="e">
        <f ca="1">ROUND((C64+C65)/(1+'数据-取费表'!C42),0)</f>
        <v>#REF!</v>
      </c>
      <c r="D63" s="172"/>
      <c r="E63" s="173"/>
      <c r="F63" s="1994"/>
      <c r="G63" s="1994"/>
      <c r="H63" s="1996"/>
      <c r="I63" s="134"/>
      <c r="J63" s="3336" t="s">
        <v>2064</v>
      </c>
      <c r="K63" s="1501" t="s">
        <v>2065</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2066</v>
      </c>
      <c r="C64" s="2789" t="e">
        <f ca="1">D45</f>
        <v>#REF!</v>
      </c>
      <c r="D64" s="175" t="s">
        <v>32</v>
      </c>
      <c r="E64" s="177"/>
      <c r="F64" s="1994"/>
      <c r="G64" s="1994"/>
      <c r="H64" s="1996"/>
      <c r="I64" s="134"/>
      <c r="J64" s="3336"/>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2068</v>
      </c>
      <c r="Z64" s="1938"/>
      <c r="AI64" s="1939"/>
    </row>
    <row r="65" spans="1:35" ht="14.25" customHeight="1">
      <c r="A65" s="174" t="s">
        <v>771</v>
      </c>
      <c r="B65" s="175" t="s">
        <v>2069</v>
      </c>
      <c r="C65" s="2790"/>
      <c r="D65" s="175"/>
      <c r="E65" s="177"/>
      <c r="F65" s="1994"/>
      <c r="G65" s="1994"/>
      <c r="H65" s="1996"/>
      <c r="I65" s="134"/>
      <c r="J65" s="3336"/>
      <c r="K65" s="1501" t="s">
        <v>2070</v>
      </c>
      <c r="L65" s="1501" t="e">
        <f>IF(M49&gt;1000,M49*0.1%,IF(AND(M49&gt;500,M49&lt;=1000),M49*0.5%,IF(AND(M49&gt;50,M49&lt;=500),M49*1%,IF(AND(M49&gt;1,M49&lt;=50),M49*1.5%))))</f>
        <v>#VALUE!</v>
      </c>
      <c r="M65" s="308" t="e">
        <f t="shared" si="1"/>
        <v>#VALUE!</v>
      </c>
      <c r="N65" s="2768" t="s">
        <v>2068</v>
      </c>
      <c r="Z65" s="1938"/>
      <c r="AI65" s="1939"/>
    </row>
    <row r="66" spans="1:35" ht="14.25" customHeight="1">
      <c r="A66" s="178" t="s">
        <v>772</v>
      </c>
      <c r="B66" s="179" t="s">
        <v>2071</v>
      </c>
      <c r="C66" s="2791"/>
      <c r="D66" s="179" t="s">
        <v>32</v>
      </c>
      <c r="E66" s="1509" t="s">
        <v>1336</v>
      </c>
      <c r="F66" s="1994"/>
      <c r="G66" s="1994"/>
      <c r="H66" s="1996"/>
      <c r="I66" s="134"/>
      <c r="J66" s="3336"/>
      <c r="K66" s="1501" t="s">
        <v>2072</v>
      </c>
      <c r="L66" s="1501" t="e">
        <f>M49*0.5%</f>
        <v>#VALUE!</v>
      </c>
      <c r="M66" s="308" t="e">
        <f>IF(L66&gt;0.5,0.5,ROUND(L66,0))</f>
        <v>#VALUE!</v>
      </c>
      <c r="N66" s="2768" t="s">
        <v>2073</v>
      </c>
      <c r="Z66" s="1938"/>
      <c r="AI66" s="1939"/>
    </row>
    <row r="67" spans="1:35" ht="14.25" customHeight="1">
      <c r="A67" s="178" t="s">
        <v>773</v>
      </c>
      <c r="B67" s="179" t="s">
        <v>2074</v>
      </c>
      <c r="C67" s="2792" t="e">
        <f ca="1">C63-C66</f>
        <v>#REF!</v>
      </c>
      <c r="D67" s="175" t="s">
        <v>32</v>
      </c>
      <c r="E67" s="177"/>
      <c r="F67" s="1994"/>
      <c r="G67" s="1994"/>
      <c r="H67" s="1996"/>
      <c r="I67" s="134"/>
      <c r="J67" s="3336"/>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2076</v>
      </c>
      <c r="C68" s="2793" t="e">
        <f ca="1">IF(C67&lt;=0,0,ROUND(C67*D68,0))</f>
        <v>#REF!</v>
      </c>
      <c r="D68" s="2794">
        <f>'数据-取费表'!B41</f>
        <v>5.6000000000000001E-2</v>
      </c>
      <c r="E68" s="184"/>
      <c r="F68" s="1994"/>
      <c r="G68" s="1994"/>
      <c r="H68" s="1996"/>
      <c r="I68" s="134"/>
      <c r="J68" s="3336"/>
      <c r="K68" s="1501" t="s">
        <v>2077</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336"/>
      <c r="K69" s="1501" t="s">
        <v>2078</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5" t="s">
        <v>2079</v>
      </c>
      <c r="B70" s="3296"/>
      <c r="C70" s="3296"/>
      <c r="D70" s="3296"/>
      <c r="E70" s="3296"/>
      <c r="F70" s="3296"/>
      <c r="G70" s="3296"/>
      <c r="H70" s="3296"/>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74" t="s">
        <v>2060</v>
      </c>
      <c r="B71" s="3275"/>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69" t="s">
        <v>2087</v>
      </c>
      <c r="F76" s="3243"/>
      <c r="G76" s="3243"/>
      <c r="H76" s="329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t="e">
        <f ca="1">ROUND(D45*D78/(1+'数据-取费表'!C42),0)</f>
        <v>#REF!</v>
      </c>
      <c r="D78" s="2801">
        <f>'数据-取费表'!B43</f>
        <v>6.000000000000001E-3</v>
      </c>
      <c r="E78" s="3253" t="s">
        <v>2091</v>
      </c>
      <c r="F78" s="3254"/>
      <c r="G78" s="3254"/>
      <c r="H78" s="326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5" t="s">
        <v>2095</v>
      </c>
      <c r="B83" s="3296"/>
      <c r="C83" s="3296"/>
      <c r="D83" s="3296"/>
      <c r="E83" s="3296"/>
      <c r="F83" s="3296"/>
      <c r="G83" s="3296"/>
      <c r="H83" s="329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74" t="s">
        <v>2060</v>
      </c>
      <c r="B84" s="3275"/>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c r="D88" s="2801"/>
      <c r="E88" s="199" t="s">
        <v>2098</v>
      </c>
      <c r="F88" s="2550"/>
      <c r="G88" s="200" t="s">
        <v>2099</v>
      </c>
      <c r="H88" s="2010"/>
      <c r="I88" s="2007"/>
      <c r="J88" s="274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0</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c r="D90" s="2801"/>
      <c r="E90" s="199" t="str">
        <f>IF(H88="-","土地取得成本中已包含该笔费用"," ")</f>
        <v xml:space="preserve"> </v>
      </c>
      <c r="F90" s="2550"/>
      <c r="G90" s="3338" t="s">
        <v>2871</v>
      </c>
      <c r="H90" s="3339"/>
      <c r="I90" s="2007"/>
      <c r="J90" s="274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IF(H91="——",成本法!C33,I91)</f>
        <v>0</v>
      </c>
      <c r="D91" s="2801"/>
      <c r="E91" s="3253" t="s">
        <v>2104</v>
      </c>
      <c r="F91" s="3254"/>
      <c r="G91" s="325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ROUND((C87+C90+C91)*D92,0)</f>
        <v>0</v>
      </c>
      <c r="D92" s="2807"/>
      <c r="E92" s="3253" t="s">
        <v>2107</v>
      </c>
      <c r="F92" s="3254"/>
      <c r="G92" s="3254"/>
      <c r="H92" s="3263"/>
      <c r="I92" s="2007"/>
      <c r="J92" s="274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t="e">
        <f ca="1">ROUND(D45*D93/(1+'数据-取费表'!C42),0)</f>
        <v>#REF!</v>
      </c>
      <c r="D93" s="2801">
        <f>'数据-取费表'!B43</f>
        <v>6.000000000000001E-3</v>
      </c>
      <c r="E93" s="3253" t="s">
        <v>2091</v>
      </c>
      <c r="F93" s="3254"/>
      <c r="G93" s="3254"/>
      <c r="H93" s="326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ROUND((C87+C90+C91)*D94,0)</f>
        <v>0</v>
      </c>
      <c r="D94" s="2801">
        <v>0.2</v>
      </c>
      <c r="E94" s="3264" t="s">
        <v>2111</v>
      </c>
      <c r="F94" s="3265"/>
      <c r="G94" s="3265"/>
      <c r="H94" s="326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7" t="s">
        <v>2113</v>
      </c>
      <c r="B100" s="3238"/>
      <c r="C100" s="3238"/>
      <c r="D100" s="3255"/>
      <c r="E100" s="3238" t="s">
        <v>2114</v>
      </c>
      <c r="F100" s="3238"/>
      <c r="G100" s="3238"/>
      <c r="H100" s="3255"/>
      <c r="I100" s="134"/>
    </row>
    <row r="101" spans="1:35" ht="18.75" customHeight="1">
      <c r="A101" s="3319" t="s">
        <v>2115</v>
      </c>
      <c r="B101" s="3320"/>
      <c r="C101" s="2809">
        <f>C4</f>
        <v>0</v>
      </c>
      <c r="D101" s="2810">
        <f>D4</f>
        <v>0</v>
      </c>
      <c r="E101" s="3333" t="s">
        <v>2116</v>
      </c>
      <c r="F101" s="3287"/>
      <c r="G101" s="2013" t="s">
        <v>2117</v>
      </c>
      <c r="H101" s="2819" t="e">
        <f ca="1">H118</f>
        <v>#REF!</v>
      </c>
      <c r="I101" s="134"/>
    </row>
    <row r="102" spans="1:35" ht="18.75" customHeight="1">
      <c r="A102" s="3289" t="s">
        <v>2118</v>
      </c>
      <c r="B102" s="2808" t="s">
        <v>2117</v>
      </c>
      <c r="C102" s="2809" t="e">
        <f ca="1">C19</f>
        <v>#REF!</v>
      </c>
      <c r="D102" s="2810" t="e">
        <f ca="1">D19</f>
        <v>#REF!</v>
      </c>
      <c r="E102" s="3333"/>
      <c r="F102" s="3287"/>
      <c r="G102" s="2013" t="s">
        <v>2119</v>
      </c>
      <c r="H102" s="2779" t="e">
        <f ca="1">I118</f>
        <v>#REF!</v>
      </c>
      <c r="I102" s="134"/>
    </row>
    <row r="103" spans="1:35" ht="42.75" customHeight="1">
      <c r="A103" s="3289"/>
      <c r="B103" s="2808" t="s">
        <v>2119</v>
      </c>
      <c r="C103" s="2811" t="e">
        <f ca="1">C20</f>
        <v>#REF!</v>
      </c>
      <c r="D103" s="2812" t="e">
        <f ca="1">D20</f>
        <v>#REF!</v>
      </c>
      <c r="E103" s="3327" t="s">
        <v>2120</v>
      </c>
      <c r="F103" s="3328"/>
      <c r="G103" s="2014" t="s">
        <v>2121</v>
      </c>
      <c r="H103" s="2819">
        <f>IF(D36="正常操作",H104+H105+H106,H105+H106)</f>
        <v>0</v>
      </c>
      <c r="I103" s="134"/>
    </row>
    <row r="104" spans="1:35" ht="18.75" customHeight="1">
      <c r="A104" s="3289" t="s">
        <v>2122</v>
      </c>
      <c r="B104" s="2813" t="s">
        <v>2117</v>
      </c>
      <c r="C104" s="2814" t="e">
        <f ca="1">H118</f>
        <v>#REF!</v>
      </c>
      <c r="D104" s="2815"/>
      <c r="E104" s="1860" t="s">
        <v>2123</v>
      </c>
      <c r="F104" s="1851"/>
      <c r="G104" s="2014" t="s">
        <v>2121</v>
      </c>
      <c r="H104" s="2820">
        <f>IF(D36="同一抵押权人同一抵押物续贷",C36&amp;"（续贷，未扣减，详见特别提示）",C36)</f>
        <v>0</v>
      </c>
      <c r="I104" s="134"/>
    </row>
    <row r="105" spans="1:35" ht="18.75" customHeight="1" thickBot="1">
      <c r="A105" s="3290"/>
      <c r="B105" s="2816" t="s">
        <v>2119</v>
      </c>
      <c r="C105" s="2817" t="e">
        <f ca="1">I118</f>
        <v>#REF!</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86" t="str">
        <f>IF(项目基本情况!E8="已注销","——","3.房地产抵押价值")</f>
        <v>3.房地产抵押价值</v>
      </c>
      <c r="F107" s="3287"/>
      <c r="G107" s="2013" t="s">
        <v>2117</v>
      </c>
      <c r="H107" s="2819" t="e">
        <f ca="1">IF(E107="——","——",H101-H103)</f>
        <v>#REF!</v>
      </c>
      <c r="I107" s="134"/>
    </row>
    <row r="108" spans="1:35" ht="18.75" customHeight="1">
      <c r="A108" s="134"/>
      <c r="B108" s="134"/>
      <c r="C108" s="134"/>
      <c r="D108" s="134"/>
      <c r="E108" s="3286"/>
      <c r="F108" s="3287"/>
      <c r="G108" s="2013" t="s">
        <v>2119</v>
      </c>
      <c r="H108" s="2779" t="e">
        <f ca="1">ROUND(H107*10000/'数据-汇总表'!E3,0)</f>
        <v>#REF!</v>
      </c>
      <c r="I108" s="134"/>
    </row>
    <row r="109" spans="1:35" ht="18.75" customHeight="1">
      <c r="A109" s="134"/>
      <c r="B109" s="134"/>
      <c r="C109" s="134"/>
      <c r="D109" s="134"/>
      <c r="E109" s="3286" t="str">
        <f>IF(项目基本情况!E8="已注销及未注销","4.抵押担保权已注销时的房地产抵押价值",IF(项目基本情况!E8="已注销","3.抵押担保权已注销时的房地产抵押价值","——"))</f>
        <v>——</v>
      </c>
      <c r="F109" s="3287"/>
      <c r="G109" s="2013" t="s">
        <v>2117</v>
      </c>
      <c r="H109" s="2822" t="str">
        <f>IF(E109="——","——",H101-H105-H106)</f>
        <v>——</v>
      </c>
      <c r="I109" s="134"/>
    </row>
    <row r="110" spans="1:35" ht="18.75" customHeight="1">
      <c r="A110" s="134"/>
      <c r="B110" s="134"/>
      <c r="C110" s="134"/>
      <c r="D110" s="134"/>
      <c r="E110" s="3286"/>
      <c r="F110" s="3287"/>
      <c r="G110" s="2013" t="s">
        <v>2119</v>
      </c>
      <c r="H110" s="2779" t="str">
        <f>IF(H109="——","——",ROUND(H109*10000/'数据-汇总表'!E3,0))</f>
        <v>——</v>
      </c>
      <c r="I110" s="134"/>
    </row>
    <row r="111" spans="1:35" ht="18.75" customHeight="1">
      <c r="A111" s="134"/>
      <c r="B111" s="134"/>
      <c r="C111" s="134"/>
      <c r="D111" s="134"/>
      <c r="E111" s="3321" t="str">
        <f>IF(项目基本情况!E9="抵押净值",IF(OR(项目基本情况!E8="已注销",项目基本情况!E8="房地产抵押价值"),"4.抵押净值","5.抵押净值"),"——")</f>
        <v>——</v>
      </c>
      <c r="F111" s="3288"/>
      <c r="G111" s="2013" t="s">
        <v>2117</v>
      </c>
      <c r="H111" s="2819" t="str">
        <f>IF(E111="——","——",N59)</f>
        <v>——</v>
      </c>
      <c r="I111" s="134"/>
    </row>
    <row r="112" spans="1:35" ht="18.75" customHeight="1" thickBot="1">
      <c r="A112" s="134"/>
      <c r="B112" s="134"/>
      <c r="C112" s="134"/>
      <c r="D112" s="134"/>
      <c r="E112" s="3322"/>
      <c r="F112" s="3323"/>
      <c r="G112" s="2016" t="s">
        <v>2119</v>
      </c>
      <c r="H112" s="2823" t="str">
        <f>IF(E111="——","——",N61)</f>
        <v>——</v>
      </c>
      <c r="I112" s="134"/>
    </row>
    <row r="113" spans="1:27" ht="18.75" customHeight="1">
      <c r="A113" s="134"/>
      <c r="B113" s="134"/>
      <c r="C113" s="134"/>
      <c r="D113" s="134"/>
      <c r="E113" s="3291" t="s">
        <v>2125</v>
      </c>
      <c r="F113" s="3291"/>
      <c r="G113" s="3291"/>
      <c r="H113" s="3291"/>
      <c r="I113" s="134"/>
    </row>
    <row r="114" spans="1:27" ht="3.75" customHeight="1">
      <c r="A114" s="1933"/>
      <c r="B114" s="1933"/>
      <c r="C114" s="1933"/>
      <c r="D114" s="1933"/>
      <c r="E114" s="1995"/>
      <c r="F114" s="1995"/>
      <c r="G114" s="1995"/>
      <c r="H114" s="1995"/>
      <c r="I114" s="1933"/>
    </row>
    <row r="115" spans="1:27" ht="18.75" customHeight="1">
      <c r="A115" s="3304" t="s">
        <v>2127</v>
      </c>
      <c r="B115" s="3305"/>
      <c r="C115" s="3305"/>
      <c r="D115" s="3305"/>
      <c r="E115" s="3305"/>
      <c r="F115" s="3305"/>
      <c r="G115" s="3305"/>
      <c r="H115" s="3305"/>
      <c r="I115" s="3306"/>
    </row>
    <row r="116" spans="1:27" ht="27" customHeight="1">
      <c r="A116" s="3257" t="s">
        <v>2128</v>
      </c>
      <c r="B116" s="3292" t="s">
        <v>2129</v>
      </c>
      <c r="C116" s="3292" t="s">
        <v>2130</v>
      </c>
      <c r="D116" s="3308" t="s">
        <v>2131</v>
      </c>
      <c r="E116" s="3309"/>
      <c r="F116" s="3300" t="s">
        <v>2132</v>
      </c>
      <c r="G116" s="3300"/>
      <c r="H116" s="3257" t="s">
        <v>2133</v>
      </c>
      <c r="I116" s="3257"/>
    </row>
    <row r="117" spans="1:27" ht="18.75" customHeight="1">
      <c r="A117" s="3257"/>
      <c r="B117" s="3293"/>
      <c r="C117" s="3293"/>
      <c r="D117" s="2552" t="s">
        <v>2134</v>
      </c>
      <c r="E117" s="2552" t="s">
        <v>2135</v>
      </c>
      <c r="F117" s="2552" t="s">
        <v>2134</v>
      </c>
      <c r="G117" s="2552" t="s">
        <v>2136</v>
      </c>
      <c r="H117" s="2552" t="s">
        <v>2134</v>
      </c>
      <c r="I117" s="2552" t="s">
        <v>2136</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7" t="s">
        <v>2137</v>
      </c>
      <c r="B119" s="3257"/>
      <c r="C119" s="3257"/>
      <c r="D119" s="3297" t="e">
        <f ca="1">NUMBERSTRING(INT(D118*10000),2)&amp;"元整"</f>
        <v>#REF!</v>
      </c>
      <c r="E119" s="3299"/>
      <c r="F119" s="3297" t="e">
        <f ca="1">NUMBERSTRING(INT(F118*10000),2)&amp;"元整"</f>
        <v>#REF!</v>
      </c>
      <c r="G119" s="3299"/>
      <c r="H119" s="3297" t="e">
        <f ca="1">NUMBERSTRING(INT(H118*10000),2)&amp;"元整"</f>
        <v>#REF!</v>
      </c>
      <c r="I119" s="3299"/>
    </row>
    <row r="120" spans="1:27" ht="18.75" customHeight="1">
      <c r="A120" s="3324" t="str">
        <f>IF(项目基本情况!B9="房地产市场价值","",MID(E103,3,LEN(E103)-2))</f>
        <v/>
      </c>
      <c r="B120" s="3325"/>
      <c r="C120" s="3326"/>
      <c r="D120" s="3324">
        <f>H103</f>
        <v>0</v>
      </c>
      <c r="E120" s="3325"/>
      <c r="F120" s="3325"/>
      <c r="G120" s="3325"/>
      <c r="H120" s="3325"/>
      <c r="I120" s="3326"/>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1" t="s">
        <v>2137</v>
      </c>
      <c r="B121" s="3302"/>
      <c r="C121" s="3303"/>
      <c r="D121" s="3297" t="str">
        <f>IF(D120=0,"零元整",NUMBERSTRING(INT(D120*10000),2)&amp;"元整")</f>
        <v>零元整</v>
      </c>
      <c r="E121" s="3298"/>
      <c r="F121" s="3298"/>
      <c r="G121" s="3298"/>
      <c r="H121" s="3298"/>
      <c r="I121" s="3299"/>
      <c r="AA121" s="734"/>
    </row>
    <row r="122" spans="1:27" ht="18.75" customHeight="1">
      <c r="A122" s="3288" t="str">
        <f>IF(项目基本情况!B9="房地产市场价值","",MID(E107,3,LEN(E107)-2))</f>
        <v/>
      </c>
      <c r="B122" s="3288"/>
      <c r="C122" s="3288"/>
      <c r="D122" s="3324" t="e">
        <f ca="1">H107</f>
        <v>#REF!</v>
      </c>
      <c r="E122" s="3325"/>
      <c r="F122" s="3325"/>
      <c r="G122" s="3325"/>
      <c r="H122" s="3325"/>
      <c r="I122" s="3326"/>
      <c r="AA122" s="734"/>
    </row>
    <row r="123" spans="1:27" ht="18.75" customHeight="1">
      <c r="A123" s="3257" t="s">
        <v>2137</v>
      </c>
      <c r="B123" s="3257"/>
      <c r="C123" s="3257"/>
      <c r="D123" s="3297" t="e">
        <f ca="1">NUMBERSTRING(INT(D122*10000),2)&amp;"元整"</f>
        <v>#REF!</v>
      </c>
      <c r="E123" s="3298"/>
      <c r="F123" s="3298"/>
      <c r="G123" s="3298"/>
      <c r="H123" s="3298"/>
      <c r="I123" s="3299"/>
      <c r="AA123" s="734"/>
    </row>
    <row r="124" spans="1:27" ht="18.75" customHeight="1">
      <c r="A124" s="3288" t="str">
        <f>IF(项目基本情况!B9="房地产市场价值","",MID(E109,3,LEN(E109)-2))</f>
        <v/>
      </c>
      <c r="B124" s="3288"/>
      <c r="C124" s="3288"/>
      <c r="D124" s="3324" t="str">
        <f>H109</f>
        <v>——</v>
      </c>
      <c r="E124" s="3325"/>
      <c r="F124" s="3325"/>
      <c r="G124" s="3325"/>
      <c r="H124" s="3325"/>
      <c r="I124" s="3326"/>
      <c r="AA124" s="734"/>
    </row>
    <row r="125" spans="1:27" ht="18.75" customHeight="1">
      <c r="A125" s="3257" t="s">
        <v>2137</v>
      </c>
      <c r="B125" s="3257"/>
      <c r="C125" s="3257"/>
      <c r="D125" s="3297" t="e">
        <f>NUMBERSTRING(INT(D124*10000),2)&amp;"元整"</f>
        <v>#VALUE!</v>
      </c>
      <c r="E125" s="3298"/>
      <c r="F125" s="3298"/>
      <c r="G125" s="3298"/>
      <c r="H125" s="3298"/>
      <c r="I125" s="3299"/>
      <c r="AA125" s="734"/>
    </row>
    <row r="126" spans="1:27" ht="18.75" customHeight="1">
      <c r="A126" s="3288" t="str">
        <f>IF(项目基本情况!B9="房地产市场价值","",MID(E111,3,LEN(E111)-2))</f>
        <v/>
      </c>
      <c r="B126" s="3288"/>
      <c r="C126" s="3288"/>
      <c r="D126" s="3324" t="str">
        <f>H111</f>
        <v>——</v>
      </c>
      <c r="E126" s="3325"/>
      <c r="F126" s="3325"/>
      <c r="G126" s="3325"/>
      <c r="H126" s="3325"/>
      <c r="I126" s="3326"/>
      <c r="AA126" s="734"/>
    </row>
    <row r="127" spans="1:27" ht="18.75" customHeight="1">
      <c r="A127" s="3257" t="s">
        <v>2137</v>
      </c>
      <c r="B127" s="3257"/>
      <c r="C127" s="3257"/>
      <c r="D127" s="3297" t="e">
        <f>NUMBERSTRING(INT(D126*10000),2)&amp;"元整"</f>
        <v>#VALUE!</v>
      </c>
      <c r="E127" s="3298"/>
      <c r="F127" s="3298"/>
      <c r="G127" s="3298"/>
      <c r="H127" s="3298"/>
      <c r="I127" s="3299"/>
      <c r="AA127" s="734"/>
    </row>
    <row r="128" spans="1:27" ht="21.75" customHeight="1">
      <c r="A128" s="3307" t="s">
        <v>2138</v>
      </c>
      <c r="B128" s="3307"/>
      <c r="C128" s="3307"/>
      <c r="D128" s="3307"/>
      <c r="E128" s="3307"/>
      <c r="F128" s="3307"/>
      <c r="G128" s="3307"/>
      <c r="H128" s="3307"/>
      <c r="I128" s="3307"/>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topLeftCell="A22" workbookViewId="0">
      <selection activeCell="H35" sqref="H35"/>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40" t="s">
        <v>3060</v>
      </c>
      <c r="B1" s="3340"/>
      <c r="C1" s="3340"/>
      <c r="D1" s="3340"/>
      <c r="E1" s="3340"/>
      <c r="F1" s="3340"/>
      <c r="G1" s="3340"/>
      <c r="H1" s="3340"/>
      <c r="I1" s="3340"/>
      <c r="K1" s="3341" t="s">
        <v>3061</v>
      </c>
      <c r="L1" s="3066" t="s">
        <v>3062</v>
      </c>
      <c r="M1" s="3067">
        <v>0</v>
      </c>
      <c r="N1" s="1407"/>
      <c r="O1" s="1407"/>
    </row>
    <row r="2" spans="1:16" ht="15.75" customHeight="1">
      <c r="A2" s="3069" t="s">
        <v>3063</v>
      </c>
      <c r="B2" s="3070" t="s">
        <v>3064</v>
      </c>
      <c r="C2" s="3342" t="s">
        <v>3065</v>
      </c>
      <c r="D2" s="3343"/>
      <c r="E2" s="3343"/>
      <c r="F2" s="3344"/>
      <c r="G2" s="3071" t="s">
        <v>3066</v>
      </c>
      <c r="H2" s="3345" t="s">
        <v>3067</v>
      </c>
      <c r="I2" s="3345"/>
      <c r="K2" s="3341"/>
      <c r="L2" s="3066" t="s">
        <v>3068</v>
      </c>
      <c r="M2" s="3072" t="s">
        <v>3207</v>
      </c>
      <c r="N2" s="3073">
        <v>2011</v>
      </c>
      <c r="O2" s="3073"/>
    </row>
    <row r="3" spans="1:16">
      <c r="A3" s="3074" t="s">
        <v>3069</v>
      </c>
      <c r="B3" s="3075" t="s">
        <v>3070</v>
      </c>
      <c r="C3" s="3342">
        <f>'比较法-商业 (2)'!B2*10000</f>
        <v>57050000</v>
      </c>
      <c r="D3" s="3343"/>
      <c r="E3" s="3343"/>
      <c r="F3" s="3344"/>
      <c r="G3" s="3074" t="s">
        <v>3071</v>
      </c>
      <c r="H3" s="3076" t="s">
        <v>3072</v>
      </c>
      <c r="I3" s="3077">
        <f>'数据-基础表'!I13</f>
        <v>994.5</v>
      </c>
      <c r="K3" s="3341"/>
      <c r="L3" s="3066" t="s">
        <v>3073</v>
      </c>
      <c r="M3" s="3072" t="s">
        <v>3074</v>
      </c>
      <c r="N3" s="3073"/>
      <c r="O3" s="3078"/>
    </row>
    <row r="4" spans="1:16">
      <c r="A4" s="3346" t="s">
        <v>3075</v>
      </c>
      <c r="B4" s="3347" t="s">
        <v>3076</v>
      </c>
      <c r="C4" s="3348">
        <f>ROUND(C3*(I4-I6)/(1-((1+I6)/(1+I4))^I5),0)</f>
        <v>2506379</v>
      </c>
      <c r="D4" s="3349"/>
      <c r="E4" s="3349"/>
      <c r="F4" s="3350"/>
      <c r="G4" s="3346" t="s">
        <v>3077</v>
      </c>
      <c r="H4" s="3079" t="s">
        <v>3078</v>
      </c>
      <c r="I4" s="3080">
        <f>'数据-取费表'!J6</f>
        <v>0.06</v>
      </c>
      <c r="K4" s="3341"/>
      <c r="L4" s="3066" t="s">
        <v>3079</v>
      </c>
      <c r="M4" s="3081">
        <f>ROUND(1-(1-M1)*M2/M3,2)</f>
        <v>0.83</v>
      </c>
      <c r="N4" s="3073"/>
      <c r="O4" s="3073"/>
    </row>
    <row r="5" spans="1:16" s="3085" customFormat="1" ht="18" customHeight="1">
      <c r="A5" s="3346"/>
      <c r="B5" s="3347"/>
      <c r="C5" s="3351"/>
      <c r="D5" s="3352"/>
      <c r="E5" s="3352"/>
      <c r="F5" s="3353"/>
      <c r="G5" s="3346"/>
      <c r="H5" s="3075" t="s">
        <v>3080</v>
      </c>
      <c r="I5" s="3082">
        <f>项目基本情况!E15</f>
        <v>40</v>
      </c>
      <c r="J5" s="3083"/>
      <c r="K5" s="3341"/>
      <c r="L5" s="3066" t="s">
        <v>3081</v>
      </c>
      <c r="M5" s="3084">
        <v>0.5</v>
      </c>
      <c r="N5" s="3073"/>
      <c r="O5" s="3073"/>
    </row>
    <row r="6" spans="1:16" s="3085" customFormat="1" ht="18" customHeight="1">
      <c r="A6" s="3346"/>
      <c r="B6" s="3347"/>
      <c r="C6" s="3354"/>
      <c r="D6" s="3355"/>
      <c r="E6" s="3355"/>
      <c r="F6" s="3356"/>
      <c r="G6" s="3346"/>
      <c r="H6" s="3075" t="s">
        <v>3082</v>
      </c>
      <c r="I6" s="3080">
        <f>'数据-取费表'!V6</f>
        <v>0.03</v>
      </c>
      <c r="J6" s="3086"/>
      <c r="K6" s="3357" t="s">
        <v>3083</v>
      </c>
      <c r="L6" s="3087" t="s">
        <v>3084</v>
      </c>
      <c r="M6" s="3088" t="s">
        <v>3085</v>
      </c>
      <c r="N6" s="3088" t="s">
        <v>3086</v>
      </c>
      <c r="O6" s="3088" t="s">
        <v>3087</v>
      </c>
      <c r="P6" s="3088" t="s">
        <v>3088</v>
      </c>
    </row>
    <row r="7" spans="1:16" s="3085" customFormat="1" ht="18" customHeight="1">
      <c r="A7" s="3074" t="s">
        <v>3089</v>
      </c>
      <c r="B7" s="3075" t="s">
        <v>3090</v>
      </c>
      <c r="C7" s="3342">
        <f ca="1">ROUND(C23*I7,0)</f>
        <v>4542343</v>
      </c>
      <c r="D7" s="3343"/>
      <c r="E7" s="3343"/>
      <c r="F7" s="3344"/>
      <c r="G7" s="3071" t="s">
        <v>3091</v>
      </c>
      <c r="H7" s="3075" t="s">
        <v>3092</v>
      </c>
      <c r="I7" s="3089">
        <f>'数据-取费表'!N6</f>
        <v>0.85</v>
      </c>
      <c r="K7" s="3357"/>
      <c r="L7" s="3087" t="s">
        <v>3093</v>
      </c>
      <c r="M7" s="3088">
        <v>100</v>
      </c>
      <c r="N7" s="3088" t="s">
        <v>3094</v>
      </c>
      <c r="O7" s="3088">
        <v>90</v>
      </c>
      <c r="P7" s="3090">
        <v>0.3</v>
      </c>
    </row>
    <row r="8" spans="1:16" s="3085" customFormat="1" ht="18" customHeight="1">
      <c r="A8" s="3069" t="s">
        <v>3095</v>
      </c>
      <c r="B8" s="3075" t="s">
        <v>3096</v>
      </c>
      <c r="C8" s="3342">
        <f>ROUND(I8*I3,0)</f>
        <v>3480750</v>
      </c>
      <c r="D8" s="3343"/>
      <c r="E8" s="3343"/>
      <c r="F8" s="3344"/>
      <c r="G8" s="3071" t="s">
        <v>3097</v>
      </c>
      <c r="H8" s="3075" t="s">
        <v>3098</v>
      </c>
      <c r="I8" s="3071">
        <f>'数据-取费表'!L6</f>
        <v>3500</v>
      </c>
      <c r="J8" s="3091">
        <f>D35</f>
        <v>11.7</v>
      </c>
      <c r="K8" s="3357"/>
      <c r="L8" s="3087" t="s">
        <v>3099</v>
      </c>
      <c r="M8" s="3088">
        <v>100</v>
      </c>
      <c r="N8" s="3088" t="s">
        <v>3100</v>
      </c>
      <c r="O8" s="3088">
        <v>90</v>
      </c>
      <c r="P8" s="3090">
        <v>0.5</v>
      </c>
    </row>
    <row r="9" spans="1:16" s="3085" customFormat="1" ht="18" customHeight="1">
      <c r="A9" s="3069" t="s">
        <v>3101</v>
      </c>
      <c r="B9" s="3075" t="s">
        <v>3102</v>
      </c>
      <c r="C9" s="3342">
        <f>ROUND(C8*H9,0)</f>
        <v>139230</v>
      </c>
      <c r="D9" s="3343"/>
      <c r="E9" s="3343"/>
      <c r="F9" s="3344"/>
      <c r="G9" s="3071" t="s">
        <v>3103</v>
      </c>
      <c r="H9" s="3358">
        <f>'数据-取费表'!B33</f>
        <v>0.04</v>
      </c>
      <c r="I9" s="3358"/>
      <c r="J9" s="3091">
        <f ca="1">D36</f>
        <v>10.54</v>
      </c>
      <c r="K9" s="3357"/>
      <c r="L9" s="3087" t="s">
        <v>3104</v>
      </c>
      <c r="M9" s="3088">
        <v>100</v>
      </c>
      <c r="N9" s="3088" t="s">
        <v>3094</v>
      </c>
      <c r="O9" s="3088">
        <v>90</v>
      </c>
      <c r="P9" s="3090">
        <f>1-P7-P8</f>
        <v>0.19999999999999996</v>
      </c>
    </row>
    <row r="10" spans="1:16" s="3085" customFormat="1" ht="18" customHeight="1">
      <c r="A10" s="3069" t="s">
        <v>3105</v>
      </c>
      <c r="B10" s="3075" t="s">
        <v>3106</v>
      </c>
      <c r="C10" s="3342">
        <f>ROUND(C8*H10,0)</f>
        <v>0</v>
      </c>
      <c r="D10" s="3343"/>
      <c r="E10" s="3343"/>
      <c r="F10" s="3344"/>
      <c r="G10" s="3071" t="s">
        <v>3107</v>
      </c>
      <c r="H10" s="3358">
        <f>'数据-取费表'!B34</f>
        <v>0</v>
      </c>
      <c r="I10" s="3358"/>
      <c r="J10" s="3091">
        <f ca="1">D37</f>
        <v>11.12</v>
      </c>
      <c r="K10" s="3357"/>
      <c r="L10" s="3092" t="s">
        <v>3081</v>
      </c>
      <c r="M10" s="3093">
        <f>1-M5</f>
        <v>0.5</v>
      </c>
      <c r="N10" s="3088" t="s">
        <v>3108</v>
      </c>
      <c r="O10" s="3094">
        <f>ROUND((O7*P7+O8*P8+O9*P9)/100,2)</f>
        <v>0.9</v>
      </c>
      <c r="P10" s="3095"/>
    </row>
    <row r="11" spans="1:16" s="3085" customFormat="1" ht="29.25" customHeight="1">
      <c r="A11" s="3069" t="s">
        <v>3109</v>
      </c>
      <c r="B11" s="3075" t="s">
        <v>3110</v>
      </c>
      <c r="C11" s="3342">
        <f>ROUND(I11*I3,0)</f>
        <v>198900</v>
      </c>
      <c r="D11" s="3343"/>
      <c r="E11" s="3343"/>
      <c r="F11" s="3344"/>
      <c r="G11" s="3071" t="s">
        <v>3111</v>
      </c>
      <c r="H11" s="3075" t="s">
        <v>3112</v>
      </c>
      <c r="I11" s="3071">
        <f>'数据-取费表'!B28</f>
        <v>200</v>
      </c>
      <c r="J11" s="3083"/>
      <c r="K11" s="3096"/>
      <c r="L11" s="3096"/>
    </row>
    <row r="12" spans="1:16" s="3085" customFormat="1" ht="18" customHeight="1">
      <c r="A12" s="3069" t="s">
        <v>3113</v>
      </c>
      <c r="B12" s="3075" t="s">
        <v>3114</v>
      </c>
      <c r="C12" s="3342">
        <f>ROUND(C8*H12,0)</f>
        <v>52211</v>
      </c>
      <c r="D12" s="3343"/>
      <c r="E12" s="3343"/>
      <c r="F12" s="3344"/>
      <c r="G12" s="3071" t="s">
        <v>3115</v>
      </c>
      <c r="H12" s="3358">
        <v>1.4999999999999999E-2</v>
      </c>
      <c r="I12" s="3358"/>
      <c r="J12" s="3097" t="s">
        <v>3116</v>
      </c>
      <c r="L12" s="3098"/>
    </row>
    <row r="13" spans="1:16" s="3085" customFormat="1" ht="18" customHeight="1">
      <c r="A13" s="3069" t="s">
        <v>3117</v>
      </c>
      <c r="B13" s="3075" t="s">
        <v>3118</v>
      </c>
      <c r="C13" s="3342">
        <f>SUM(C8:F12)</f>
        <v>3871091</v>
      </c>
      <c r="D13" s="3343"/>
      <c r="E13" s="3343"/>
      <c r="F13" s="3344"/>
      <c r="G13" s="3345" t="s">
        <v>3119</v>
      </c>
      <c r="H13" s="3345"/>
      <c r="I13" s="3345"/>
      <c r="J13" s="3097" t="s">
        <v>3120</v>
      </c>
      <c r="L13" s="3098"/>
    </row>
    <row r="14" spans="1:16" s="3085" customFormat="1" ht="18" customHeight="1">
      <c r="A14" s="3069" t="s">
        <v>3121</v>
      </c>
      <c r="B14" s="3075" t="s">
        <v>3122</v>
      </c>
      <c r="C14" s="3342">
        <f>ROUND(C13*H14,0)</f>
        <v>77422</v>
      </c>
      <c r="D14" s="3343"/>
      <c r="E14" s="3343"/>
      <c r="F14" s="3344"/>
      <c r="G14" s="3071" t="s">
        <v>3123</v>
      </c>
      <c r="H14" s="3358">
        <f>'数据-取费表'!B37</f>
        <v>0.02</v>
      </c>
      <c r="I14" s="3358"/>
      <c r="J14" s="3083"/>
      <c r="L14" s="3098"/>
    </row>
    <row r="15" spans="1:16" s="3085" customFormat="1" ht="18" customHeight="1">
      <c r="A15" s="3069" t="s">
        <v>3124</v>
      </c>
      <c r="B15" s="3075" t="s">
        <v>3125</v>
      </c>
      <c r="C15" s="3363">
        <f>H15</f>
        <v>0.02</v>
      </c>
      <c r="D15" s="3364"/>
      <c r="E15" s="3361" t="str">
        <f>E18</f>
        <v>V</v>
      </c>
      <c r="F15" s="3362"/>
      <c r="G15" s="3071" t="s">
        <v>3126</v>
      </c>
      <c r="H15" s="3358">
        <f>'数据-取费表'!B38</f>
        <v>0.02</v>
      </c>
      <c r="I15" s="3358"/>
      <c r="J15" s="3099"/>
      <c r="K15" s="3100"/>
    </row>
    <row r="16" spans="1:16" s="3085" customFormat="1" ht="18" customHeight="1">
      <c r="A16" s="3101" t="s">
        <v>3127</v>
      </c>
      <c r="B16" s="3102" t="s">
        <v>3128</v>
      </c>
      <c r="C16" s="3103">
        <f ca="1">C17</f>
        <v>187554</v>
      </c>
      <c r="D16" s="3104" t="s">
        <v>3129</v>
      </c>
      <c r="E16" s="3105">
        <f ca="1">C18</f>
        <v>9.5E-4</v>
      </c>
      <c r="F16" s="3106" t="str">
        <f>E18</f>
        <v>V</v>
      </c>
      <c r="G16" s="3342" t="s">
        <v>3130</v>
      </c>
      <c r="H16" s="3343"/>
      <c r="I16" s="3344"/>
      <c r="J16" s="3083"/>
      <c r="K16" s="3096"/>
    </row>
    <row r="17" spans="1:12" s="3085" customFormat="1" ht="18" customHeight="1">
      <c r="A17" s="3069" t="s">
        <v>3131</v>
      </c>
      <c r="B17" s="3075" t="s">
        <v>3132</v>
      </c>
      <c r="C17" s="3342">
        <f ca="1">ROUND((C13+C14)*I18*(I17/2),0)</f>
        <v>187554</v>
      </c>
      <c r="D17" s="3343"/>
      <c r="E17" s="3343"/>
      <c r="F17" s="3344"/>
      <c r="G17" s="3103" t="s">
        <v>3133</v>
      </c>
      <c r="H17" s="3075" t="s">
        <v>3134</v>
      </c>
      <c r="I17" s="3107">
        <f>'数据-取费表'!B20</f>
        <v>2</v>
      </c>
      <c r="J17" s="3097" t="s">
        <v>3135</v>
      </c>
      <c r="K17" s="3096"/>
      <c r="L17" s="3096"/>
    </row>
    <row r="18" spans="1:12" s="3085" customFormat="1" ht="18" customHeight="1">
      <c r="A18" s="3069" t="s">
        <v>3136</v>
      </c>
      <c r="B18" s="3075" t="s">
        <v>3137</v>
      </c>
      <c r="C18" s="3359">
        <f ca="1">H15*I18*I17/2</f>
        <v>9.5E-4</v>
      </c>
      <c r="D18" s="3360"/>
      <c r="E18" s="3361" t="s">
        <v>3138</v>
      </c>
      <c r="F18" s="3362"/>
      <c r="G18" s="3103" t="s">
        <v>3139</v>
      </c>
      <c r="H18" s="3075" t="s">
        <v>3140</v>
      </c>
      <c r="I18" s="3108">
        <f ca="1">'数据-取费表'!B40</f>
        <v>4.7500000000000001E-2</v>
      </c>
      <c r="J18" s="3097" t="s">
        <v>3141</v>
      </c>
      <c r="K18" s="3096"/>
      <c r="L18" s="3096"/>
    </row>
    <row r="19" spans="1:12" s="3085" customFormat="1" ht="27" customHeight="1">
      <c r="A19" s="3069" t="s">
        <v>3142</v>
      </c>
      <c r="B19" s="3075" t="s">
        <v>3143</v>
      </c>
      <c r="C19" s="3103">
        <f>C20</f>
        <v>789703</v>
      </c>
      <c r="D19" s="3104" t="s">
        <v>3129</v>
      </c>
      <c r="E19" s="3104">
        <f>C21</f>
        <v>4.0000000000000001E-3</v>
      </c>
      <c r="F19" s="3106" t="str">
        <f>E21</f>
        <v>V</v>
      </c>
      <c r="G19" s="3342" t="s">
        <v>3144</v>
      </c>
      <c r="H19" s="3343"/>
      <c r="I19" s="3344"/>
      <c r="J19" s="3083"/>
      <c r="K19" s="3096"/>
      <c r="L19" s="3096"/>
    </row>
    <row r="20" spans="1:12" s="3085" customFormat="1" ht="26.25" customHeight="1">
      <c r="A20" s="3069" t="s">
        <v>3145</v>
      </c>
      <c r="B20" s="3075" t="s">
        <v>3146</v>
      </c>
      <c r="C20" s="3342">
        <f>ROUND((C13+C14)*I20,0)</f>
        <v>789703</v>
      </c>
      <c r="D20" s="3343"/>
      <c r="E20" s="3343"/>
      <c r="F20" s="3344"/>
      <c r="G20" s="3071" t="s">
        <v>3147</v>
      </c>
      <c r="H20" s="3367" t="s">
        <v>3148</v>
      </c>
      <c r="I20" s="3369">
        <f>'数据-取费表'!Q6</f>
        <v>0.2</v>
      </c>
      <c r="J20" s="3097" t="s">
        <v>3149</v>
      </c>
      <c r="K20" s="3096"/>
      <c r="L20" s="3096"/>
    </row>
    <row r="21" spans="1:12" s="3085" customFormat="1" ht="27" customHeight="1">
      <c r="A21" s="3069" t="s">
        <v>3145</v>
      </c>
      <c r="B21" s="3075" t="s">
        <v>3150</v>
      </c>
      <c r="C21" s="3370">
        <f>H15*I20</f>
        <v>4.0000000000000001E-3</v>
      </c>
      <c r="D21" s="3371"/>
      <c r="E21" s="3361" t="s">
        <v>3151</v>
      </c>
      <c r="F21" s="3362"/>
      <c r="G21" s="3071" t="s">
        <v>3152</v>
      </c>
      <c r="H21" s="3368"/>
      <c r="I21" s="3369"/>
      <c r="J21" s="3083"/>
      <c r="K21" s="3096"/>
      <c r="L21" s="3096"/>
    </row>
    <row r="22" spans="1:12" s="3085" customFormat="1" ht="18" customHeight="1">
      <c r="A22" s="3069" t="s">
        <v>3153</v>
      </c>
      <c r="B22" s="3075" t="s">
        <v>3154</v>
      </c>
      <c r="C22" s="3370">
        <f>ROUND(H22/1.05,4)</f>
        <v>5.33E-2</v>
      </c>
      <c r="D22" s="3371"/>
      <c r="E22" s="3361" t="s">
        <v>3151</v>
      </c>
      <c r="F22" s="3362"/>
      <c r="G22" s="3071" t="s">
        <v>3155</v>
      </c>
      <c r="H22" s="3358">
        <v>5.6000000000000001E-2</v>
      </c>
      <c r="I22" s="3358"/>
      <c r="J22" s="3109"/>
      <c r="K22" s="3096"/>
      <c r="L22" s="3096"/>
    </row>
    <row r="23" spans="1:12" s="3085" customFormat="1" ht="18" customHeight="1">
      <c r="A23" s="3069" t="s">
        <v>3156</v>
      </c>
      <c r="B23" s="3075" t="s">
        <v>3157</v>
      </c>
      <c r="C23" s="3342">
        <f ca="1">ROUND((C13+C14+C17+C20)/(1-H15-C18-C21-C22),0)</f>
        <v>5343933</v>
      </c>
      <c r="D23" s="3343"/>
      <c r="E23" s="3343"/>
      <c r="F23" s="3344"/>
      <c r="G23" s="3342" t="s">
        <v>3158</v>
      </c>
      <c r="H23" s="3343"/>
      <c r="I23" s="3344"/>
      <c r="J23" s="3109"/>
      <c r="K23" s="3096"/>
      <c r="L23" s="3096"/>
    </row>
    <row r="24" spans="1:12" s="3085" customFormat="1" ht="18" customHeight="1">
      <c r="A24" s="3069" t="s">
        <v>3159</v>
      </c>
      <c r="B24" s="3075" t="s">
        <v>3160</v>
      </c>
      <c r="C24" s="3110">
        <f ca="1">C26+C27</f>
        <v>115964</v>
      </c>
      <c r="D24" s="3111" t="s">
        <v>3161</v>
      </c>
      <c r="E24" s="3365">
        <f>H25+H28</f>
        <v>0.1933</v>
      </c>
      <c r="F24" s="3366"/>
      <c r="G24" s="3345" t="s">
        <v>3162</v>
      </c>
      <c r="H24" s="3345"/>
      <c r="I24" s="3345"/>
      <c r="J24" s="3109"/>
      <c r="K24" s="3096"/>
      <c r="L24" s="3096"/>
    </row>
    <row r="25" spans="1:12" s="3085" customFormat="1" ht="18" customHeight="1">
      <c r="A25" s="3069" t="s">
        <v>3163</v>
      </c>
      <c r="B25" s="3075" t="s">
        <v>3164</v>
      </c>
      <c r="C25" s="3363" t="s">
        <v>3165</v>
      </c>
      <c r="D25" s="3364"/>
      <c r="E25" s="3365">
        <f>H25</f>
        <v>0.17330000000000001</v>
      </c>
      <c r="F25" s="3366"/>
      <c r="G25" s="3071" t="s">
        <v>3166</v>
      </c>
      <c r="H25" s="3372">
        <f>ROUND(5.6%/1.05+12%,4)</f>
        <v>0.17330000000000001</v>
      </c>
      <c r="I25" s="3372"/>
      <c r="J25" s="3099"/>
      <c r="K25" s="3096"/>
      <c r="L25" s="3096"/>
    </row>
    <row r="26" spans="1:12" s="3085" customFormat="1" ht="18" customHeight="1">
      <c r="A26" s="3069" t="s">
        <v>3167</v>
      </c>
      <c r="B26" s="3075" t="s">
        <v>3168</v>
      </c>
      <c r="C26" s="3342">
        <f ca="1">ROUND(C23*H26,0)</f>
        <v>106879</v>
      </c>
      <c r="D26" s="3343"/>
      <c r="E26" s="3343"/>
      <c r="F26" s="3344"/>
      <c r="G26" s="3071" t="s">
        <v>3169</v>
      </c>
      <c r="H26" s="3372">
        <v>0.02</v>
      </c>
      <c r="I26" s="3372"/>
      <c r="J26" s="3099"/>
      <c r="K26" s="3096"/>
      <c r="L26" s="3096"/>
    </row>
    <row r="27" spans="1:12" s="3085" customFormat="1" ht="18" customHeight="1">
      <c r="A27" s="3069" t="s">
        <v>3170</v>
      </c>
      <c r="B27" s="3075" t="s">
        <v>3171</v>
      </c>
      <c r="C27" s="3342">
        <f ca="1">ROUND(C7*H27,0)</f>
        <v>9085</v>
      </c>
      <c r="D27" s="3343"/>
      <c r="E27" s="3343"/>
      <c r="F27" s="3344"/>
      <c r="G27" s="3071" t="s">
        <v>3172</v>
      </c>
      <c r="H27" s="3373">
        <v>2E-3</v>
      </c>
      <c r="I27" s="3373"/>
      <c r="J27" s="3083"/>
      <c r="K27" s="3096"/>
      <c r="L27" s="3096"/>
    </row>
    <row r="28" spans="1:12" s="3085" customFormat="1" ht="18" customHeight="1">
      <c r="A28" s="3069" t="s">
        <v>3173</v>
      </c>
      <c r="B28" s="3075" t="s">
        <v>3174</v>
      </c>
      <c r="C28" s="3363" t="s">
        <v>3165</v>
      </c>
      <c r="D28" s="3364"/>
      <c r="E28" s="3365">
        <f>H28</f>
        <v>0.02</v>
      </c>
      <c r="F28" s="3366"/>
      <c r="G28" s="3071" t="s">
        <v>3175</v>
      </c>
      <c r="H28" s="3372">
        <v>0.02</v>
      </c>
      <c r="I28" s="3372"/>
      <c r="J28" s="3112"/>
      <c r="K28" s="3096"/>
      <c r="L28" s="3096"/>
    </row>
    <row r="29" spans="1:12" s="3085" customFormat="1" ht="18" customHeight="1">
      <c r="A29" s="3074" t="s">
        <v>3176</v>
      </c>
      <c r="B29" s="3075" t="s">
        <v>3177</v>
      </c>
      <c r="C29" s="3342">
        <f ca="1">ROUND((C4+C24)/(1-E24),0)</f>
        <v>3250704</v>
      </c>
      <c r="D29" s="3343"/>
      <c r="E29" s="3343"/>
      <c r="F29" s="3344"/>
      <c r="G29" s="3346" t="s">
        <v>3178</v>
      </c>
      <c r="H29" s="3346"/>
      <c r="I29" s="3346"/>
      <c r="J29" s="3113" t="s">
        <v>3179</v>
      </c>
      <c r="K29" s="3096"/>
      <c r="L29" s="3096"/>
    </row>
    <row r="30" spans="1:12" s="3085" customFormat="1" ht="21" customHeight="1">
      <c r="A30" s="3346" t="s">
        <v>3180</v>
      </c>
      <c r="B30" s="3347" t="s">
        <v>3181</v>
      </c>
      <c r="C30" s="3374">
        <f ca="1">ROUND(C29/I30/I31/I3,2)</f>
        <v>10.54</v>
      </c>
      <c r="D30" s="3375"/>
      <c r="E30" s="3375"/>
      <c r="F30" s="3376"/>
      <c r="G30" s="3345" t="s">
        <v>3182</v>
      </c>
      <c r="H30" s="3075" t="s">
        <v>3183</v>
      </c>
      <c r="I30" s="3071">
        <v>365</v>
      </c>
      <c r="J30" s="3114"/>
      <c r="K30" s="3096"/>
      <c r="L30" s="3096"/>
    </row>
    <row r="31" spans="1:12" s="3085" customFormat="1" ht="18" customHeight="1">
      <c r="A31" s="3346"/>
      <c r="B31" s="3347"/>
      <c r="C31" s="3377"/>
      <c r="D31" s="3378"/>
      <c r="E31" s="3378"/>
      <c r="F31" s="3379"/>
      <c r="G31" s="3345"/>
      <c r="H31" s="3075" t="s">
        <v>3184</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81" t="s">
        <v>3185</v>
      </c>
      <c r="C33" s="3381"/>
      <c r="D33" s="3381"/>
      <c r="E33" s="3381"/>
      <c r="F33" s="3381"/>
      <c r="G33" s="3121"/>
      <c r="H33" s="3122"/>
      <c r="I33" s="3068"/>
      <c r="J33" s="3083"/>
      <c r="K33" s="3096"/>
      <c r="L33" s="3096"/>
      <c r="M33" s="3068"/>
    </row>
    <row r="34" spans="1:13" s="3085" customFormat="1" ht="18" customHeight="1">
      <c r="A34" s="3068"/>
      <c r="B34" s="3123" t="s">
        <v>3186</v>
      </c>
      <c r="C34" s="3124" t="s">
        <v>3088</v>
      </c>
      <c r="D34" s="3382" t="s">
        <v>3187</v>
      </c>
      <c r="E34" s="3382"/>
      <c r="F34" s="3382"/>
      <c r="G34" s="3121"/>
      <c r="H34" s="3122"/>
      <c r="I34" s="3068"/>
      <c r="J34" s="3109"/>
      <c r="K34" s="3068"/>
      <c r="L34" s="3068"/>
      <c r="M34" s="3068"/>
    </row>
    <row r="35" spans="1:13">
      <c r="B35" s="3123" t="s">
        <v>3188</v>
      </c>
      <c r="C35" s="3125">
        <v>0.5</v>
      </c>
      <c r="D35" s="3380">
        <f>'比较法-商业'!C49</f>
        <v>11.7</v>
      </c>
      <c r="E35" s="3380"/>
      <c r="F35" s="3380"/>
      <c r="G35" s="3121">
        <f ca="1">(D35-D36)/D36</f>
        <v>0.11005692599620495</v>
      </c>
      <c r="H35" s="3122"/>
      <c r="K35" s="3068"/>
      <c r="L35" s="3068"/>
    </row>
    <row r="36" spans="1:13" ht="20.100000000000001" customHeight="1">
      <c r="B36" s="3123" t="s">
        <v>3189</v>
      </c>
      <c r="C36" s="3125">
        <f>1-C35</f>
        <v>0.5</v>
      </c>
      <c r="D36" s="3380">
        <f ca="1">C30</f>
        <v>10.54</v>
      </c>
      <c r="E36" s="3380"/>
      <c r="F36" s="3380"/>
      <c r="G36" s="3121"/>
      <c r="H36" s="3122"/>
      <c r="J36" s="3068"/>
      <c r="K36" s="3068"/>
      <c r="L36" s="3068"/>
    </row>
    <row r="37" spans="1:13" ht="22.5" customHeight="1">
      <c r="B37" s="3383" t="s">
        <v>3190</v>
      </c>
      <c r="C37" s="3383"/>
      <c r="D37" s="3380">
        <f ca="1">ROUND(C35*D35+C36*D36,2)</f>
        <v>11.12</v>
      </c>
      <c r="E37" s="3380"/>
      <c r="F37" s="3380"/>
      <c r="G37" s="3121">
        <f ca="1">ROUND(D37*I3/10000,2)</f>
        <v>1.1100000000000001</v>
      </c>
      <c r="H37" s="3122"/>
      <c r="J37" s="3068"/>
      <c r="K37" s="3068"/>
      <c r="L37" s="3068"/>
    </row>
    <row r="38" spans="1:13" ht="22.5" customHeight="1">
      <c r="B38" s="3123" t="s">
        <v>3191</v>
      </c>
      <c r="C38" s="3123">
        <f ca="1">ROUND(D37*0.9,2)</f>
        <v>10.01</v>
      </c>
      <c r="D38" s="3126" t="s">
        <v>3192</v>
      </c>
      <c r="E38" s="3380">
        <f ca="1">ROUND(D37*1.1,2)</f>
        <v>12.23</v>
      </c>
      <c r="F38" s="3380"/>
      <c r="G38" s="3121" t="s">
        <v>3193</v>
      </c>
      <c r="H38" s="3127">
        <v>12</v>
      </c>
      <c r="J38" s="3068"/>
      <c r="K38" s="3068"/>
      <c r="L38" s="3068"/>
    </row>
    <row r="39" spans="1:13" ht="18" customHeight="1">
      <c r="B39" s="3123" t="s">
        <v>3194</v>
      </c>
      <c r="C39" s="3123">
        <f ca="1">ROUND(C38+H39,2)</f>
        <v>10.06</v>
      </c>
      <c r="D39" s="3126" t="s">
        <v>3192</v>
      </c>
      <c r="E39" s="3380">
        <f ca="1">ROUND(E38+H39,2)</f>
        <v>12.28</v>
      </c>
      <c r="F39" s="3380"/>
      <c r="G39" s="3128" t="s">
        <v>3195</v>
      </c>
      <c r="H39" s="3128">
        <v>0.05</v>
      </c>
      <c r="J39" s="3068"/>
      <c r="K39" s="3068"/>
      <c r="L39" s="3068"/>
    </row>
    <row r="40" spans="1:13" ht="18" customHeight="1">
      <c r="B40" s="3129"/>
      <c r="C40" s="3130"/>
      <c r="D40" s="3131"/>
      <c r="E40" s="3131"/>
      <c r="F40" s="3131"/>
      <c r="G40" s="3121"/>
      <c r="H40" s="3122"/>
      <c r="J40" s="3068"/>
    </row>
    <row r="41" spans="1:13" ht="18" customHeight="1">
      <c r="B41" s="3121" t="s">
        <v>3196</v>
      </c>
      <c r="C41" s="3131"/>
      <c r="D41" s="3131"/>
      <c r="E41" s="3121" t="s">
        <v>3197</v>
      </c>
      <c r="F41" s="3131"/>
      <c r="G41" s="3121"/>
      <c r="H41" s="3121" t="s">
        <v>3198</v>
      </c>
      <c r="J41" s="3068"/>
    </row>
    <row r="42" spans="1:13" ht="29.25" customHeight="1"/>
    <row r="45" spans="1:13">
      <c r="H45" s="313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1" t="str">
        <f>项目基本情况!B1</f>
        <v>北京市房地产市场价值预评估</v>
      </c>
      <c r="C37" s="3151"/>
      <c r="D37" s="3151"/>
      <c r="E37" s="3151"/>
      <c r="F37" s="3151"/>
      <c r="G37" s="3151"/>
      <c r="H37" s="3151"/>
      <c r="I37" s="315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482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4847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20</v>
      </c>
      <c r="D19" s="958">
        <f ca="1">D9+D10</f>
        <v>994.5</v>
      </c>
      <c r="E19" s="217">
        <f>'数据-取费表'!B31</f>
        <v>200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387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348</v>
      </c>
      <c r="D34" s="223"/>
      <c r="E34" s="226"/>
      <c r="F34" s="263">
        <f ca="1">IF('数据-取费表'!B24=0,1,IF(B1="",'数据-取费表'!N16,INDIRECT("'数据-取费表'!n"&amp;$G$1)))</f>
        <v>1</v>
      </c>
      <c r="G34" s="225" t="s">
        <v>2211</v>
      </c>
    </row>
    <row r="35" spans="1:7" ht="13.5" customHeight="1">
      <c r="A35" s="888" t="s">
        <v>796</v>
      </c>
      <c r="B35" s="221" t="s">
        <v>2212</v>
      </c>
      <c r="C35" s="226">
        <f ca="1">ROUND(C34*F35,0)</f>
        <v>14</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20</v>
      </c>
      <c r="D37" s="223">
        <f ca="1">D19</f>
        <v>994.5</v>
      </c>
      <c r="E37" s="255">
        <f>'数据-取费表'!B35</f>
        <v>200</v>
      </c>
      <c r="F37" s="265"/>
      <c r="G37" s="267" t="s">
        <v>2217</v>
      </c>
    </row>
    <row r="38" spans="1:7" ht="13.5" customHeight="1">
      <c r="A38" s="888" t="s">
        <v>799</v>
      </c>
      <c r="B38" s="221" t="s">
        <v>2218</v>
      </c>
      <c r="C38" s="226">
        <f ca="1">ROUND(C34*F38,0)</f>
        <v>5</v>
      </c>
      <c r="D38" s="226"/>
      <c r="E38" s="226"/>
      <c r="F38" s="265">
        <f>'数据-取费表'!B36</f>
        <v>1.4999999999999999E-2</v>
      </c>
      <c r="G38" s="225" t="s">
        <v>2213</v>
      </c>
    </row>
    <row r="39" spans="1:7" s="220" customFormat="1" ht="13.5" customHeight="1">
      <c r="A39" s="261" t="s">
        <v>2219</v>
      </c>
      <c r="B39" s="216" t="s">
        <v>2220</v>
      </c>
      <c r="C39" s="238">
        <f ca="1">ROUND(C33*F20,0)</f>
        <v>8</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v>
      </c>
      <c r="D42" s="244"/>
      <c r="E42" s="244"/>
      <c r="F42" s="245"/>
      <c r="G42" s="3384" t="s">
        <v>2229</v>
      </c>
    </row>
    <row r="43" spans="1:7" ht="13.5" customHeight="1">
      <c r="A43" s="888" t="s">
        <v>792</v>
      </c>
      <c r="B43" s="221" t="s">
        <v>2230</v>
      </c>
      <c r="C43" s="244">
        <f ca="1">ROUND(IF('数据-取费表'!B22&lt;=1,C39*F22*'数据-取费表'!B21/2,C39*(POWER((1+F22),'数据-取费表'!B21/2)-1)),0)</f>
        <v>0</v>
      </c>
      <c r="D43" s="244"/>
      <c r="E43" s="244"/>
      <c r="F43" s="245"/>
      <c r="G43" s="3385"/>
    </row>
    <row r="44" spans="1:7" ht="13.5" customHeight="1">
      <c r="A44" s="888" t="s">
        <v>793</v>
      </c>
      <c r="B44" s="221" t="s">
        <v>2231</v>
      </c>
      <c r="C44" s="244">
        <f ca="1">ROUND(IF('数据-取费表'!B22&lt;=1,C40*F22*'数据-取费表'!B21/2,C40*(POWER((1+F22),'数据-取费表'!B21/2)-1)),4)</f>
        <v>1E-3</v>
      </c>
      <c r="D44" s="244"/>
      <c r="E44" s="244"/>
      <c r="F44" s="245"/>
      <c r="G44" s="3386"/>
    </row>
    <row r="45" spans="1:7" s="220" customFormat="1" ht="13.5" customHeight="1">
      <c r="A45" s="261" t="s">
        <v>2232</v>
      </c>
      <c r="B45" s="250" t="s">
        <v>2198</v>
      </c>
      <c r="C45" s="251">
        <f ca="1">C46</f>
        <v>79</v>
      </c>
      <c r="D45" s="241">
        <f ca="1">C47</f>
        <v>4.0000000000000001E-3</v>
      </c>
      <c r="E45" s="242" t="s">
        <v>2224</v>
      </c>
      <c r="F45" s="2537">
        <f ca="1">F27</f>
        <v>0.2</v>
      </c>
      <c r="G45" s="253" t="s">
        <v>2233</v>
      </c>
    </row>
    <row r="46" spans="1:7" s="220" customFormat="1" ht="13.5" customHeight="1">
      <c r="A46" s="888" t="s">
        <v>791</v>
      </c>
      <c r="B46" s="254" t="s">
        <v>2234</v>
      </c>
      <c r="C46" s="255">
        <f ca="1">ROUND((C33+C39)*F27,0)</f>
        <v>79</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534</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454</v>
      </c>
      <c r="D51" s="238"/>
      <c r="E51" s="238"/>
      <c r="F51" s="270"/>
      <c r="G51" s="240" t="s">
        <v>2245</v>
      </c>
    </row>
    <row r="52" spans="1:7" s="214" customFormat="1" ht="16.5" thickBot="1">
      <c r="A52" s="271" t="s">
        <v>2246</v>
      </c>
      <c r="B52" s="272"/>
      <c r="C52" s="273">
        <f ca="1">C31+C51</f>
        <v>482</v>
      </c>
      <c r="D52" s="272"/>
      <c r="E52" s="272"/>
      <c r="F52" s="272"/>
      <c r="G52" s="274"/>
    </row>
    <row r="55" spans="1:7" ht="15">
      <c r="B55" s="276" t="s">
        <v>2247</v>
      </c>
      <c r="C55" s="277"/>
    </row>
    <row r="56" spans="1:7">
      <c r="B56" s="279" t="s">
        <v>1477</v>
      </c>
      <c r="C56" s="281">
        <f ca="1">1-C57</f>
        <v>5.8000000000000052E-2</v>
      </c>
    </row>
    <row r="57" spans="1:7">
      <c r="B57" s="279" t="s">
        <v>1478</v>
      </c>
      <c r="C57" s="280">
        <f ca="1">ROUND(C51/C52,3)</f>
        <v>0.94199999999999995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511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5138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198900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198900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198900</v>
      </c>
      <c r="D19" s="958">
        <f ca="1">D9+D10</f>
        <v>994.5</v>
      </c>
      <c r="E19" s="217">
        <f>'数据-取费表'!B31</f>
        <v>200</v>
      </c>
      <c r="F19" s="237"/>
      <c r="G19" s="2042"/>
    </row>
    <row r="20" spans="1:7" s="220" customFormat="1" ht="13.5" customHeight="1">
      <c r="A20" s="261" t="s">
        <v>2259</v>
      </c>
      <c r="B20" s="216" t="s">
        <v>2260</v>
      </c>
      <c r="C20" s="238">
        <f ca="1">ROUND((C5+C19)*F20,0)</f>
        <v>7956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39066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19344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19344</v>
      </c>
      <c r="D24" s="244"/>
      <c r="E24" s="244"/>
      <c r="F24" s="245"/>
      <c r="G24" s="246" t="s">
        <v>2271</v>
      </c>
    </row>
    <row r="25" spans="1:7" s="220" customFormat="1" ht="24">
      <c r="A25" s="888" t="s">
        <v>2161</v>
      </c>
      <c r="B25" s="221" t="s">
        <v>2272</v>
      </c>
      <c r="C25" s="1290">
        <f ca="1">ROUND(IF('数据-取费表'!B22&lt;=1,C20*F22*'数据-取费表'!B22/2,C20*(POWER((1+F22),'数据-取费表'!B22/2)-1)),0)</f>
        <v>378</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81151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81151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570655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3871091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3480750</v>
      </c>
      <c r="D34" s="223"/>
      <c r="E34" s="226"/>
      <c r="F34" s="263"/>
      <c r="G34" s="225"/>
    </row>
    <row r="35" spans="1:7" ht="13.5" customHeight="1">
      <c r="A35" s="888" t="s">
        <v>796</v>
      </c>
      <c r="B35" s="221" t="s">
        <v>2212</v>
      </c>
      <c r="C35" s="226">
        <f ca="1">ROUND(C34*F35,0)</f>
        <v>139230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198900</v>
      </c>
      <c r="D37" s="223">
        <f ca="1">D19</f>
        <v>994.5</v>
      </c>
      <c r="E37" s="255">
        <f>'数据-取费表'!B35</f>
        <v>200</v>
      </c>
      <c r="F37" s="265"/>
      <c r="G37" s="267"/>
    </row>
    <row r="38" spans="1:7" ht="13.5" customHeight="1">
      <c r="A38" s="888" t="s">
        <v>799</v>
      </c>
      <c r="B38" s="221" t="s">
        <v>2218</v>
      </c>
      <c r="C38" s="226">
        <f ca="1">ROUND(C34*F38,0)</f>
        <v>52211</v>
      </c>
      <c r="D38" s="226"/>
      <c r="E38" s="226"/>
      <c r="F38" s="265">
        <f>'数据-取费表'!B36</f>
        <v>1.4999999999999999E-2</v>
      </c>
      <c r="G38" s="225" t="s">
        <v>2213</v>
      </c>
    </row>
    <row r="39" spans="1:7" s="220" customFormat="1" ht="13.5" customHeight="1">
      <c r="A39" s="261" t="s">
        <v>2219</v>
      </c>
      <c r="B39" s="216" t="s">
        <v>2220</v>
      </c>
      <c r="C39" s="238">
        <f ca="1">ROUND(C33*F20,0)</f>
        <v>77422</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187555</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183877</v>
      </c>
      <c r="D42" s="244"/>
      <c r="E42" s="244"/>
      <c r="F42" s="245"/>
      <c r="G42" s="3384" t="s">
        <v>2276</v>
      </c>
    </row>
    <row r="43" spans="1:7" ht="13.5" customHeight="1">
      <c r="A43" s="888" t="s">
        <v>792</v>
      </c>
      <c r="B43" s="221" t="s">
        <v>2230</v>
      </c>
      <c r="C43" s="244">
        <f ca="1">ROUND(IF('数据-取费表'!B22&lt;=1,C39*F22*'数据-取费表'!B20/2,C39*(POWER((1+F22),'数据-取费表'!B20/2)-1)),0)</f>
        <v>3678</v>
      </c>
      <c r="D43" s="244"/>
      <c r="E43" s="244"/>
      <c r="F43" s="245"/>
      <c r="G43" s="3385"/>
    </row>
    <row r="44" spans="1:7" ht="13.5" customHeight="1">
      <c r="A44" s="888" t="s">
        <v>793</v>
      </c>
      <c r="B44" s="221" t="s">
        <v>2231</v>
      </c>
      <c r="C44" s="244">
        <f ca="1">ROUND(IF('数据-取费表'!B22&lt;=1,C40*F22*'数据-取费表'!B20/2,C40*(POWER((1+F22),'数据-取费表'!B20/2)-1)),4)</f>
        <v>1E-3</v>
      </c>
      <c r="D44" s="244"/>
      <c r="E44" s="244"/>
      <c r="F44" s="245"/>
      <c r="G44" s="3386"/>
    </row>
    <row r="45" spans="1:7" s="220" customFormat="1" ht="13.5" customHeight="1">
      <c r="A45" s="261" t="s">
        <v>2232</v>
      </c>
      <c r="B45" s="250" t="s">
        <v>2198</v>
      </c>
      <c r="C45" s="251">
        <f ca="1">C46</f>
        <v>789703</v>
      </c>
      <c r="D45" s="241">
        <f ca="1">C47</f>
        <v>4.0000000000000001E-3</v>
      </c>
      <c r="E45" s="242" t="s">
        <v>2224</v>
      </c>
      <c r="F45" s="2537">
        <f ca="1">F27</f>
        <v>0.2</v>
      </c>
      <c r="G45" s="253" t="s">
        <v>2233</v>
      </c>
    </row>
    <row r="46" spans="1:7" s="220" customFormat="1" ht="13.5" customHeight="1">
      <c r="A46" s="888" t="s">
        <v>791</v>
      </c>
      <c r="B46" s="254" t="s">
        <v>2234</v>
      </c>
      <c r="C46" s="255">
        <f ca="1">ROUND((C33+C39)*F27,0)</f>
        <v>789703</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5344224</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4542590</v>
      </c>
      <c r="D51" s="238"/>
      <c r="E51" s="238"/>
      <c r="F51" s="270"/>
      <c r="G51" s="240" t="s">
        <v>2245</v>
      </c>
    </row>
    <row r="52" spans="1:7" s="214" customFormat="1" ht="16.5" thickBot="1">
      <c r="A52" s="271" t="s">
        <v>2246</v>
      </c>
      <c r="B52" s="272"/>
      <c r="C52" s="273">
        <f ca="1">C31+C51</f>
        <v>5113245</v>
      </c>
      <c r="D52" s="272"/>
      <c r="E52" s="272"/>
      <c r="F52" s="272"/>
      <c r="G52" s="274"/>
    </row>
    <row r="55" spans="1:7" ht="15">
      <c r="B55" s="276" t="s">
        <v>2247</v>
      </c>
      <c r="C55" s="277"/>
    </row>
    <row r="56" spans="1:7">
      <c r="B56" s="279" t="s">
        <v>1477</v>
      </c>
      <c r="C56" s="281">
        <f ca="1">1-C57</f>
        <v>0.11199999999999999</v>
      </c>
    </row>
    <row r="57" spans="1:7">
      <c r="B57" s="279" t="s">
        <v>1478</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-23</v>
      </c>
      <c r="C2" s="282" t="s">
        <v>2280</v>
      </c>
      <c r="D2" s="282"/>
      <c r="E2" s="3035"/>
      <c r="F2" s="3035"/>
      <c r="G2" s="3035"/>
      <c r="H2" s="3035"/>
      <c r="I2" s="3035"/>
      <c r="J2" s="3035"/>
      <c r="K2" s="3035"/>
    </row>
    <row r="3" spans="1:33" ht="18" customHeight="1" thickBot="1">
      <c r="A3" s="209" t="s">
        <v>2149</v>
      </c>
      <c r="B3" s="210">
        <f ca="1">ROUND(B2*10000/IF(C1="",'数据-汇总表'!E3,INDIRECT("'数据-取费表'!K"&amp;$K$1)),0)</f>
        <v>-231</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994.5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994.5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2316</v>
      </c>
      <c r="C21" s="923">
        <f ca="1">C16+C17+C18</f>
        <v>20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4</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87" t="s">
        <v>1367</v>
      </c>
      <c r="C6" s="1206">
        <f ca="1">ROUND(F6*F8*F7*(1-F9),0)</f>
        <v>0</v>
      </c>
      <c r="D6" s="160" t="s">
        <v>2847</v>
      </c>
      <c r="E6" s="308" t="s">
        <v>1369</v>
      </c>
      <c r="F6" s="309">
        <f ca="1">INDIRECT("'数据-取费表'!u"&amp;$G$1)</f>
        <v>0</v>
      </c>
      <c r="G6" s="1568"/>
      <c r="H6" s="1201" t="s">
        <v>1003</v>
      </c>
      <c r="I6" s="3387" t="s">
        <v>1367</v>
      </c>
      <c r="J6" s="307">
        <f ca="1">ROUND(M6*M8*M7*(1-M9),0)</f>
        <v>0</v>
      </c>
      <c r="K6" s="1560" t="s">
        <v>2848</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0</v>
      </c>
      <c r="G7" s="1568"/>
      <c r="H7" s="310"/>
      <c r="I7" s="3388"/>
      <c r="J7" s="312"/>
      <c r="K7" s="313"/>
      <c r="L7" s="308" t="s">
        <v>1370</v>
      </c>
      <c r="M7" s="309">
        <f ca="1">F7</f>
        <v>0</v>
      </c>
    </row>
    <row r="8" spans="1:37" ht="18" customHeight="1">
      <c r="A8" s="310"/>
      <c r="B8" s="3388"/>
      <c r="C8" s="312"/>
      <c r="D8" s="313"/>
      <c r="E8" s="308" t="s">
        <v>1371</v>
      </c>
      <c r="F8" s="309">
        <f ca="1">INDIRECT("'数据-取费表'!ai"&amp;$G$1)</f>
        <v>0</v>
      </c>
      <c r="G8" s="1568"/>
      <c r="H8" s="310"/>
      <c r="I8" s="3388"/>
      <c r="J8" s="312"/>
      <c r="K8" s="313"/>
      <c r="L8" s="308" t="s">
        <v>1371</v>
      </c>
      <c r="M8" s="309">
        <f ca="1">INDIRECT("'数据-取费表'!ai"&amp;$G$1)</f>
        <v>0</v>
      </c>
    </row>
    <row r="9" spans="1:37" ht="18" customHeight="1">
      <c r="A9" s="310"/>
      <c r="B9" s="3389"/>
      <c r="C9" s="312"/>
      <c r="D9" s="313"/>
      <c r="E9" s="308" t="s">
        <v>1372</v>
      </c>
      <c r="F9" s="318">
        <f ca="1">INDIRECT("'数据-取费表'!w"&amp;$G$1)</f>
        <v>0</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2857</v>
      </c>
      <c r="E10" s="319" t="s">
        <v>1374</v>
      </c>
      <c r="F10" s="1276"/>
      <c r="G10" s="1568"/>
      <c r="H10" s="1201" t="s">
        <v>1007</v>
      </c>
      <c r="I10" s="1549" t="s">
        <v>1373</v>
      </c>
      <c r="J10" s="307">
        <f ca="1">ROUND(IF(M10="押一",J6/12*M11,IF(M10="押二",J6/12*2*M11,IF(M10="押三",J6/12*3*M11,J11*M11))),0)</f>
        <v>0</v>
      </c>
      <c r="K10" s="1561" t="s">
        <v>2859</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1353</v>
      </c>
      <c r="B34" s="160" t="s">
        <v>1405</v>
      </c>
      <c r="C34" s="25">
        <f ca="1">IF(项目基本情况!B11="自然人","——",ROUND(F34*F35,))</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2860</v>
      </c>
      <c r="E53" s="319" t="s">
        <v>1374</v>
      </c>
      <c r="F53" s="1276"/>
      <c r="I53" s="1623" t="s">
        <v>1511</v>
      </c>
      <c r="J53" s="2386">
        <f ca="1">IF(M47="住宅",IF(D1="——",MAX(J51,L48),MAX(J51,L48-'数据-取费表'!B24)),IF(D1="——",MIN(J51,L48),MIN(J51,L48-'数据-取费表'!B24)))</f>
        <v>0</v>
      </c>
      <c r="K53" s="3390" t="s">
        <v>1512</v>
      </c>
      <c r="L53" s="3391"/>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-148</v>
      </c>
      <c r="C2" s="2058" t="s">
        <v>2339</v>
      </c>
      <c r="D2" s="2059" t="s">
        <v>2340</v>
      </c>
      <c r="E2" s="2831">
        <f>SUM(E6:E13)</f>
        <v>994.5</v>
      </c>
      <c r="F2" s="2934"/>
      <c r="G2" s="1674"/>
      <c r="H2" s="1674"/>
      <c r="I2" s="1674"/>
      <c r="J2" s="1674"/>
      <c r="K2" s="1674"/>
      <c r="L2" s="1674"/>
      <c r="M2" s="1674"/>
      <c r="N2" s="1674"/>
      <c r="O2" s="1674"/>
      <c r="P2" s="1674"/>
      <c r="Q2" s="1674"/>
      <c r="R2" s="1674"/>
      <c r="S2" s="1674"/>
    </row>
    <row r="3" spans="1:22" ht="15.75">
      <c r="A3" s="2056" t="s">
        <v>1359</v>
      </c>
      <c r="B3" s="2825">
        <f ca="1">ROUND(B2*10000/E2,0)</f>
        <v>-1488</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2341</v>
      </c>
      <c r="B5" s="3392" t="s">
        <v>2342</v>
      </c>
      <c r="C5" s="3393"/>
      <c r="D5" s="2935"/>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-148</v>
      </c>
      <c r="C6" s="2058" t="s">
        <v>2339</v>
      </c>
      <c r="D6" s="2936"/>
      <c r="E6" s="2830">
        <f>IF(OR(A6=0,F6="否"),0,'数据-取费表'!K6+'数据-取费表'!S6)</f>
        <v>994.5</v>
      </c>
      <c r="F6" s="2062" t="s">
        <v>2345</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2339</v>
      </c>
      <c r="D7" s="2936"/>
      <c r="E7" s="2830">
        <f>IF(OR(A7=0,F7="否"),0,'数据-取费表'!K7+'数据-取费表'!S7)</f>
        <v>0</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6"/>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6"/>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6"/>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6"/>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6"/>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7"/>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0" t="s">
        <v>1044</v>
      </c>
      <c r="B1" s="3411"/>
      <c r="C1" s="3412"/>
      <c r="D1" s="3413">
        <f>SUM(I10,I15,I20,I21,I23)</f>
        <v>0</v>
      </c>
      <c r="E1" s="3413"/>
      <c r="F1" s="3413"/>
      <c r="G1" s="3413"/>
      <c r="H1" s="3413"/>
      <c r="I1" s="3414"/>
    </row>
    <row r="2" spans="1:9">
      <c r="A2" s="3400" t="s">
        <v>1045</v>
      </c>
      <c r="B2" s="3401" t="s">
        <v>1046</v>
      </c>
      <c r="C2" s="3401"/>
      <c r="D2" s="1211" t="s">
        <v>1047</v>
      </c>
      <c r="E2" s="1211" t="s">
        <v>1048</v>
      </c>
      <c r="F2" s="1211" t="s">
        <v>1049</v>
      </c>
      <c r="G2" s="1211" t="s">
        <v>1050</v>
      </c>
      <c r="H2" s="1211" t="s">
        <v>1051</v>
      </c>
      <c r="I2" s="1212" t="s">
        <v>1052</v>
      </c>
    </row>
    <row r="3" spans="1:9">
      <c r="A3" s="3400"/>
      <c r="B3" s="3401" t="s">
        <v>1053</v>
      </c>
      <c r="C3" s="3401"/>
      <c r="D3" s="1213"/>
      <c r="E3" s="1211"/>
      <c r="F3" s="1214"/>
      <c r="G3" s="1214"/>
      <c r="H3" s="1215"/>
      <c r="I3" s="1216">
        <f>ROUND(D3*E3*F3*G3*H3/10000,0)</f>
        <v>0</v>
      </c>
    </row>
    <row r="4" spans="1:9">
      <c r="A4" s="3400"/>
      <c r="B4" s="3401" t="s">
        <v>1054</v>
      </c>
      <c r="C4" s="3401"/>
      <c r="D4" s="1213"/>
      <c r="E4" s="1211"/>
      <c r="F4" s="1214"/>
      <c r="G4" s="1214"/>
      <c r="H4" s="1215"/>
      <c r="I4" s="1216">
        <f t="shared" ref="I4:I9" si="0">ROUND(D4*E4*F4*G4*H4/10000,0)</f>
        <v>0</v>
      </c>
    </row>
    <row r="5" spans="1:9">
      <c r="A5" s="3400"/>
      <c r="B5" s="3401" t="s">
        <v>1055</v>
      </c>
      <c r="C5" s="3401"/>
      <c r="D5" s="1213"/>
      <c r="E5" s="1211"/>
      <c r="F5" s="1214"/>
      <c r="G5" s="1214"/>
      <c r="H5" s="1215"/>
      <c r="I5" s="1216">
        <f t="shared" si="0"/>
        <v>0</v>
      </c>
    </row>
    <row r="6" spans="1:9">
      <c r="A6" s="3400"/>
      <c r="B6" s="3401" t="s">
        <v>1056</v>
      </c>
      <c r="C6" s="3401"/>
      <c r="D6" s="1213"/>
      <c r="E6" s="1211"/>
      <c r="F6" s="1214"/>
      <c r="G6" s="1214"/>
      <c r="H6" s="1215"/>
      <c r="I6" s="1216">
        <f t="shared" si="0"/>
        <v>0</v>
      </c>
    </row>
    <row r="7" spans="1:9">
      <c r="A7" s="3400"/>
      <c r="B7" s="3401" t="s">
        <v>1057</v>
      </c>
      <c r="C7" s="3401"/>
      <c r="D7" s="1213"/>
      <c r="E7" s="1211"/>
      <c r="F7" s="1214"/>
      <c r="G7" s="1214"/>
      <c r="H7" s="1215"/>
      <c r="I7" s="1216">
        <f t="shared" si="0"/>
        <v>0</v>
      </c>
    </row>
    <row r="8" spans="1:9">
      <c r="A8" s="3400"/>
      <c r="B8" s="3401" t="s">
        <v>1058</v>
      </c>
      <c r="C8" s="3401"/>
      <c r="D8" s="1213"/>
      <c r="E8" s="1211"/>
      <c r="F8" s="1214"/>
      <c r="G8" s="1214"/>
      <c r="H8" s="1215"/>
      <c r="I8" s="1216">
        <f t="shared" si="0"/>
        <v>0</v>
      </c>
    </row>
    <row r="9" spans="1:9">
      <c r="A9" s="3400"/>
      <c r="B9" s="3401" t="s">
        <v>1059</v>
      </c>
      <c r="C9" s="3401"/>
      <c r="D9" s="1213"/>
      <c r="E9" s="1211"/>
      <c r="F9" s="1214"/>
      <c r="G9" s="1214"/>
      <c r="H9" s="1215"/>
      <c r="I9" s="1216">
        <f t="shared" si="0"/>
        <v>0</v>
      </c>
    </row>
    <row r="10" spans="1:9">
      <c r="A10" s="3400"/>
      <c r="B10" s="3402" t="s">
        <v>1060</v>
      </c>
      <c r="C10" s="3402"/>
      <c r="D10" s="1217"/>
      <c r="E10" s="1217" t="e">
        <f>ROUND(D1*10000/D10/H9,0)</f>
        <v>#DIV/0!</v>
      </c>
      <c r="F10" s="1218"/>
      <c r="G10" s="1218"/>
      <c r="H10" s="1219"/>
      <c r="I10" s="1220">
        <f>SUM(I3:I9)</f>
        <v>0</v>
      </c>
    </row>
    <row r="11" spans="1:9" ht="14.25">
      <c r="A11" s="3400" t="s">
        <v>1061</v>
      </c>
      <c r="B11" s="3401" t="s">
        <v>1062</v>
      </c>
      <c r="C11" s="3401"/>
      <c r="D11" s="1213" t="s">
        <v>1063</v>
      </c>
      <c r="E11" s="1213" t="s">
        <v>1064</v>
      </c>
      <c r="F11" s="1214" t="s">
        <v>1065</v>
      </c>
      <c r="G11" s="1214" t="s">
        <v>1051</v>
      </c>
      <c r="H11" s="1221" t="s">
        <v>1066</v>
      </c>
      <c r="I11" s="1212" t="s">
        <v>1052</v>
      </c>
    </row>
    <row r="12" spans="1:9">
      <c r="A12" s="3400"/>
      <c r="B12" s="3401" t="s">
        <v>1067</v>
      </c>
      <c r="C12" s="3401"/>
      <c r="D12" s="1213"/>
      <c r="E12" s="1213"/>
      <c r="F12" s="1214"/>
      <c r="G12" s="1215"/>
      <c r="H12" s="1222"/>
      <c r="I12" s="1212">
        <f>ROUND(D12*E12*F12*G12/10000,0)</f>
        <v>0</v>
      </c>
    </row>
    <row r="13" spans="1:9">
      <c r="A13" s="3400"/>
      <c r="B13" s="3401" t="s">
        <v>1068</v>
      </c>
      <c r="C13" s="3401"/>
      <c r="D13" s="1213"/>
      <c r="E13" s="1213"/>
      <c r="F13" s="1214"/>
      <c r="G13" s="1215"/>
      <c r="H13" s="1222"/>
      <c r="I13" s="1212">
        <f>ROUND(D13*E13*F13*G13/10000,0)</f>
        <v>0</v>
      </c>
    </row>
    <row r="14" spans="1:9">
      <c r="A14" s="3400"/>
      <c r="B14" s="3401" t="s">
        <v>1069</v>
      </c>
      <c r="C14" s="3401"/>
      <c r="D14" s="1213"/>
      <c r="E14" s="1213"/>
      <c r="F14" s="1214"/>
      <c r="G14" s="1215"/>
      <c r="H14" s="1222"/>
      <c r="I14" s="1212">
        <f>ROUND(D14*E14*F14*G14/10000,0)</f>
        <v>0</v>
      </c>
    </row>
    <row r="15" spans="1:9">
      <c r="A15" s="3400"/>
      <c r="B15" s="3402" t="s">
        <v>1060</v>
      </c>
      <c r="C15" s="3402"/>
      <c r="D15" s="1217"/>
      <c r="E15" s="1217">
        <f>SUM(E12:E14)</f>
        <v>0</v>
      </c>
      <c r="F15" s="1218"/>
      <c r="G15" s="1215"/>
      <c r="H15" s="1222"/>
      <c r="I15" s="1223">
        <f>SUM(I12:I14)</f>
        <v>0</v>
      </c>
    </row>
    <row r="16" spans="1:9" ht="24">
      <c r="A16" s="3400" t="s">
        <v>1070</v>
      </c>
      <c r="B16" s="3401" t="s">
        <v>1071</v>
      </c>
      <c r="C16" s="3401"/>
      <c r="D16" s="1213" t="s">
        <v>1047</v>
      </c>
      <c r="E16" s="1224" t="s">
        <v>1072</v>
      </c>
      <c r="F16" s="1214" t="s">
        <v>1073</v>
      </c>
      <c r="G16" s="1215" t="s">
        <v>1051</v>
      </c>
      <c r="H16" s="1221" t="s">
        <v>1066</v>
      </c>
      <c r="I16" s="1212" t="s">
        <v>1052</v>
      </c>
    </row>
    <row r="17" spans="1:9" ht="14.25">
      <c r="A17" s="3400"/>
      <c r="B17" s="3401" t="s">
        <v>1074</v>
      </c>
      <c r="C17" s="3401"/>
      <c r="D17" s="1213"/>
      <c r="E17" s="1213"/>
      <c r="F17" s="1214"/>
      <c r="G17" s="1215"/>
      <c r="H17" s="1225"/>
      <c r="I17" s="1226">
        <f>ROUND(D17*E17*F17*G17/10000,0)</f>
        <v>0</v>
      </c>
    </row>
    <row r="18" spans="1:9" ht="14.25">
      <c r="A18" s="3400"/>
      <c r="B18" s="3401" t="s">
        <v>1075</v>
      </c>
      <c r="C18" s="3401"/>
      <c r="D18" s="1213"/>
      <c r="E18" s="1213"/>
      <c r="F18" s="1214"/>
      <c r="G18" s="1215"/>
      <c r="H18" s="1225"/>
      <c r="I18" s="1226">
        <f>ROUND(D18*E18*F18*G18/10000,0)</f>
        <v>0</v>
      </c>
    </row>
    <row r="19" spans="1:9" ht="14.25">
      <c r="A19" s="3400"/>
      <c r="B19" s="3401" t="s">
        <v>1076</v>
      </c>
      <c r="C19" s="3401"/>
      <c r="D19" s="1213"/>
      <c r="E19" s="1213"/>
      <c r="F19" s="1214"/>
      <c r="G19" s="1215"/>
      <c r="H19" s="1225"/>
      <c r="I19" s="1226">
        <f>ROUND(D19*E19*F19*G19/10000,0)</f>
        <v>0</v>
      </c>
    </row>
    <row r="20" spans="1:9">
      <c r="A20" s="3400"/>
      <c r="B20" s="3402" t="s">
        <v>1060</v>
      </c>
      <c r="C20" s="3402"/>
      <c r="D20" s="1217">
        <f>SUM(D17:D19)</f>
        <v>0</v>
      </c>
      <c r="E20" s="1217"/>
      <c r="F20" s="1218"/>
      <c r="G20" s="1215"/>
      <c r="H20" s="1222"/>
      <c r="I20" s="1223">
        <f>SUM(I17:I19)</f>
        <v>0</v>
      </c>
    </row>
    <row r="21" spans="1:9">
      <c r="A21" s="3400"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397">
        <f>C27-C30-C31-C32</f>
        <v>0</v>
      </c>
      <c r="F26" s="3397"/>
      <c r="G26" s="3397"/>
      <c r="H26" s="1499" t="s">
        <v>1306</v>
      </c>
    </row>
    <row r="27" spans="1:9">
      <c r="A27" s="1234">
        <v>1</v>
      </c>
      <c r="B27" s="1235" t="s">
        <v>1086</v>
      </c>
      <c r="C27" s="1235">
        <f>C28+C29</f>
        <v>0</v>
      </c>
      <c r="D27" s="1235"/>
      <c r="E27" s="3398"/>
      <c r="F27" s="3398"/>
      <c r="G27" s="3398"/>
    </row>
    <row r="28" spans="1:9">
      <c r="A28" s="1236" t="s">
        <v>1087</v>
      </c>
      <c r="B28" s="1235" t="s">
        <v>1088</v>
      </c>
      <c r="C28" s="1235"/>
      <c r="D28" s="1235"/>
      <c r="E28" s="3398"/>
      <c r="F28" s="3398"/>
      <c r="G28" s="33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9"/>
      <c r="F32" s="3399"/>
      <c r="G32" s="3399"/>
    </row>
    <row r="33" spans="1:7" hidden="1">
      <c r="A33" s="3394" t="s">
        <v>1097</v>
      </c>
      <c r="B33" s="3395"/>
      <c r="C33" s="3395"/>
      <c r="D33" s="3396"/>
      <c r="E33" s="3397"/>
      <c r="F33" s="3397"/>
      <c r="G33" s="3397"/>
    </row>
    <row r="34" spans="1:7" hidden="1">
      <c r="A34" s="1238">
        <v>1</v>
      </c>
      <c r="B34" s="1235" t="s">
        <v>1098</v>
      </c>
      <c r="C34" s="1235"/>
      <c r="D34" s="1235"/>
      <c r="E34" s="3398"/>
      <c r="F34" s="3398"/>
      <c r="G34" s="3398"/>
    </row>
    <row r="35" spans="1:7" hidden="1">
      <c r="A35" s="1238">
        <v>2</v>
      </c>
      <c r="B35" s="1235" t="s">
        <v>1099</v>
      </c>
      <c r="C35" s="1235"/>
      <c r="D35" s="1235"/>
      <c r="E35" s="3398"/>
      <c r="F35" s="3398"/>
      <c r="G35" s="3398"/>
    </row>
    <row r="36" spans="1:7" hidden="1">
      <c r="A36" s="1238">
        <v>3</v>
      </c>
      <c r="B36" s="1235" t="s">
        <v>1100</v>
      </c>
      <c r="C36" s="1235"/>
      <c r="D36" s="1235"/>
      <c r="E36" s="3398"/>
      <c r="F36" s="3398"/>
      <c r="G36" s="3398"/>
    </row>
    <row r="37" spans="1:7" hidden="1">
      <c r="A37" s="1238">
        <v>4</v>
      </c>
      <c r="B37" s="1235" t="s">
        <v>1101</v>
      </c>
      <c r="C37" s="1235"/>
      <c r="D37" s="1235"/>
      <c r="E37" s="3398"/>
      <c r="F37" s="3398"/>
      <c r="G37" s="3398"/>
    </row>
    <row r="38" spans="1:7" hidden="1">
      <c r="A38" s="3394" t="s">
        <v>1102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2354</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433" t="s">
        <v>2356</v>
      </c>
      <c r="D4" s="3434"/>
      <c r="E4" s="3435" t="s">
        <v>2357</v>
      </c>
      <c r="F4" s="3436"/>
      <c r="G4" s="3433" t="s">
        <v>2358</v>
      </c>
      <c r="H4" s="3434"/>
      <c r="I4" s="3433" t="s">
        <v>2359</v>
      </c>
      <c r="J4" s="3434"/>
      <c r="K4" s="2075" t="s">
        <v>2360</v>
      </c>
      <c r="L4" s="2942"/>
      <c r="M4" s="2943"/>
      <c r="N4" s="2943"/>
      <c r="O4" s="2943"/>
      <c r="P4" s="3437" t="s">
        <v>2361</v>
      </c>
      <c r="Q4" s="3438"/>
      <c r="R4" s="3443" t="s">
        <v>2357</v>
      </c>
      <c r="S4" s="3444"/>
      <c r="T4" s="3443" t="s">
        <v>2358</v>
      </c>
      <c r="U4" s="3444"/>
      <c r="V4" s="3449" t="s">
        <v>2359</v>
      </c>
      <c r="W4" s="3449"/>
      <c r="X4" s="1539"/>
      <c r="Y4" s="3443" t="s">
        <v>2361</v>
      </c>
      <c r="Z4" s="3444"/>
      <c r="AA4" s="3430" t="s">
        <v>2357</v>
      </c>
      <c r="AB4" s="3430" t="s">
        <v>2358</v>
      </c>
      <c r="AC4" s="3430" t="s">
        <v>2359</v>
      </c>
    </row>
    <row r="5" spans="1:29" ht="15">
      <c r="A5" s="364"/>
      <c r="B5" s="365"/>
      <c r="C5" s="3452" t="s">
        <v>2362</v>
      </c>
      <c r="D5" s="3453"/>
      <c r="E5" s="3459" t="s">
        <v>2363</v>
      </c>
      <c r="F5" s="3460"/>
      <c r="G5" s="3452" t="s">
        <v>2364</v>
      </c>
      <c r="H5" s="3453"/>
      <c r="I5" s="3452" t="s">
        <v>2365</v>
      </c>
      <c r="J5" s="3453"/>
      <c r="K5" s="2076"/>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2076"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54" t="s">
        <v>2369</v>
      </c>
      <c r="Q7" s="3456"/>
      <c r="R7" s="710" t="s">
        <v>23</v>
      </c>
      <c r="S7" s="711">
        <f t="shared" ref="S7:S15" si="0">F7</f>
        <v>0</v>
      </c>
      <c r="T7" s="710" t="s">
        <v>23</v>
      </c>
      <c r="U7" s="711">
        <f t="shared" ref="U7:U15" si="1">H7</f>
        <v>0</v>
      </c>
      <c r="V7" s="710" t="s">
        <v>23</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54" t="s">
        <v>2372</v>
      </c>
      <c r="Q8" s="3455"/>
      <c r="R8" s="710" t="s">
        <v>23</v>
      </c>
      <c r="S8" s="711">
        <f t="shared" si="0"/>
        <v>0</v>
      </c>
      <c r="T8" s="710" t="s">
        <v>23</v>
      </c>
      <c r="U8" s="711">
        <f t="shared" si="1"/>
        <v>0</v>
      </c>
      <c r="V8" s="710" t="s">
        <v>23</v>
      </c>
      <c r="W8" s="711">
        <f t="shared" si="2"/>
        <v>0</v>
      </c>
      <c r="X8" s="712"/>
      <c r="Y8" s="3454" t="s">
        <v>2372</v>
      </c>
      <c r="Z8" s="3455"/>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29"/>
      <c r="Q11" s="1527"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29"/>
      <c r="Q12" s="1527">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29"/>
      <c r="Q13" s="1527">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29"/>
      <c r="Q14" s="1527">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99.75">
      <c r="A15" s="399" t="s">
        <v>2379</v>
      </c>
      <c r="B15" s="65" t="s">
        <v>1942</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27" t="s">
        <v>2380</v>
      </c>
      <c r="Q15" s="1536" t="str">
        <f t="shared" si="6"/>
        <v>居住社区成熟度</v>
      </c>
      <c r="R15" s="714" t="s">
        <v>21</v>
      </c>
      <c r="S15" s="715">
        <f t="shared" si="0"/>
        <v>100</v>
      </c>
      <c r="T15" s="714" t="s">
        <v>21</v>
      </c>
      <c r="U15" s="715">
        <f t="shared" si="1"/>
        <v>100</v>
      </c>
      <c r="V15" s="714" t="s">
        <v>21</v>
      </c>
      <c r="W15" s="715">
        <f t="shared" si="2"/>
        <v>100</v>
      </c>
      <c r="X15" s="1539"/>
      <c r="Y15" s="3420"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28"/>
      <c r="Q17" s="1536" t="str">
        <f>B17</f>
        <v>交通便捷度</v>
      </c>
      <c r="R17" s="714" t="s">
        <v>21</v>
      </c>
      <c r="S17" s="715">
        <f>F17</f>
        <v>100</v>
      </c>
      <c r="T17" s="714" t="s">
        <v>21</v>
      </c>
      <c r="U17" s="715">
        <f>H17</f>
        <v>100</v>
      </c>
      <c r="V17" s="714" t="s">
        <v>21</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1943</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28"/>
      <c r="Q19" s="1536" t="str">
        <f>B19</f>
        <v>公共配套设施</v>
      </c>
      <c r="R19" s="714" t="s">
        <v>21</v>
      </c>
      <c r="S19" s="715">
        <f>F19</f>
        <v>100</v>
      </c>
      <c r="T19" s="714" t="s">
        <v>21</v>
      </c>
      <c r="U19" s="715">
        <f>H19</f>
        <v>100</v>
      </c>
      <c r="V19" s="714" t="s">
        <v>21</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1945</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1946</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28"/>
      <c r="Q23" s="1536" t="str">
        <f>B23</f>
        <v>自然及人文环境</v>
      </c>
      <c r="R23" s="714" t="s">
        <v>21</v>
      </c>
      <c r="S23" s="715">
        <f>F23</f>
        <v>100</v>
      </c>
      <c r="T23" s="714" t="s">
        <v>21</v>
      </c>
      <c r="U23" s="715">
        <f>H23</f>
        <v>100</v>
      </c>
      <c r="V23" s="714" t="s">
        <v>21</v>
      </c>
      <c r="W23" s="715">
        <f>J23</f>
        <v>100</v>
      </c>
      <c r="X23" s="1539"/>
      <c r="Y23" s="34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2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28"/>
      <c r="Q26" s="1536" t="str">
        <f t="shared" si="11"/>
        <v>朝向</v>
      </c>
      <c r="R26" s="714" t="s">
        <v>21</v>
      </c>
      <c r="S26" s="715">
        <f t="shared" si="12"/>
        <v>100</v>
      </c>
      <c r="T26" s="714" t="s">
        <v>21</v>
      </c>
      <c r="U26" s="715">
        <f t="shared" si="13"/>
        <v>100</v>
      </c>
      <c r="V26" s="714" t="s">
        <v>21</v>
      </c>
      <c r="W26" s="715">
        <f t="shared" si="14"/>
        <v>100</v>
      </c>
      <c r="X26" s="1539"/>
      <c r="Y26" s="34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28"/>
      <c r="Q27" s="1527">
        <f t="shared" si="11"/>
        <v>111</v>
      </c>
      <c r="R27" s="710" t="s">
        <v>21</v>
      </c>
      <c r="S27" s="711">
        <f t="shared" si="12"/>
        <v>100</v>
      </c>
      <c r="T27" s="710" t="s">
        <v>21</v>
      </c>
      <c r="U27" s="711">
        <f t="shared" si="13"/>
        <v>100</v>
      </c>
      <c r="V27" s="710" t="s">
        <v>21</v>
      </c>
      <c r="W27" s="711">
        <f t="shared" si="14"/>
        <v>100</v>
      </c>
      <c r="X27" s="712"/>
      <c r="Y27" s="34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28"/>
      <c r="Q28" s="1536">
        <f t="shared" si="11"/>
        <v>111</v>
      </c>
      <c r="R28" s="714" t="s">
        <v>21</v>
      </c>
      <c r="S28" s="715">
        <f t="shared" si="12"/>
        <v>100</v>
      </c>
      <c r="T28" s="714" t="s">
        <v>21</v>
      </c>
      <c r="U28" s="715">
        <f t="shared" si="13"/>
        <v>100</v>
      </c>
      <c r="V28" s="714" t="s">
        <v>21</v>
      </c>
      <c r="W28" s="715">
        <f t="shared" si="14"/>
        <v>100</v>
      </c>
      <c r="X28" s="1539"/>
      <c r="Y28" s="34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28"/>
      <c r="Q29" s="1536">
        <f t="shared" si="11"/>
        <v>111</v>
      </c>
      <c r="R29" s="714" t="s">
        <v>21</v>
      </c>
      <c r="S29" s="715">
        <f t="shared" si="12"/>
        <v>100</v>
      </c>
      <c r="T29" s="714" t="s">
        <v>21</v>
      </c>
      <c r="U29" s="715">
        <f t="shared" si="13"/>
        <v>100</v>
      </c>
      <c r="V29" s="714" t="s">
        <v>21</v>
      </c>
      <c r="W29" s="715">
        <f t="shared" si="14"/>
        <v>100</v>
      </c>
      <c r="X29" s="1539"/>
      <c r="Y29" s="34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28"/>
      <c r="Q30" s="1536">
        <f t="shared" si="11"/>
        <v>111</v>
      </c>
      <c r="R30" s="714" t="s">
        <v>21</v>
      </c>
      <c r="S30" s="715">
        <f t="shared" si="12"/>
        <v>100</v>
      </c>
      <c r="T30" s="714" t="s">
        <v>21</v>
      </c>
      <c r="U30" s="715">
        <f t="shared" si="13"/>
        <v>100</v>
      </c>
      <c r="V30" s="714" t="s">
        <v>21</v>
      </c>
      <c r="W30" s="715">
        <f t="shared" si="14"/>
        <v>100</v>
      </c>
      <c r="X30" s="1539"/>
      <c r="Y30" s="34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28"/>
      <c r="Q31" s="1536">
        <f t="shared" si="11"/>
        <v>111</v>
      </c>
      <c r="R31" s="714" t="s">
        <v>21</v>
      </c>
      <c r="S31" s="715">
        <f t="shared" si="12"/>
        <v>100</v>
      </c>
      <c r="T31" s="714" t="s">
        <v>21</v>
      </c>
      <c r="U31" s="715">
        <f t="shared" si="13"/>
        <v>100</v>
      </c>
      <c r="V31" s="714" t="s">
        <v>21</v>
      </c>
      <c r="W31" s="715">
        <f t="shared" si="14"/>
        <v>100</v>
      </c>
      <c r="X31" s="1539"/>
      <c r="Y31" s="3421"/>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22" t="s">
        <v>2385</v>
      </c>
      <c r="Q32" s="1536" t="str">
        <f t="shared" si="11"/>
        <v>建筑类型</v>
      </c>
      <c r="R32" s="714" t="s">
        <v>21</v>
      </c>
      <c r="S32" s="715">
        <f t="shared" si="12"/>
        <v>100</v>
      </c>
      <c r="T32" s="714" t="s">
        <v>21</v>
      </c>
      <c r="U32" s="715">
        <f t="shared" si="13"/>
        <v>100</v>
      </c>
      <c r="V32" s="714" t="s">
        <v>21</v>
      </c>
      <c r="W32" s="715">
        <f t="shared" si="14"/>
        <v>100</v>
      </c>
      <c r="X32" s="1539"/>
      <c r="Y32" s="342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23"/>
      <c r="Q34" s="1536" t="str">
        <f t="shared" si="11"/>
        <v>建筑结构</v>
      </c>
      <c r="R34" s="714" t="s">
        <v>21</v>
      </c>
      <c r="S34" s="715">
        <f t="shared" si="12"/>
        <v>100</v>
      </c>
      <c r="T34" s="714" t="s">
        <v>21</v>
      </c>
      <c r="U34" s="715">
        <f t="shared" si="13"/>
        <v>100</v>
      </c>
      <c r="V34" s="714" t="s">
        <v>21</v>
      </c>
      <c r="W34" s="715">
        <f t="shared" si="14"/>
        <v>100</v>
      </c>
      <c r="X34" s="1539"/>
      <c r="Y34" s="3425"/>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23"/>
      <c r="Q35" s="1536" t="str">
        <f t="shared" si="11"/>
        <v>建筑品质</v>
      </c>
      <c r="R35" s="714" t="s">
        <v>21</v>
      </c>
      <c r="S35" s="715">
        <f t="shared" si="12"/>
        <v>100</v>
      </c>
      <c r="T35" s="714" t="s">
        <v>21</v>
      </c>
      <c r="U35" s="715">
        <f t="shared" si="13"/>
        <v>100</v>
      </c>
      <c r="V35" s="714" t="s">
        <v>21</v>
      </c>
      <c r="W35" s="715">
        <f t="shared" si="14"/>
        <v>100</v>
      </c>
      <c r="X35" s="1539"/>
      <c r="Y35" s="3425"/>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23"/>
      <c r="Q36" s="1536" t="str">
        <f t="shared" si="11"/>
        <v>公共部分装修</v>
      </c>
      <c r="R36" s="714" t="s">
        <v>21</v>
      </c>
      <c r="S36" s="715">
        <f t="shared" si="12"/>
        <v>100</v>
      </c>
      <c r="T36" s="714" t="s">
        <v>21</v>
      </c>
      <c r="U36" s="715">
        <f t="shared" si="13"/>
        <v>100</v>
      </c>
      <c r="V36" s="714" t="s">
        <v>21</v>
      </c>
      <c r="W36" s="715">
        <f t="shared" si="14"/>
        <v>100</v>
      </c>
      <c r="X36" s="1539"/>
      <c r="Y36" s="342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23"/>
      <c r="Q37" s="1527"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23" t="s">
        <v>2385</v>
      </c>
      <c r="Q38" s="1536" t="str">
        <f t="shared" si="11"/>
        <v>物业管理</v>
      </c>
      <c r="R38" s="714" t="s">
        <v>21</v>
      </c>
      <c r="S38" s="715">
        <f t="shared" si="12"/>
        <v>100</v>
      </c>
      <c r="T38" s="714" t="s">
        <v>21</v>
      </c>
      <c r="U38" s="715">
        <f t="shared" si="13"/>
        <v>100</v>
      </c>
      <c r="V38" s="714" t="s">
        <v>21</v>
      </c>
      <c r="W38" s="715">
        <f t="shared" si="14"/>
        <v>100</v>
      </c>
      <c r="X38" s="1539"/>
      <c r="Y38" s="3425"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23"/>
      <c r="Q39" s="1536" t="str">
        <f t="shared" si="11"/>
        <v>市政基础设施</v>
      </c>
      <c r="R39" s="714" t="s">
        <v>21</v>
      </c>
      <c r="S39" s="715">
        <f t="shared" si="12"/>
        <v>100</v>
      </c>
      <c r="T39" s="714" t="s">
        <v>21</v>
      </c>
      <c r="U39" s="715">
        <f t="shared" si="13"/>
        <v>100</v>
      </c>
      <c r="V39" s="714" t="s">
        <v>21</v>
      </c>
      <c r="W39" s="715">
        <f t="shared" si="14"/>
        <v>100</v>
      </c>
      <c r="X39" s="1539"/>
      <c r="Y39" s="3425"/>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23"/>
      <c r="Q40" s="1536" t="str">
        <f t="shared" si="11"/>
        <v>房型</v>
      </c>
      <c r="R40" s="714" t="s">
        <v>21</v>
      </c>
      <c r="S40" s="715">
        <f t="shared" si="12"/>
        <v>100</v>
      </c>
      <c r="T40" s="714" t="s">
        <v>21</v>
      </c>
      <c r="U40" s="715">
        <f t="shared" si="13"/>
        <v>100</v>
      </c>
      <c r="V40" s="714" t="s">
        <v>21</v>
      </c>
      <c r="W40" s="715">
        <f t="shared" si="14"/>
        <v>100</v>
      </c>
      <c r="X40" s="1539"/>
      <c r="Y40" s="342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23"/>
      <c r="Q42" s="1536" t="str">
        <f t="shared" si="11"/>
        <v>内部装修</v>
      </c>
      <c r="R42" s="714" t="s">
        <v>21</v>
      </c>
      <c r="S42" s="715">
        <f t="shared" si="12"/>
        <v>100</v>
      </c>
      <c r="T42" s="714" t="s">
        <v>21</v>
      </c>
      <c r="U42" s="715">
        <f t="shared" si="13"/>
        <v>100</v>
      </c>
      <c r="V42" s="714" t="s">
        <v>21</v>
      </c>
      <c r="W42" s="715">
        <f t="shared" si="14"/>
        <v>100</v>
      </c>
      <c r="X42" s="1539"/>
      <c r="Y42" s="3425"/>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23"/>
      <c r="Q43" s="1536" t="str">
        <f t="shared" si="11"/>
        <v>内部装修维护情况</v>
      </c>
      <c r="R43" s="714" t="s">
        <v>21</v>
      </c>
      <c r="S43" s="715">
        <f t="shared" si="12"/>
        <v>100</v>
      </c>
      <c r="T43" s="714" t="s">
        <v>21</v>
      </c>
      <c r="U43" s="715">
        <f t="shared" si="13"/>
        <v>100</v>
      </c>
      <c r="V43" s="714" t="s">
        <v>21</v>
      </c>
      <c r="W43" s="715">
        <f t="shared" si="14"/>
        <v>100</v>
      </c>
      <c r="X43" s="1539"/>
      <c r="Y43" s="34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23"/>
      <c r="Q44" s="1527">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23"/>
      <c r="Q45" s="1536">
        <f t="shared" si="11"/>
        <v>111</v>
      </c>
      <c r="R45" s="714" t="s">
        <v>21</v>
      </c>
      <c r="S45" s="715">
        <f t="shared" si="12"/>
        <v>100</v>
      </c>
      <c r="T45" s="714" t="s">
        <v>21</v>
      </c>
      <c r="U45" s="715">
        <f t="shared" si="13"/>
        <v>100</v>
      </c>
      <c r="V45" s="714" t="s">
        <v>21</v>
      </c>
      <c r="W45" s="715">
        <f t="shared" si="14"/>
        <v>100</v>
      </c>
      <c r="X45" s="1539"/>
      <c r="Y45" s="34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24"/>
      <c r="Q46" s="1536">
        <f t="shared" si="11"/>
        <v>111</v>
      </c>
      <c r="R46" s="714" t="s">
        <v>20</v>
      </c>
      <c r="S46" s="715">
        <f t="shared" si="12"/>
        <v>100</v>
      </c>
      <c r="T46" s="714" t="s">
        <v>20</v>
      </c>
      <c r="U46" s="715">
        <f t="shared" si="13"/>
        <v>100</v>
      </c>
      <c r="V46" s="714" t="s">
        <v>20</v>
      </c>
      <c r="W46" s="715">
        <f t="shared" si="14"/>
        <v>100</v>
      </c>
      <c r="X46" s="1539"/>
      <c r="Y46" s="342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418" t="str">
        <f>A47</f>
        <v>成交单价（元/平方米）</v>
      </c>
      <c r="Q47" s="3418"/>
      <c r="R47" s="3419">
        <f>E47</f>
        <v>0</v>
      </c>
      <c r="S47" s="3419"/>
      <c r="T47" s="3419">
        <f>G47</f>
        <v>0</v>
      </c>
      <c r="U47" s="3419"/>
      <c r="V47" s="3419">
        <f>I47</f>
        <v>0</v>
      </c>
      <c r="W47" s="3419"/>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7" zoomScale="85" zoomScaleNormal="70" zoomScaleSheetLayoutView="85"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3205</v>
      </c>
      <c r="G1" s="1403" t="s">
        <v>2352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1358</v>
      </c>
      <c r="B2" s="1326">
        <f>IF(C2="——",ROUND(C49*D3/10000,0),ROUND(C49*D3/10000,0)-D2)</f>
        <v>5705</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1359</v>
      </c>
      <c r="B3" s="566">
        <f>IF(C2="——",C49,ROUND(B2*10000/D3,0))</f>
        <v>57362</v>
      </c>
      <c r="C3" s="360" t="s">
        <v>2354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2355</v>
      </c>
      <c r="B4" s="362"/>
      <c r="C4" s="3433" t="s">
        <v>2356</v>
      </c>
      <c r="D4" s="3434"/>
      <c r="E4" s="3435" t="s">
        <v>2357</v>
      </c>
      <c r="F4" s="3436"/>
      <c r="G4" s="3433" t="s">
        <v>2358</v>
      </c>
      <c r="H4" s="3434"/>
      <c r="I4" s="3433" t="s">
        <v>2359</v>
      </c>
      <c r="J4" s="3434"/>
      <c r="K4" s="567" t="s">
        <v>2360</v>
      </c>
      <c r="L4" s="2942"/>
      <c r="M4" s="2943"/>
      <c r="N4" s="2943"/>
      <c r="O4" s="2943"/>
      <c r="P4" s="3437" t="s">
        <v>2361</v>
      </c>
      <c r="Q4" s="3438"/>
      <c r="R4" s="3443" t="s">
        <v>2357</v>
      </c>
      <c r="S4" s="3444"/>
      <c r="T4" s="3443" t="s">
        <v>2358</v>
      </c>
      <c r="U4" s="3444"/>
      <c r="V4" s="3449" t="s">
        <v>2359</v>
      </c>
      <c r="W4" s="3449"/>
      <c r="X4" s="3060"/>
      <c r="Y4" s="3443" t="s">
        <v>2361</v>
      </c>
      <c r="Z4" s="3444"/>
      <c r="AA4" s="3430" t="s">
        <v>2357</v>
      </c>
      <c r="AB4" s="3449" t="s">
        <v>2358</v>
      </c>
      <c r="AC4" s="3430" t="s">
        <v>2359</v>
      </c>
    </row>
    <row r="5" spans="1:29" ht="15">
      <c r="A5" s="364"/>
      <c r="B5" s="365"/>
      <c r="C5" s="3461" t="s">
        <v>3223</v>
      </c>
      <c r="D5" s="3453"/>
      <c r="E5" s="3462" t="s">
        <v>3269</v>
      </c>
      <c r="F5" s="3460"/>
      <c r="G5" s="3461" t="s">
        <v>3269</v>
      </c>
      <c r="H5" s="3453"/>
      <c r="I5" s="3461" t="s">
        <v>3278</v>
      </c>
      <c r="J5" s="3453"/>
      <c r="K5" s="567"/>
      <c r="L5" s="2942"/>
      <c r="M5" s="2943"/>
      <c r="N5" s="2943"/>
      <c r="O5" s="2943"/>
      <c r="P5" s="3439"/>
      <c r="Q5" s="3440"/>
      <c r="R5" s="3445"/>
      <c r="S5" s="3446"/>
      <c r="T5" s="3445"/>
      <c r="U5" s="3446"/>
      <c r="V5" s="3449"/>
      <c r="W5" s="3449"/>
      <c r="X5" s="3060"/>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3060"/>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3227</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3059" t="str">
        <f t="shared" ref="Q9:Q15" si="6">B9</f>
        <v>用途</v>
      </c>
      <c r="R9" s="710" t="s">
        <v>17</v>
      </c>
      <c r="S9" s="711">
        <f t="shared" si="0"/>
        <v>100</v>
      </c>
      <c r="T9" s="710" t="s">
        <v>17</v>
      </c>
      <c r="U9" s="711">
        <f t="shared" si="1"/>
        <v>100</v>
      </c>
      <c r="V9" s="710" t="s">
        <v>17</v>
      </c>
      <c r="W9" s="711">
        <f t="shared" si="2"/>
        <v>100</v>
      </c>
      <c r="X9" s="712"/>
      <c r="Y9" s="3244" t="s">
        <v>2376</v>
      </c>
      <c r="Z9" s="3058"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3" t="s">
        <v>3262</v>
      </c>
      <c r="H10" s="132">
        <f>SUMIF(65:65,G10,66:66)-SUMIF(65:65,C10,66:66)+100</f>
        <v>100</v>
      </c>
      <c r="I10" s="383" t="s">
        <v>3262</v>
      </c>
      <c r="J10" s="132">
        <f>SUMIF(65:65,I10,66:66)-SUMIF(65:65,C10,66:66)+100</f>
        <v>100</v>
      </c>
      <c r="K10" s="569">
        <v>1</v>
      </c>
      <c r="L10" s="2946"/>
      <c r="M10" s="2947"/>
      <c r="N10" s="2947"/>
      <c r="O10" s="2947"/>
      <c r="P10" s="3429"/>
      <c r="Q10" s="3059" t="str">
        <f t="shared" si="6"/>
        <v>土地使用年限（年）</v>
      </c>
      <c r="R10" s="710" t="s">
        <v>17</v>
      </c>
      <c r="S10" s="711">
        <f t="shared" si="0"/>
        <v>100</v>
      </c>
      <c r="T10" s="710" t="s">
        <v>17</v>
      </c>
      <c r="U10" s="711">
        <f t="shared" si="1"/>
        <v>100</v>
      </c>
      <c r="V10" s="710" t="s">
        <v>17</v>
      </c>
      <c r="W10" s="711">
        <f t="shared" si="2"/>
        <v>100</v>
      </c>
      <c r="X10" s="712"/>
      <c r="Y10" s="3244"/>
      <c r="Z10" s="3058"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3059" t="str">
        <f t="shared" si="6"/>
        <v>容积率</v>
      </c>
      <c r="R11" s="710" t="s">
        <v>17</v>
      </c>
      <c r="S11" s="711">
        <f t="shared" si="0"/>
        <v>100</v>
      </c>
      <c r="T11" s="710" t="s">
        <v>17</v>
      </c>
      <c r="U11" s="711">
        <f t="shared" si="1"/>
        <v>100</v>
      </c>
      <c r="V11" s="710" t="s">
        <v>17</v>
      </c>
      <c r="W11" s="711">
        <f t="shared" si="2"/>
        <v>100</v>
      </c>
      <c r="X11" s="712"/>
      <c r="Y11" s="3244"/>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3059">
        <f t="shared" si="6"/>
        <v>111</v>
      </c>
      <c r="R12" s="710" t="s">
        <v>17</v>
      </c>
      <c r="S12" s="711">
        <f t="shared" si="0"/>
        <v>100</v>
      </c>
      <c r="T12" s="710" t="s">
        <v>17</v>
      </c>
      <c r="U12" s="711">
        <f t="shared" si="1"/>
        <v>100</v>
      </c>
      <c r="V12" s="710" t="s">
        <v>17</v>
      </c>
      <c r="W12" s="711">
        <f t="shared" si="2"/>
        <v>100</v>
      </c>
      <c r="X12" s="712"/>
      <c r="Y12" s="3244"/>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3059">
        <f t="shared" si="6"/>
        <v>111</v>
      </c>
      <c r="R13" s="710" t="s">
        <v>17</v>
      </c>
      <c r="S13" s="711">
        <f t="shared" si="0"/>
        <v>100</v>
      </c>
      <c r="T13" s="710" t="s">
        <v>17</v>
      </c>
      <c r="U13" s="711">
        <f t="shared" si="1"/>
        <v>100</v>
      </c>
      <c r="V13" s="710" t="s">
        <v>17</v>
      </c>
      <c r="W13" s="711">
        <f t="shared" si="2"/>
        <v>100</v>
      </c>
      <c r="X13" s="712"/>
      <c r="Y13" s="3244"/>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3059">
        <f t="shared" si="6"/>
        <v>111</v>
      </c>
      <c r="R14" s="710" t="s">
        <v>17</v>
      </c>
      <c r="S14" s="711">
        <f t="shared" si="0"/>
        <v>100</v>
      </c>
      <c r="T14" s="710" t="s">
        <v>17</v>
      </c>
      <c r="U14" s="711">
        <f t="shared" si="1"/>
        <v>100</v>
      </c>
      <c r="V14" s="710" t="s">
        <v>17</v>
      </c>
      <c r="W14" s="711">
        <f t="shared" si="2"/>
        <v>100</v>
      </c>
      <c r="X14" s="712"/>
      <c r="Y14" s="3244"/>
      <c r="Z14" s="3058">
        <f t="shared" si="7"/>
        <v>111</v>
      </c>
      <c r="AA14" s="713">
        <f t="shared" si="3"/>
        <v>1</v>
      </c>
      <c r="AB14" s="713">
        <f t="shared" si="4"/>
        <v>1</v>
      </c>
      <c r="AC14" s="713">
        <f t="shared" si="5"/>
        <v>1</v>
      </c>
    </row>
    <row r="15" spans="1:29" ht="81"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3063" t="str">
        <f t="shared" si="6"/>
        <v>商业繁华度</v>
      </c>
      <c r="R15" s="714" t="s">
        <v>17</v>
      </c>
      <c r="S15" s="715">
        <f t="shared" si="0"/>
        <v>100</v>
      </c>
      <c r="T15" s="714" t="s">
        <v>17</v>
      </c>
      <c r="U15" s="715">
        <f t="shared" si="1"/>
        <v>100</v>
      </c>
      <c r="V15" s="714" t="s">
        <v>17</v>
      </c>
      <c r="W15" s="715">
        <f t="shared" si="2"/>
        <v>100</v>
      </c>
      <c r="X15" s="3060"/>
      <c r="Y15" s="3420" t="s">
        <v>2380</v>
      </c>
      <c r="Z15" s="3061" t="str">
        <f t="shared" si="7"/>
        <v>商业繁华度</v>
      </c>
      <c r="AA15" s="3064">
        <f t="shared" si="3"/>
        <v>1</v>
      </c>
      <c r="AB15" s="3064">
        <f t="shared" si="4"/>
        <v>1</v>
      </c>
      <c r="AC15" s="3064">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3063"/>
      <c r="R16" s="714"/>
      <c r="S16" s="715"/>
      <c r="T16" s="714"/>
      <c r="U16" s="715"/>
      <c r="V16" s="714"/>
      <c r="W16" s="715"/>
      <c r="X16" s="3060"/>
      <c r="Y16" s="3421"/>
      <c r="Z16" s="3061"/>
      <c r="AA16" s="3064">
        <v>1</v>
      </c>
      <c r="AB16" s="3064">
        <v>1</v>
      </c>
      <c r="AC16" s="3064">
        <v>1</v>
      </c>
    </row>
    <row r="17" spans="1:29" ht="53.2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3063" t="str">
        <f>B17</f>
        <v>交通便捷度</v>
      </c>
      <c r="R17" s="714" t="s">
        <v>17</v>
      </c>
      <c r="S17" s="715">
        <f>F17</f>
        <v>100</v>
      </c>
      <c r="T17" s="714" t="s">
        <v>17</v>
      </c>
      <c r="U17" s="715">
        <f>H17</f>
        <v>100</v>
      </c>
      <c r="V17" s="714" t="s">
        <v>17</v>
      </c>
      <c r="W17" s="715">
        <f>J17</f>
        <v>100</v>
      </c>
      <c r="X17" s="3060"/>
      <c r="Y17" s="3421"/>
      <c r="Z17" s="3061" t="str">
        <f>Q17</f>
        <v>交通便捷度</v>
      </c>
      <c r="AA17" s="3064">
        <f t="shared" si="3"/>
        <v>1</v>
      </c>
      <c r="AB17" s="3064">
        <f t="shared" si="4"/>
        <v>1</v>
      </c>
      <c r="AC17" s="3064">
        <f t="shared" si="5"/>
        <v>1</v>
      </c>
    </row>
    <row r="18" spans="1:29" ht="15">
      <c r="A18" s="387"/>
      <c r="B18" s="415"/>
      <c r="C18" s="2087" t="s">
        <v>3257</v>
      </c>
      <c r="D18" s="409"/>
      <c r="E18" s="406" t="s">
        <v>3257</v>
      </c>
      <c r="F18" s="412"/>
      <c r="G18" s="406" t="s">
        <v>3257</v>
      </c>
      <c r="H18" s="407"/>
      <c r="I18" s="406" t="s">
        <v>3257</v>
      </c>
      <c r="J18" s="407"/>
      <c r="K18" s="572"/>
      <c r="L18" s="2949"/>
      <c r="M18" s="2943"/>
      <c r="N18" s="2943"/>
      <c r="O18" s="2943"/>
      <c r="P18" s="3428"/>
      <c r="Q18" s="3063"/>
      <c r="R18" s="714"/>
      <c r="S18" s="715"/>
      <c r="T18" s="714"/>
      <c r="U18" s="715"/>
      <c r="V18" s="714"/>
      <c r="W18" s="715"/>
      <c r="X18" s="3060"/>
      <c r="Y18" s="3421"/>
      <c r="Z18" s="3061"/>
      <c r="AA18" s="3064">
        <v>1</v>
      </c>
      <c r="AB18" s="3064">
        <v>1</v>
      </c>
      <c r="AC18" s="3064">
        <v>1</v>
      </c>
    </row>
    <row r="19" spans="1:29" ht="93.7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3063" t="str">
        <f>B19</f>
        <v>公共配套设施</v>
      </c>
      <c r="R19" s="714" t="s">
        <v>17</v>
      </c>
      <c r="S19" s="715">
        <f>F19</f>
        <v>100</v>
      </c>
      <c r="T19" s="714" t="s">
        <v>17</v>
      </c>
      <c r="U19" s="715">
        <f>H19</f>
        <v>100</v>
      </c>
      <c r="V19" s="714" t="s">
        <v>17</v>
      </c>
      <c r="W19" s="715">
        <f>J19</f>
        <v>100</v>
      </c>
      <c r="X19" s="3060"/>
      <c r="Y19" s="3421"/>
      <c r="Z19" s="3061" t="str">
        <f>Q19</f>
        <v>公共配套设施</v>
      </c>
      <c r="AA19" s="3064">
        <f t="shared" si="3"/>
        <v>1</v>
      </c>
      <c r="AB19" s="3064">
        <f t="shared" si="4"/>
        <v>1</v>
      </c>
      <c r="AC19" s="3064">
        <f t="shared" si="5"/>
        <v>1</v>
      </c>
    </row>
    <row r="20" spans="1:29" ht="13.5" customHeight="1">
      <c r="A20" s="387"/>
      <c r="B20" s="415"/>
      <c r="C20" s="406" t="s">
        <v>3257</v>
      </c>
      <c r="D20" s="407"/>
      <c r="E20" s="406" t="s">
        <v>3257</v>
      </c>
      <c r="F20" s="408"/>
      <c r="G20" s="406" t="s">
        <v>3257</v>
      </c>
      <c r="H20" s="407"/>
      <c r="I20" s="406" t="s">
        <v>3257</v>
      </c>
      <c r="J20" s="407"/>
      <c r="K20" s="572"/>
      <c r="L20" s="2949"/>
      <c r="M20" s="2943"/>
      <c r="N20" s="2943"/>
      <c r="O20" s="2943"/>
      <c r="P20" s="3428"/>
      <c r="Q20" s="3063"/>
      <c r="R20" s="714"/>
      <c r="S20" s="715"/>
      <c r="T20" s="714"/>
      <c r="U20" s="715"/>
      <c r="V20" s="714"/>
      <c r="W20" s="715"/>
      <c r="X20" s="3060"/>
      <c r="Y20" s="3421"/>
      <c r="Z20" s="3061"/>
      <c r="AA20" s="3064">
        <v>1</v>
      </c>
      <c r="AB20" s="3064">
        <v>1</v>
      </c>
      <c r="AC20" s="3064">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3063" t="str">
        <f>B21</f>
        <v>基础设施水平</v>
      </c>
      <c r="R21" s="714" t="s">
        <v>17</v>
      </c>
      <c r="S21" s="715">
        <f>F21</f>
        <v>100</v>
      </c>
      <c r="T21" s="714" t="s">
        <v>17</v>
      </c>
      <c r="U21" s="715">
        <f>H21</f>
        <v>100</v>
      </c>
      <c r="V21" s="714" t="s">
        <v>17</v>
      </c>
      <c r="W21" s="715">
        <f>J21</f>
        <v>100</v>
      </c>
      <c r="X21" s="3060"/>
      <c r="Y21" s="3421"/>
      <c r="Z21" s="3061" t="str">
        <f>Q21</f>
        <v>基础设施水平</v>
      </c>
      <c r="AA21" s="3064">
        <f t="shared" ref="AA21" si="8">D21/F21</f>
        <v>1</v>
      </c>
      <c r="AB21" s="3064">
        <f t="shared" ref="AB21" si="9">D21/H21</f>
        <v>1</v>
      </c>
      <c r="AC21" s="3064">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3063"/>
      <c r="R22" s="714"/>
      <c r="S22" s="715"/>
      <c r="T22" s="714"/>
      <c r="U22" s="715"/>
      <c r="V22" s="714"/>
      <c r="W22" s="715"/>
      <c r="X22" s="3060"/>
      <c r="Y22" s="3421"/>
      <c r="Z22" s="3061"/>
      <c r="AA22" s="3064">
        <v>1</v>
      </c>
      <c r="AB22" s="3064">
        <v>1</v>
      </c>
      <c r="AC22" s="3064">
        <v>1</v>
      </c>
    </row>
    <row r="23" spans="1:29" ht="77.2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3063" t="str">
        <f>B23</f>
        <v>自然及人文环境</v>
      </c>
      <c r="R23" s="714" t="s">
        <v>17</v>
      </c>
      <c r="S23" s="715">
        <f>F23</f>
        <v>100</v>
      </c>
      <c r="T23" s="714" t="s">
        <v>17</v>
      </c>
      <c r="U23" s="715">
        <f>H23</f>
        <v>100</v>
      </c>
      <c r="V23" s="714" t="s">
        <v>17</v>
      </c>
      <c r="W23" s="715">
        <f>J23</f>
        <v>100</v>
      </c>
      <c r="X23" s="3060"/>
      <c r="Y23" s="3421"/>
      <c r="Z23" s="3061" t="str">
        <f>Q23</f>
        <v>自然及人文环境</v>
      </c>
      <c r="AA23" s="3064">
        <f t="shared" si="3"/>
        <v>1</v>
      </c>
      <c r="AB23" s="3064">
        <f t="shared" si="4"/>
        <v>1</v>
      </c>
      <c r="AC23" s="3064">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28"/>
      <c r="Q24" s="3063"/>
      <c r="R24" s="714"/>
      <c r="S24" s="715"/>
      <c r="T24" s="714"/>
      <c r="U24" s="715"/>
      <c r="V24" s="714"/>
      <c r="W24" s="715"/>
      <c r="X24" s="3060"/>
      <c r="Y24" s="3421"/>
      <c r="Z24" s="3061"/>
      <c r="AA24" s="3064">
        <v>1</v>
      </c>
      <c r="AB24" s="3064">
        <v>1</v>
      </c>
      <c r="AC24" s="3064">
        <v>1</v>
      </c>
    </row>
    <row r="25" spans="1:29" ht="15">
      <c r="A25" s="387"/>
      <c r="B25" s="381" t="s">
        <v>2476</v>
      </c>
      <c r="C25" s="573" t="s">
        <v>3248</v>
      </c>
      <c r="D25" s="394">
        <v>100</v>
      </c>
      <c r="E25" s="573" t="s">
        <v>3251</v>
      </c>
      <c r="F25" s="420">
        <f>SUMIF(86:86,E25,87:87)-SUMIF(86:86,C25,87:87)+100</f>
        <v>103</v>
      </c>
      <c r="G25" s="573" t="s">
        <v>3251</v>
      </c>
      <c r="H25" s="394">
        <f>SUMIF(86:86,G25,87:87)-SUMIF(86:86,C25,87:87)+100</f>
        <v>103</v>
      </c>
      <c r="I25" s="573" t="s">
        <v>3251</v>
      </c>
      <c r="J25" s="394">
        <f>SUMIF(86:86,I25,87:87)-SUMIF(86:86,C25,87:87)+100</f>
        <v>103</v>
      </c>
      <c r="K25" s="569">
        <v>3</v>
      </c>
      <c r="L25" s="2949"/>
      <c r="M25" s="2943"/>
      <c r="N25" s="2943"/>
      <c r="O25" s="2943"/>
      <c r="P25" s="3428"/>
      <c r="Q25" s="3063" t="str">
        <f t="shared" ref="Q25:Q46" si="11">B25</f>
        <v>临街状况</v>
      </c>
      <c r="R25" s="714" t="s">
        <v>17</v>
      </c>
      <c r="S25" s="715">
        <f>F25</f>
        <v>103</v>
      </c>
      <c r="T25" s="714" t="s">
        <v>17</v>
      </c>
      <c r="U25" s="715">
        <f>H25</f>
        <v>103</v>
      </c>
      <c r="V25" s="714" t="s">
        <v>17</v>
      </c>
      <c r="W25" s="715">
        <f>J25</f>
        <v>103</v>
      </c>
      <c r="X25" s="3060"/>
      <c r="Y25" s="3421"/>
      <c r="Z25" s="3061" t="str">
        <f>Q25</f>
        <v>临街状况</v>
      </c>
      <c r="AA25" s="3064">
        <f t="shared" si="3"/>
        <v>0.970873786407767</v>
      </c>
      <c r="AB25" s="3064">
        <f t="shared" si="4"/>
        <v>0.970873786407767</v>
      </c>
      <c r="AC25" s="3064">
        <f t="shared" si="5"/>
        <v>0.970873786407767</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3063" t="str">
        <f t="shared" si="11"/>
        <v>平面位置/可视性</v>
      </c>
      <c r="R26" s="714" t="s">
        <v>17</v>
      </c>
      <c r="S26" s="715">
        <f>F26</f>
        <v>100</v>
      </c>
      <c r="T26" s="714" t="s">
        <v>17</v>
      </c>
      <c r="U26" s="715">
        <f>H26</f>
        <v>100</v>
      </c>
      <c r="V26" s="714" t="s">
        <v>17</v>
      </c>
      <c r="W26" s="715">
        <f>J26</f>
        <v>100</v>
      </c>
      <c r="X26" s="3060"/>
      <c r="Y26" s="3421"/>
      <c r="Z26" s="3061" t="str">
        <f>Q26</f>
        <v>平面位置/可视性</v>
      </c>
      <c r="AA26" s="3064">
        <f t="shared" si="3"/>
        <v>1</v>
      </c>
      <c r="AB26" s="3064">
        <f t="shared" si="4"/>
        <v>1</v>
      </c>
      <c r="AC26" s="3064">
        <f t="shared" si="5"/>
        <v>1</v>
      </c>
    </row>
    <row r="27" spans="1:29" s="113" customFormat="1" ht="15">
      <c r="A27" s="390"/>
      <c r="B27" s="410" t="s">
        <v>2478</v>
      </c>
      <c r="C27" s="2142" t="s">
        <v>3253</v>
      </c>
      <c r="D27" s="421">
        <v>100</v>
      </c>
      <c r="E27" s="2142" t="s">
        <v>3258</v>
      </c>
      <c r="F27" s="423">
        <f>SUMIF(90:90,E27,91:91)-SUMIF(90:90,C27,91:91)+100</f>
        <v>105</v>
      </c>
      <c r="G27" s="2142" t="s">
        <v>3258</v>
      </c>
      <c r="H27" s="421">
        <f>SUMIF(90:90,G27,91:91)-SUMIF(90:90,C27,91:91)+100</f>
        <v>105</v>
      </c>
      <c r="I27" s="2142" t="s">
        <v>3258</v>
      </c>
      <c r="J27" s="421">
        <f>SUMIF(90:90,I27,91:91)-SUMIF(90:90,C27,91:91)+100</f>
        <v>105</v>
      </c>
      <c r="K27" s="569">
        <v>5</v>
      </c>
      <c r="L27" s="2944"/>
      <c r="M27" s="2945"/>
      <c r="N27" s="2945"/>
      <c r="O27" s="2945"/>
      <c r="P27" s="3428"/>
      <c r="Q27" s="3059" t="str">
        <f t="shared" si="11"/>
        <v>人流量</v>
      </c>
      <c r="R27" s="710" t="s">
        <v>17</v>
      </c>
      <c r="S27" s="711">
        <f>F27</f>
        <v>105</v>
      </c>
      <c r="T27" s="710" t="s">
        <v>17</v>
      </c>
      <c r="U27" s="711">
        <f>H27</f>
        <v>105</v>
      </c>
      <c r="V27" s="710" t="s">
        <v>17</v>
      </c>
      <c r="W27" s="711">
        <f>J27</f>
        <v>105</v>
      </c>
      <c r="X27" s="712"/>
      <c r="Y27" s="3421"/>
      <c r="Z27" s="3058" t="str">
        <f>Q27</f>
        <v>人流量</v>
      </c>
      <c r="AA27" s="3064">
        <f>D27/F27</f>
        <v>0.95238095238095233</v>
      </c>
      <c r="AB27" s="3064">
        <f>D27/H27</f>
        <v>0.95238095238095233</v>
      </c>
      <c r="AC27" s="3064">
        <f>D27/J27</f>
        <v>0.95238095238095233</v>
      </c>
    </row>
    <row r="28" spans="1:29" ht="15">
      <c r="A28" s="387"/>
      <c r="B28" s="381" t="s">
        <v>2479</v>
      </c>
      <c r="C28" s="573" t="s">
        <v>3265</v>
      </c>
      <c r="D28" s="394">
        <v>100</v>
      </c>
      <c r="E28" s="573" t="s">
        <v>3265</v>
      </c>
      <c r="F28" s="420">
        <f>SUMIF(92:92,E28,93:93)-SUMIF(92:92,C28,93:93)+100</f>
        <v>100</v>
      </c>
      <c r="G28" s="573" t="s">
        <v>3268</v>
      </c>
      <c r="H28" s="394">
        <f>SUMIF(92:92,G28,93:93)-SUMIF(92:92,C28,93:93)+100</f>
        <v>98</v>
      </c>
      <c r="I28" s="573" t="s">
        <v>3265</v>
      </c>
      <c r="J28" s="394">
        <f>SUMIF(92:92,I28,93:93)-SUMIF(92:92,C28,93:93)+100</f>
        <v>100</v>
      </c>
      <c r="K28" s="570"/>
      <c r="L28" s="2949"/>
      <c r="M28" s="2943"/>
      <c r="N28" s="2943"/>
      <c r="O28" s="2943"/>
      <c r="P28" s="3428"/>
      <c r="Q28" s="3063" t="str">
        <f t="shared" si="11"/>
        <v>楼层</v>
      </c>
      <c r="R28" s="714" t="s">
        <v>17</v>
      </c>
      <c r="S28" s="715">
        <f t="shared" ref="S28:S46" si="12">F28</f>
        <v>100</v>
      </c>
      <c r="T28" s="714" t="s">
        <v>17</v>
      </c>
      <c r="U28" s="715">
        <f t="shared" ref="U28:U46" si="13">H28</f>
        <v>98</v>
      </c>
      <c r="V28" s="714" t="s">
        <v>17</v>
      </c>
      <c r="W28" s="715">
        <f t="shared" ref="W28:W46" si="14">J28</f>
        <v>100</v>
      </c>
      <c r="X28" s="3060"/>
      <c r="Y28" s="3421"/>
      <c r="Z28" s="3061" t="str">
        <f t="shared" ref="Z28:Z46" si="15">Q28</f>
        <v>楼层</v>
      </c>
      <c r="AA28" s="3064">
        <f t="shared" si="3"/>
        <v>1</v>
      </c>
      <c r="AB28" s="3064">
        <f t="shared" si="4"/>
        <v>1.0204081632653061</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3063">
        <f t="shared" si="11"/>
        <v>111</v>
      </c>
      <c r="R29" s="714" t="s">
        <v>17</v>
      </c>
      <c r="S29" s="715">
        <f t="shared" si="12"/>
        <v>100</v>
      </c>
      <c r="T29" s="714" t="s">
        <v>17</v>
      </c>
      <c r="U29" s="715">
        <f t="shared" si="13"/>
        <v>100</v>
      </c>
      <c r="V29" s="714" t="s">
        <v>17</v>
      </c>
      <c r="W29" s="715">
        <f t="shared" si="14"/>
        <v>100</v>
      </c>
      <c r="X29" s="3060"/>
      <c r="Y29" s="3421"/>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3063">
        <f t="shared" si="11"/>
        <v>111</v>
      </c>
      <c r="R30" s="714" t="s">
        <v>17</v>
      </c>
      <c r="S30" s="715">
        <f t="shared" si="12"/>
        <v>100</v>
      </c>
      <c r="T30" s="714" t="s">
        <v>17</v>
      </c>
      <c r="U30" s="715">
        <f t="shared" si="13"/>
        <v>100</v>
      </c>
      <c r="V30" s="714" t="s">
        <v>17</v>
      </c>
      <c r="W30" s="715">
        <f t="shared" si="14"/>
        <v>100</v>
      </c>
      <c r="X30" s="3060"/>
      <c r="Y30" s="3421"/>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3063">
        <f t="shared" si="11"/>
        <v>111</v>
      </c>
      <c r="R31" s="714" t="s">
        <v>17</v>
      </c>
      <c r="S31" s="715">
        <f t="shared" si="12"/>
        <v>100</v>
      </c>
      <c r="T31" s="714" t="s">
        <v>17</v>
      </c>
      <c r="U31" s="715">
        <f t="shared" si="13"/>
        <v>100</v>
      </c>
      <c r="V31" s="714" t="s">
        <v>17</v>
      </c>
      <c r="W31" s="715">
        <f t="shared" si="14"/>
        <v>100</v>
      </c>
      <c r="X31" s="3060"/>
      <c r="Y31" s="3421"/>
      <c r="Z31" s="3061">
        <f t="shared" si="15"/>
        <v>111</v>
      </c>
      <c r="AA31" s="3064">
        <f t="shared" si="3"/>
        <v>1</v>
      </c>
      <c r="AB31" s="3064">
        <f t="shared" si="4"/>
        <v>1</v>
      </c>
      <c r="AC31" s="3064">
        <f t="shared" si="5"/>
        <v>1</v>
      </c>
    </row>
    <row r="32" spans="1:29" ht="15">
      <c r="A32" s="399" t="s">
        <v>2383</v>
      </c>
      <c r="B32" s="67" t="s">
        <v>2480</v>
      </c>
      <c r="C32" s="2096" t="s">
        <v>3243</v>
      </c>
      <c r="D32" s="426">
        <v>100</v>
      </c>
      <c r="E32" s="2096" t="s">
        <v>3275</v>
      </c>
      <c r="F32" s="420">
        <f>SUMIF(100:100,E32,101:101)-SUMIF(100:100,C32,101:101)+100</f>
        <v>103</v>
      </c>
      <c r="G32" s="2096" t="s">
        <v>3275</v>
      </c>
      <c r="H32" s="394">
        <f>SUMIF(100:100,G32,101:101)-SUMIF(100:100,C32,101:101)+100</f>
        <v>103</v>
      </c>
      <c r="I32" s="2096" t="s">
        <v>3243</v>
      </c>
      <c r="J32" s="426">
        <f>SUMIF(100:100,I32,101:101)-SUMIF(100:100,C32,101:101)+100</f>
        <v>100</v>
      </c>
      <c r="K32" s="569">
        <v>3</v>
      </c>
      <c r="L32" s="2949"/>
      <c r="M32" s="2943"/>
      <c r="N32" s="2943"/>
      <c r="O32" s="2943"/>
      <c r="P32" s="3422" t="s">
        <v>2385</v>
      </c>
      <c r="Q32" s="3063" t="str">
        <f t="shared" si="11"/>
        <v>商业类型</v>
      </c>
      <c r="R32" s="714" t="s">
        <v>17</v>
      </c>
      <c r="S32" s="715">
        <f t="shared" si="12"/>
        <v>103</v>
      </c>
      <c r="T32" s="714" t="s">
        <v>17</v>
      </c>
      <c r="U32" s="715">
        <f t="shared" si="13"/>
        <v>103</v>
      </c>
      <c r="V32" s="714" t="s">
        <v>17</v>
      </c>
      <c r="W32" s="715">
        <f t="shared" si="14"/>
        <v>100</v>
      </c>
      <c r="X32" s="3060"/>
      <c r="Y32" s="3425" t="s">
        <v>2385</v>
      </c>
      <c r="Z32" s="3061" t="str">
        <f t="shared" si="15"/>
        <v>商业类型</v>
      </c>
      <c r="AA32" s="3064">
        <f t="shared" si="3"/>
        <v>0.970873786407767</v>
      </c>
      <c r="AB32" s="3064">
        <f t="shared" si="4"/>
        <v>0.970873786407767</v>
      </c>
      <c r="AC32" s="3064">
        <f t="shared" si="5"/>
        <v>1</v>
      </c>
    </row>
    <row r="33" spans="1:29" s="430" customFormat="1" ht="15">
      <c r="A33" s="427"/>
      <c r="B33" s="381" t="s">
        <v>2386</v>
      </c>
      <c r="C33" s="428">
        <f>'数据-基础表'!I13</f>
        <v>994.5</v>
      </c>
      <c r="D33" s="132">
        <v>100</v>
      </c>
      <c r="E33" s="389">
        <f>ROUND(107.11*C50,2)</f>
        <v>80.33</v>
      </c>
      <c r="F33" s="384">
        <f>LOOKUP(E33,103:103,104:104)-LOOKUP(C33,103:103,104:104)+100</f>
        <v>106</v>
      </c>
      <c r="G33" s="388">
        <f>635*C50</f>
        <v>476.25</v>
      </c>
      <c r="H33" s="132">
        <f>LOOKUP(G33,103:103,104:104)-LOOKUP(C33,103:103,104:104)+100</f>
        <v>104</v>
      </c>
      <c r="I33" s="388">
        <f>ROUND(76.8*C50,2)</f>
        <v>57.6</v>
      </c>
      <c r="J33" s="132">
        <f>LOOKUP(I33,103:103,104:104)-LOOKUP(C33,103:103,104:104)+100</f>
        <v>106</v>
      </c>
      <c r="K33" s="570"/>
      <c r="L33" s="2948"/>
      <c r="M33" s="2950"/>
      <c r="N33" s="2950"/>
      <c r="O33" s="2950"/>
      <c r="P33" s="3423"/>
      <c r="Q33" s="716" t="str">
        <f t="shared" si="11"/>
        <v>项目建筑规模</v>
      </c>
      <c r="R33" s="717" t="s">
        <v>17</v>
      </c>
      <c r="S33" s="718">
        <f t="shared" si="12"/>
        <v>106</v>
      </c>
      <c r="T33" s="717" t="s">
        <v>17</v>
      </c>
      <c r="U33" s="718">
        <f t="shared" si="13"/>
        <v>104</v>
      </c>
      <c r="V33" s="717" t="s">
        <v>17</v>
      </c>
      <c r="W33" s="718">
        <f t="shared" si="14"/>
        <v>106</v>
      </c>
      <c r="X33" s="719"/>
      <c r="Y33" s="3425"/>
      <c r="Z33" s="720" t="str">
        <f t="shared" si="15"/>
        <v>项目建筑规模</v>
      </c>
      <c r="AA33" s="3064">
        <f t="shared" si="3"/>
        <v>0.94339622641509435</v>
      </c>
      <c r="AB33" s="3064">
        <f t="shared" si="4"/>
        <v>0.96153846153846156</v>
      </c>
      <c r="AC33" s="3064">
        <f t="shared" si="5"/>
        <v>0.94339622641509435</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3063" t="str">
        <f t="shared" si="11"/>
        <v>建筑结构</v>
      </c>
      <c r="R34" s="714" t="s">
        <v>17</v>
      </c>
      <c r="S34" s="715">
        <f t="shared" si="12"/>
        <v>100</v>
      </c>
      <c r="T34" s="714" t="s">
        <v>17</v>
      </c>
      <c r="U34" s="715">
        <f t="shared" si="13"/>
        <v>100</v>
      </c>
      <c r="V34" s="714" t="s">
        <v>17</v>
      </c>
      <c r="W34" s="715">
        <f t="shared" si="14"/>
        <v>100</v>
      </c>
      <c r="X34" s="3060"/>
      <c r="Y34" s="3425"/>
      <c r="Z34" s="3061" t="str">
        <f t="shared" si="15"/>
        <v>建筑结构</v>
      </c>
      <c r="AA34" s="3064">
        <f t="shared" si="3"/>
        <v>1</v>
      </c>
      <c r="AB34" s="3064">
        <f t="shared" si="4"/>
        <v>1</v>
      </c>
      <c r="AC34" s="3064">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3063" t="str">
        <f t="shared" si="11"/>
        <v>公共部分装修</v>
      </c>
      <c r="R35" s="714" t="s">
        <v>17</v>
      </c>
      <c r="S35" s="715">
        <f t="shared" si="12"/>
        <v>100</v>
      </c>
      <c r="T35" s="714" t="s">
        <v>17</v>
      </c>
      <c r="U35" s="715">
        <f t="shared" si="13"/>
        <v>100</v>
      </c>
      <c r="V35" s="714" t="s">
        <v>17</v>
      </c>
      <c r="W35" s="715">
        <f t="shared" si="14"/>
        <v>100</v>
      </c>
      <c r="X35" s="3060"/>
      <c r="Y35" s="3425"/>
      <c r="Z35" s="3061" t="str">
        <f t="shared" si="15"/>
        <v>公共部分装修</v>
      </c>
      <c r="AA35" s="3064">
        <f t="shared" si="3"/>
        <v>1</v>
      </c>
      <c r="AB35" s="3064">
        <f t="shared" si="4"/>
        <v>1</v>
      </c>
      <c r="AC35" s="30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3063" t="str">
        <f t="shared" si="11"/>
        <v>成新度</v>
      </c>
      <c r="R36" s="714" t="s">
        <v>17</v>
      </c>
      <c r="S36" s="715">
        <f t="shared" si="12"/>
        <v>100</v>
      </c>
      <c r="T36" s="714" t="s">
        <v>17</v>
      </c>
      <c r="U36" s="715">
        <f t="shared" si="13"/>
        <v>100</v>
      </c>
      <c r="V36" s="714" t="s">
        <v>17</v>
      </c>
      <c r="W36" s="715">
        <f t="shared" si="14"/>
        <v>100</v>
      </c>
      <c r="X36" s="3060"/>
      <c r="Y36" s="3425"/>
      <c r="Z36" s="3061" t="str">
        <f t="shared" si="15"/>
        <v>成新度</v>
      </c>
      <c r="AA36" s="3064">
        <f t="shared" si="3"/>
        <v>1</v>
      </c>
      <c r="AB36" s="3064">
        <f t="shared" si="4"/>
        <v>1</v>
      </c>
      <c r="AC36" s="3064">
        <f t="shared" si="5"/>
        <v>1</v>
      </c>
    </row>
    <row r="37" spans="1:29" s="113" customFormat="1" ht="15">
      <c r="A37" s="432"/>
      <c r="B37" s="381" t="s">
        <v>2483</v>
      </c>
      <c r="C37" s="3149" t="s">
        <v>3236</v>
      </c>
      <c r="D37" s="132">
        <v>100</v>
      </c>
      <c r="E37" s="3149" t="s">
        <v>3236</v>
      </c>
      <c r="F37" s="420">
        <f>SUMIF(112:112,E37,113:113)-SUMIF(112:112,C37,113:113)+100</f>
        <v>100</v>
      </c>
      <c r="G37" s="3149" t="s">
        <v>3236</v>
      </c>
      <c r="H37" s="394">
        <f>SUMIF(112:112,G37,113:113)-SUMIF(112:112,C37,113:113)+100</f>
        <v>100</v>
      </c>
      <c r="I37" s="3149" t="s">
        <v>3236</v>
      </c>
      <c r="J37" s="394">
        <f>SUMIF(112:112,I37,113:113)-SUMIF(112:112,C37,113:113)+100</f>
        <v>100</v>
      </c>
      <c r="K37" s="569">
        <v>2</v>
      </c>
      <c r="L37" s="2944"/>
      <c r="M37" s="2945"/>
      <c r="N37" s="2945"/>
      <c r="O37" s="2945"/>
      <c r="P37" s="3423"/>
      <c r="Q37" s="3059" t="str">
        <f t="shared" si="11"/>
        <v>市政基础设施</v>
      </c>
      <c r="R37" s="710" t="s">
        <v>17</v>
      </c>
      <c r="S37" s="711">
        <f t="shared" si="12"/>
        <v>100</v>
      </c>
      <c r="T37" s="710" t="s">
        <v>17</v>
      </c>
      <c r="U37" s="711">
        <f t="shared" si="13"/>
        <v>100</v>
      </c>
      <c r="V37" s="710" t="s">
        <v>17</v>
      </c>
      <c r="W37" s="711">
        <f t="shared" si="14"/>
        <v>100</v>
      </c>
      <c r="X37" s="712"/>
      <c r="Y37" s="3425"/>
      <c r="Z37" s="3058"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23" t="s">
        <v>2385</v>
      </c>
      <c r="Q38" s="3063" t="str">
        <f t="shared" si="11"/>
        <v>业态</v>
      </c>
      <c r="R38" s="714" t="s">
        <v>17</v>
      </c>
      <c r="S38" s="715">
        <f t="shared" si="12"/>
        <v>100</v>
      </c>
      <c r="T38" s="714" t="s">
        <v>17</v>
      </c>
      <c r="U38" s="715">
        <f t="shared" si="13"/>
        <v>100</v>
      </c>
      <c r="V38" s="714" t="s">
        <v>17</v>
      </c>
      <c r="W38" s="715">
        <f t="shared" si="14"/>
        <v>100</v>
      </c>
      <c r="X38" s="3060"/>
      <c r="Y38" s="3425" t="s">
        <v>2385</v>
      </c>
      <c r="Z38" s="3061" t="str">
        <f t="shared" si="15"/>
        <v>业态</v>
      </c>
      <c r="AA38" s="3064">
        <f t="shared" si="3"/>
        <v>1</v>
      </c>
      <c r="AB38" s="3064">
        <f t="shared" si="4"/>
        <v>1</v>
      </c>
      <c r="AC38" s="3064">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3063" t="str">
        <f t="shared" si="11"/>
        <v>层高</v>
      </c>
      <c r="R39" s="714" t="s">
        <v>17</v>
      </c>
      <c r="S39" s="715">
        <f t="shared" si="12"/>
        <v>100</v>
      </c>
      <c r="T39" s="714" t="s">
        <v>17</v>
      </c>
      <c r="U39" s="715">
        <f t="shared" si="13"/>
        <v>100</v>
      </c>
      <c r="V39" s="714" t="s">
        <v>17</v>
      </c>
      <c r="W39" s="715">
        <f t="shared" si="14"/>
        <v>100</v>
      </c>
      <c r="X39" s="3060"/>
      <c r="Y39" s="3425"/>
      <c r="Z39" s="3061" t="str">
        <f t="shared" si="15"/>
        <v>层高</v>
      </c>
      <c r="AA39" s="3064">
        <f t="shared" si="3"/>
        <v>1</v>
      </c>
      <c r="AB39" s="3064">
        <f t="shared" si="4"/>
        <v>1</v>
      </c>
      <c r="AC39" s="30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3063" t="str">
        <f t="shared" si="11"/>
        <v>单套建筑面积</v>
      </c>
      <c r="R40" s="714" t="s">
        <v>17</v>
      </c>
      <c r="S40" s="715">
        <f t="shared" si="12"/>
        <v>100</v>
      </c>
      <c r="T40" s="714" t="s">
        <v>17</v>
      </c>
      <c r="U40" s="715">
        <f t="shared" si="13"/>
        <v>100</v>
      </c>
      <c r="V40" s="714" t="s">
        <v>17</v>
      </c>
      <c r="W40" s="715">
        <f t="shared" si="14"/>
        <v>100</v>
      </c>
      <c r="X40" s="3060"/>
      <c r="Y40" s="3425"/>
      <c r="Z40" s="3061" t="str">
        <f t="shared" si="15"/>
        <v>单套建筑面积</v>
      </c>
      <c r="AA40" s="3064">
        <f t="shared" si="3"/>
        <v>1</v>
      </c>
      <c r="AB40" s="3064">
        <f t="shared" si="4"/>
        <v>1</v>
      </c>
      <c r="AC40" s="3064">
        <f t="shared" si="5"/>
        <v>1</v>
      </c>
    </row>
    <row r="41" spans="1:29" s="430" customFormat="1" ht="15">
      <c r="A41" s="427"/>
      <c r="B41" s="30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3064">
        <f t="shared" si="3"/>
        <v>1</v>
      </c>
      <c r="AB41" s="3064">
        <f t="shared" si="4"/>
        <v>1</v>
      </c>
      <c r="AC41" s="3064">
        <f t="shared" si="5"/>
        <v>1</v>
      </c>
    </row>
    <row r="42" spans="1:29" ht="15">
      <c r="A42" s="431"/>
      <c r="B42" s="381" t="s">
        <v>2488</v>
      </c>
      <c r="C42" s="2092" t="s">
        <v>3255</v>
      </c>
      <c r="D42" s="394">
        <v>100</v>
      </c>
      <c r="E42" s="2092" t="s">
        <v>3255</v>
      </c>
      <c r="F42" s="420">
        <f>SUMIF(122:122,E42,123:123)-SUMIF(122:122,C42,123:123)+100</f>
        <v>100</v>
      </c>
      <c r="G42" s="2092" t="s">
        <v>3233</v>
      </c>
      <c r="H42" s="394">
        <f>SUMIF(122:122,G42,123:123)-SUMIF(122:122,C42,123:123)+100</f>
        <v>103</v>
      </c>
      <c r="I42" s="2092" t="s">
        <v>3255</v>
      </c>
      <c r="J42" s="394">
        <f>SUMIF(122:122,I42,123:123)-SUMIF(122:122,C42,123:123)+100</f>
        <v>100</v>
      </c>
      <c r="K42" s="569">
        <v>3</v>
      </c>
      <c r="L42" s="2949"/>
      <c r="M42" s="2943"/>
      <c r="N42" s="2943"/>
      <c r="O42" s="2943"/>
      <c r="P42" s="3423"/>
      <c r="Q42" s="3063" t="str">
        <f t="shared" si="11"/>
        <v>内部装修</v>
      </c>
      <c r="R42" s="714" t="s">
        <v>17</v>
      </c>
      <c r="S42" s="715">
        <f t="shared" si="12"/>
        <v>100</v>
      </c>
      <c r="T42" s="714" t="s">
        <v>17</v>
      </c>
      <c r="U42" s="715">
        <f t="shared" si="13"/>
        <v>103</v>
      </c>
      <c r="V42" s="714" t="s">
        <v>17</v>
      </c>
      <c r="W42" s="715">
        <f t="shared" si="14"/>
        <v>100</v>
      </c>
      <c r="X42" s="3060"/>
      <c r="Y42" s="3425"/>
      <c r="Z42" s="3061" t="str">
        <f t="shared" si="15"/>
        <v>内部装修</v>
      </c>
      <c r="AA42" s="3064">
        <f t="shared" si="3"/>
        <v>1</v>
      </c>
      <c r="AB42" s="3064">
        <f t="shared" si="4"/>
        <v>0.970873786407767</v>
      </c>
      <c r="AC42" s="3064">
        <f t="shared" si="5"/>
        <v>1</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3063" t="str">
        <f t="shared" si="11"/>
        <v>内部装修维护情况</v>
      </c>
      <c r="R43" s="714" t="s">
        <v>17</v>
      </c>
      <c r="S43" s="715">
        <f t="shared" si="12"/>
        <v>100</v>
      </c>
      <c r="T43" s="714" t="s">
        <v>17</v>
      </c>
      <c r="U43" s="715">
        <f t="shared" si="13"/>
        <v>100</v>
      </c>
      <c r="V43" s="714" t="s">
        <v>17</v>
      </c>
      <c r="W43" s="715">
        <f t="shared" si="14"/>
        <v>100</v>
      </c>
      <c r="X43" s="3060"/>
      <c r="Y43" s="3425"/>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3059">
        <f t="shared" si="11"/>
        <v>111</v>
      </c>
      <c r="R44" s="710" t="s">
        <v>17</v>
      </c>
      <c r="S44" s="711">
        <f t="shared" si="12"/>
        <v>100</v>
      </c>
      <c r="T44" s="710" t="s">
        <v>17</v>
      </c>
      <c r="U44" s="711">
        <f t="shared" si="13"/>
        <v>100</v>
      </c>
      <c r="V44" s="710" t="s">
        <v>17</v>
      </c>
      <c r="W44" s="711">
        <f t="shared" si="14"/>
        <v>100</v>
      </c>
      <c r="X44" s="712"/>
      <c r="Y44" s="3425"/>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3063">
        <f t="shared" si="11"/>
        <v>111</v>
      </c>
      <c r="R45" s="714" t="s">
        <v>17</v>
      </c>
      <c r="S45" s="715">
        <f t="shared" si="12"/>
        <v>100</v>
      </c>
      <c r="T45" s="714" t="s">
        <v>17</v>
      </c>
      <c r="U45" s="715">
        <f t="shared" si="13"/>
        <v>100</v>
      </c>
      <c r="V45" s="714" t="s">
        <v>17</v>
      </c>
      <c r="W45" s="715">
        <f t="shared" si="14"/>
        <v>100</v>
      </c>
      <c r="X45" s="3060"/>
      <c r="Y45" s="3425"/>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3063">
        <f t="shared" si="11"/>
        <v>111</v>
      </c>
      <c r="R46" s="714" t="s">
        <v>17</v>
      </c>
      <c r="S46" s="715">
        <f t="shared" si="12"/>
        <v>100</v>
      </c>
      <c r="T46" s="714" t="s">
        <v>17</v>
      </c>
      <c r="U46" s="715">
        <f t="shared" si="13"/>
        <v>100</v>
      </c>
      <c r="V46" s="714" t="s">
        <v>17</v>
      </c>
      <c r="W46" s="715">
        <f t="shared" si="14"/>
        <v>100</v>
      </c>
      <c r="X46" s="3060"/>
      <c r="Y46" s="3426"/>
      <c r="Z46" s="3061">
        <f t="shared" si="15"/>
        <v>111</v>
      </c>
      <c r="AA46" s="3064">
        <f t="shared" si="3"/>
        <v>1</v>
      </c>
      <c r="AB46" s="3064">
        <f t="shared" si="4"/>
        <v>1</v>
      </c>
      <c r="AC46" s="3064">
        <f t="shared" si="5"/>
        <v>1</v>
      </c>
    </row>
    <row r="47" spans="1:29" ht="15">
      <c r="A47" s="438" t="s">
        <v>2397</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18" t="str">
        <f>A47</f>
        <v>成交单价（元/平方米）</v>
      </c>
      <c r="Q47" s="3418"/>
      <c r="R47" s="3449">
        <f>E47</f>
        <v>66667</v>
      </c>
      <c r="S47" s="3449"/>
      <c r="T47" s="3449">
        <f>G47</f>
        <v>66800</v>
      </c>
      <c r="U47" s="3449"/>
      <c r="V47" s="3449">
        <f>I47</f>
        <v>67067</v>
      </c>
      <c r="W47" s="3449"/>
      <c r="X47" s="699"/>
      <c r="Y47" s="721"/>
      <c r="Z47" s="699"/>
      <c r="AA47" s="699"/>
      <c r="AB47" s="699"/>
      <c r="AC47" s="699"/>
    </row>
    <row r="48" spans="1:29" ht="15.75" thickBot="1">
      <c r="A48" s="445" t="s">
        <v>2398</v>
      </c>
      <c r="B48" s="446"/>
      <c r="C48" s="1322">
        <f>R49</f>
        <v>57362</v>
      </c>
      <c r="D48" s="2538" t="s">
        <v>2880</v>
      </c>
      <c r="E48" s="1323">
        <f>R48</f>
        <v>56460</v>
      </c>
      <c r="F48" s="2539"/>
      <c r="G48" s="1322">
        <f>T48</f>
        <v>57124</v>
      </c>
      <c r="H48" s="2539"/>
      <c r="I48" s="1323">
        <f>V48</f>
        <v>58503</v>
      </c>
      <c r="J48" s="2539"/>
      <c r="K48" s="2541">
        <f>F48+H48+J48</f>
        <v>0</v>
      </c>
      <c r="L48" s="2951"/>
      <c r="M48" s="2952"/>
      <c r="N48" s="2943"/>
      <c r="O48" s="2952"/>
      <c r="P48" s="3418" t="str">
        <f>A48</f>
        <v>比较价值（元/平方米）</v>
      </c>
      <c r="Q48" s="3418"/>
      <c r="R48" s="3419">
        <f>IF(F1="售价",ROUND(PRODUCT(R47,AA7:AA46),0),ROUND(PRODUCT(R47,AA7:AA46),1))</f>
        <v>56460</v>
      </c>
      <c r="S48" s="3419"/>
      <c r="T48" s="3419">
        <f>IF(F1="售价",ROUND(PRODUCT(T47,AB7:AB46),0),ROUND(PRODUCT(T47,AB7:AB46),1))</f>
        <v>57124</v>
      </c>
      <c r="U48" s="3419"/>
      <c r="V48" s="3419">
        <f>IF(F1="售价",ROUND(PRODUCT(V47,AC7:AC46),0),ROUND(PRODUCT(V47,AC7:AC46),1))</f>
        <v>58503</v>
      </c>
      <c r="W48" s="3419"/>
      <c r="X48" s="699"/>
      <c r="Y48" s="699"/>
      <c r="Z48" s="699"/>
      <c r="AA48" s="699"/>
      <c r="AB48" s="699"/>
      <c r="AC48" s="699"/>
    </row>
    <row r="49" spans="1:29" ht="15.75" thickBot="1">
      <c r="A49" s="449" t="s">
        <v>2399</v>
      </c>
      <c r="B49" s="450"/>
      <c r="C49" s="1325">
        <f>R49</f>
        <v>57362</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57362</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2400</v>
      </c>
      <c r="D52" s="455"/>
      <c r="E52" s="456">
        <f>IF(E47&lt;E48,E48/E47-1,E47/E48-1)</f>
        <v>0.1807828551186681</v>
      </c>
      <c r="F52" s="457" t="str">
        <f>IF(OR(E52&gt;=0.3,E52&lt;=-0.3),"超过30%","")</f>
        <v/>
      </c>
      <c r="G52" s="456">
        <f>IF(G47&lt;G48,G48/G47-1,G47/G48-1)</f>
        <v>0.16938589734612419</v>
      </c>
      <c r="H52" s="457" t="str">
        <f>IF(OR(G52&gt;=0.3,G52&lt;=-0.3),"超过30%","")</f>
        <v/>
      </c>
      <c r="I52" s="456">
        <f>IF(I47&lt;I48,I48/I47-1,I47/I48-1)</f>
        <v>0.14638565543647331</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2401</v>
      </c>
      <c r="D53" s="458"/>
      <c r="E53" s="456">
        <f>IF(E48&lt;G48,G48/E48-1,E48/G48-1)</f>
        <v>1.1760538434289813E-2</v>
      </c>
      <c r="F53" s="457" t="str">
        <f>IF(OR(E53&gt;=0.2,E53&lt;=-0.2),"超过20%","")</f>
        <v/>
      </c>
      <c r="G53" s="456">
        <f>IF(G48&lt;I48,I48/G48-1,G48/I48-1)</f>
        <v>2.4140466353896883E-2</v>
      </c>
      <c r="H53" s="457" t="str">
        <f>IF(OR(G53&gt;=0.2,G53&lt;=-0.2),"超过20%","")</f>
        <v/>
      </c>
      <c r="I53" s="456">
        <f>IF(I48&lt;E48,E48/I48-1,I48/E48-1)</f>
        <v>3.6184909670563314E-2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2402</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2407</v>
      </c>
      <c r="D61" s="3138" t="s">
        <v>3226</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3279</v>
      </c>
      <c r="D90" s="3140" t="s">
        <v>3280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3266</v>
      </c>
      <c r="D92" s="511" t="s">
        <v>3267</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98</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3276</v>
      </c>
      <c r="D100" s="3141" t="s">
        <v>3277</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3270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3271</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3272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3271</v>
      </c>
      <c r="D122" s="3140" t="s">
        <v>3273</v>
      </c>
      <c r="E122" s="3140" t="s">
        <v>3274</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 zoomScale="70" zoomScaleNormal="70" zoomScaleSheetLayoutView="70" workbookViewId="0">
      <selection activeCell="J15" sqref="J1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11.7</v>
      </c>
      <c r="C3" s="360" t="s">
        <v>2464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49" t="s">
        <v>2468</v>
      </c>
      <c r="AC4" s="3430" t="s">
        <v>2469</v>
      </c>
    </row>
    <row r="5" spans="1:29" ht="15">
      <c r="A5" s="364"/>
      <c r="B5" s="365"/>
      <c r="C5" s="3461" t="s">
        <v>3228</v>
      </c>
      <c r="D5" s="3453"/>
      <c r="E5" s="3462" t="s">
        <v>3230</v>
      </c>
      <c r="F5" s="3460"/>
      <c r="G5" s="3461" t="s">
        <v>3231</v>
      </c>
      <c r="H5" s="3453"/>
      <c r="I5" s="3461" t="s">
        <v>3229</v>
      </c>
      <c r="J5" s="3453"/>
      <c r="K5" s="567"/>
      <c r="L5" s="2942"/>
      <c r="M5" s="2943"/>
      <c r="N5" s="2943"/>
      <c r="O5" s="2943"/>
      <c r="P5" s="3439"/>
      <c r="Q5" s="3440"/>
      <c r="R5" s="3445"/>
      <c r="S5" s="3446"/>
      <c r="T5" s="3445"/>
      <c r="U5" s="3446"/>
      <c r="V5" s="3449"/>
      <c r="W5" s="3449"/>
      <c r="X5" s="1539"/>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3261</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2" t="s">
        <v>3262</v>
      </c>
      <c r="H10" s="132">
        <f>SUMIF(65:65,G10,66:66)-SUMIF(65:65,C10,66:66)+100</f>
        <v>100</v>
      </c>
      <c r="I10" s="3148" t="s">
        <v>3263</v>
      </c>
      <c r="J10" s="132">
        <f>SUMIF(65:65,I10,66:66)-SUMIF(65:65,C10,66:66)+100</f>
        <v>98</v>
      </c>
      <c r="K10" s="569">
        <v>2</v>
      </c>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98</v>
      </c>
      <c r="X10" s="712"/>
      <c r="Y10" s="3244"/>
      <c r="Z10" s="55" t="str">
        <f t="shared" si="7"/>
        <v>土地使用年限（年）</v>
      </c>
      <c r="AA10" s="713">
        <f t="shared" si="3"/>
        <v>1</v>
      </c>
      <c r="AB10" s="713">
        <f t="shared" si="4"/>
        <v>1</v>
      </c>
      <c r="AC10" s="713">
        <f t="shared" si="5"/>
        <v>1.0204081632653061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1527" t="str">
        <f t="shared" si="6"/>
        <v>容积率</v>
      </c>
      <c r="R11" s="710" t="s">
        <v>17</v>
      </c>
      <c r="S11" s="711">
        <f t="shared" si="0"/>
        <v>100</v>
      </c>
      <c r="T11" s="710" t="s">
        <v>17</v>
      </c>
      <c r="U11" s="711">
        <f t="shared" si="1"/>
        <v>100</v>
      </c>
      <c r="V11" s="710" t="s">
        <v>17</v>
      </c>
      <c r="W11" s="711">
        <f t="shared" si="2"/>
        <v>100</v>
      </c>
      <c r="X11" s="712"/>
      <c r="Y11" s="3244"/>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73.5"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1536" t="str">
        <f t="shared" si="6"/>
        <v>商业繁华度</v>
      </c>
      <c r="R15" s="714" t="s">
        <v>17</v>
      </c>
      <c r="S15" s="715">
        <f t="shared" si="0"/>
        <v>100</v>
      </c>
      <c r="T15" s="714" t="s">
        <v>17</v>
      </c>
      <c r="U15" s="715">
        <f t="shared" si="1"/>
        <v>100</v>
      </c>
      <c r="V15" s="714" t="s">
        <v>17</v>
      </c>
      <c r="W15" s="715">
        <f t="shared" si="2"/>
        <v>100</v>
      </c>
      <c r="X15" s="1539"/>
      <c r="Y15" s="3420" t="s">
        <v>2380</v>
      </c>
      <c r="Z15" s="1540" t="str">
        <f t="shared" si="7"/>
        <v>商业繁华度</v>
      </c>
      <c r="AA15" s="1537">
        <f t="shared" si="3"/>
        <v>1</v>
      </c>
      <c r="AB15" s="1537">
        <f t="shared" si="4"/>
        <v>1</v>
      </c>
      <c r="AC15" s="1537">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1536"/>
      <c r="R16" s="714"/>
      <c r="S16" s="715"/>
      <c r="T16" s="714"/>
      <c r="U16" s="715"/>
      <c r="V16" s="714"/>
      <c r="W16" s="715"/>
      <c r="X16" s="1539"/>
      <c r="Y16" s="3421"/>
      <c r="Z16" s="1540"/>
      <c r="AA16" s="1537">
        <v>1</v>
      </c>
      <c r="AB16" s="1537">
        <v>1</v>
      </c>
      <c r="AC16" s="1537">
        <v>1</v>
      </c>
    </row>
    <row r="17" spans="1:29" ht="94.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t="s">
        <v>3257</v>
      </c>
      <c r="D18" s="409"/>
      <c r="E18" s="2087" t="s">
        <v>3257</v>
      </c>
      <c r="F18" s="412"/>
      <c r="G18" s="2087" t="s">
        <v>3257</v>
      </c>
      <c r="H18" s="407"/>
      <c r="I18" s="2087" t="s">
        <v>3257</v>
      </c>
      <c r="J18" s="407"/>
      <c r="K18" s="572"/>
      <c r="L18" s="2949"/>
      <c r="M18" s="2943"/>
      <c r="N18" s="2943"/>
      <c r="O18" s="2943"/>
      <c r="P18" s="3428"/>
      <c r="Q18" s="1536"/>
      <c r="R18" s="714"/>
      <c r="S18" s="715"/>
      <c r="T18" s="714"/>
      <c r="U18" s="715"/>
      <c r="V18" s="714"/>
      <c r="W18" s="715"/>
      <c r="X18" s="1539"/>
      <c r="Y18" s="3421"/>
      <c r="Z18" s="1540"/>
      <c r="AA18" s="1537">
        <v>1</v>
      </c>
      <c r="AB18" s="1537">
        <v>1</v>
      </c>
      <c r="AC18" s="1537">
        <v>1</v>
      </c>
    </row>
    <row r="19" spans="1:29" ht="70.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t="s">
        <v>3257</v>
      </c>
      <c r="D20" s="407"/>
      <c r="E20" s="2087" t="s">
        <v>3257</v>
      </c>
      <c r="F20" s="408"/>
      <c r="G20" s="2087" t="s">
        <v>3257</v>
      </c>
      <c r="H20" s="407"/>
      <c r="I20" s="2087" t="s">
        <v>3257</v>
      </c>
      <c r="J20" s="407"/>
      <c r="K20" s="572"/>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1536"/>
      <c r="R22" s="714"/>
      <c r="S22" s="715"/>
      <c r="T22" s="714"/>
      <c r="U22" s="715"/>
      <c r="V22" s="714"/>
      <c r="W22" s="715"/>
      <c r="X22" s="1539"/>
      <c r="Y22" s="3421"/>
      <c r="Z22" s="1540"/>
      <c r="AA22" s="1537">
        <v>1</v>
      </c>
      <c r="AB22" s="1537">
        <v>1</v>
      </c>
      <c r="AC22" s="1537">
        <v>1</v>
      </c>
    </row>
    <row r="23" spans="1:29" ht="94.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1536" t="str">
        <f>B23</f>
        <v>自然及人文环境</v>
      </c>
      <c r="R23" s="714" t="s">
        <v>17</v>
      </c>
      <c r="S23" s="715">
        <f>F23</f>
        <v>100</v>
      </c>
      <c r="T23" s="714" t="s">
        <v>17</v>
      </c>
      <c r="U23" s="715">
        <f>H23</f>
        <v>100</v>
      </c>
      <c r="V23" s="714" t="s">
        <v>17</v>
      </c>
      <c r="W23" s="715">
        <f>J23</f>
        <v>100</v>
      </c>
      <c r="X23" s="1539"/>
      <c r="Y23" s="3421"/>
      <c r="Z23" s="1540" t="str">
        <f>Q23</f>
        <v>自然及人文环境</v>
      </c>
      <c r="AA23" s="1537">
        <f t="shared" si="3"/>
        <v>1</v>
      </c>
      <c r="AB23" s="1537">
        <f t="shared" si="4"/>
        <v>1</v>
      </c>
      <c r="AC23" s="1537">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2476</v>
      </c>
      <c r="C25" s="573" t="s">
        <v>3248</v>
      </c>
      <c r="D25" s="394">
        <v>100</v>
      </c>
      <c r="E25" s="573" t="s">
        <v>3251</v>
      </c>
      <c r="F25" s="420">
        <f>SUMIF(86:86,E25,87:87)-SUMIF(86:86,C25,87:87)+100</f>
        <v>103</v>
      </c>
      <c r="G25" s="573" t="s">
        <v>3248</v>
      </c>
      <c r="H25" s="394">
        <f>SUMIF(86:86,G25,87:87)-SUMIF(86:86,C25,87:87)+100</f>
        <v>100</v>
      </c>
      <c r="I25" s="573" t="s">
        <v>3248</v>
      </c>
      <c r="J25" s="394">
        <f>SUMIF(86:86,I25,87:87)-SUMIF(86:86,C25,87:87)+100</f>
        <v>100</v>
      </c>
      <c r="K25" s="569">
        <v>3</v>
      </c>
      <c r="L25" s="2949"/>
      <c r="M25" s="2943"/>
      <c r="N25" s="2943"/>
      <c r="O25" s="2943"/>
      <c r="P25" s="3428"/>
      <c r="Q25" s="1536" t="str">
        <f t="shared" ref="Q25:Q46" si="11">B25</f>
        <v>临街状况</v>
      </c>
      <c r="R25" s="714" t="s">
        <v>17</v>
      </c>
      <c r="S25" s="715">
        <f>F25</f>
        <v>103</v>
      </c>
      <c r="T25" s="714" t="s">
        <v>17</v>
      </c>
      <c r="U25" s="715">
        <f>H25</f>
        <v>100</v>
      </c>
      <c r="V25" s="714" t="s">
        <v>17</v>
      </c>
      <c r="W25" s="715">
        <f>J25</f>
        <v>100</v>
      </c>
      <c r="X25" s="1539"/>
      <c r="Y25" s="3421"/>
      <c r="Z25" s="1540" t="str">
        <f>Q25</f>
        <v>临街状况</v>
      </c>
      <c r="AA25" s="1537">
        <f t="shared" si="3"/>
        <v>0.970873786407767</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1536" t="str">
        <f t="shared" si="11"/>
        <v>平面位置/可视性</v>
      </c>
      <c r="R26" s="714" t="s">
        <v>17</v>
      </c>
      <c r="S26" s="715">
        <f>F26</f>
        <v>100</v>
      </c>
      <c r="T26" s="714" t="s">
        <v>17</v>
      </c>
      <c r="U26" s="715">
        <f>H26</f>
        <v>100</v>
      </c>
      <c r="V26" s="714" t="s">
        <v>17</v>
      </c>
      <c r="W26" s="715">
        <f>J26</f>
        <v>100</v>
      </c>
      <c r="X26" s="1539"/>
      <c r="Y26" s="3421"/>
      <c r="Z26" s="1540" t="str">
        <f>Q26</f>
        <v>平面位置/可视性</v>
      </c>
      <c r="AA26" s="1537">
        <f t="shared" si="3"/>
        <v>1</v>
      </c>
      <c r="AB26" s="1537">
        <f t="shared" si="4"/>
        <v>1</v>
      </c>
      <c r="AC26" s="1537">
        <f t="shared" si="5"/>
        <v>1</v>
      </c>
    </row>
    <row r="27" spans="1:29" s="113" customFormat="1" ht="15">
      <c r="A27" s="390"/>
      <c r="B27" s="410" t="s">
        <v>2478</v>
      </c>
      <c r="C27" s="2142" t="s">
        <v>3253</v>
      </c>
      <c r="D27" s="421">
        <v>100</v>
      </c>
      <c r="E27" s="2142" t="s">
        <v>3258</v>
      </c>
      <c r="F27" s="423">
        <f>SUMIF(90:90,E27,91:91)-SUMIF(90:90,C27,91:91)+100</f>
        <v>110</v>
      </c>
      <c r="G27" s="2142" t="s">
        <v>3258</v>
      </c>
      <c r="H27" s="421">
        <f>SUMIF(90:90,G27,91:91)-SUMIF(90:90,C27,91:91)+100</f>
        <v>110</v>
      </c>
      <c r="I27" s="2142" t="s">
        <v>3253</v>
      </c>
      <c r="J27" s="421">
        <f>SUMIF(90:90,I27,91:91)-SUMIF(90:90,C27,91:91)+100</f>
        <v>100</v>
      </c>
      <c r="K27" s="569">
        <v>10</v>
      </c>
      <c r="L27" s="2944"/>
      <c r="M27" s="2945"/>
      <c r="N27" s="2945"/>
      <c r="O27" s="2945"/>
      <c r="P27" s="3428"/>
      <c r="Q27" s="1527" t="str">
        <f t="shared" si="11"/>
        <v>人流量</v>
      </c>
      <c r="R27" s="710" t="s">
        <v>17</v>
      </c>
      <c r="S27" s="711">
        <f>F27</f>
        <v>110</v>
      </c>
      <c r="T27" s="710" t="s">
        <v>17</v>
      </c>
      <c r="U27" s="711">
        <f>H27</f>
        <v>110</v>
      </c>
      <c r="V27" s="710" t="s">
        <v>17</v>
      </c>
      <c r="W27" s="711">
        <f>J27</f>
        <v>100</v>
      </c>
      <c r="X27" s="712"/>
      <c r="Y27" s="3421"/>
      <c r="Z27" s="55" t="str">
        <f>Q27</f>
        <v>人流量</v>
      </c>
      <c r="AA27" s="1537">
        <f>D27/F27</f>
        <v>0.90909090909090906</v>
      </c>
      <c r="AB27" s="1537">
        <f>D27/H27</f>
        <v>0.90909090909090906</v>
      </c>
      <c r="AC27" s="1537">
        <f>D27/J27</f>
        <v>1</v>
      </c>
    </row>
    <row r="28" spans="1:29" ht="15">
      <c r="A28" s="387"/>
      <c r="B28" s="381" t="s">
        <v>2479</v>
      </c>
      <c r="C28" s="573" t="s">
        <v>3265</v>
      </c>
      <c r="D28" s="394">
        <v>100</v>
      </c>
      <c r="E28" s="573" t="s">
        <v>3265</v>
      </c>
      <c r="F28" s="420">
        <f>SUMIF(92:92,E28,93:93)-SUMIF(92:92,C28,93:93)+100</f>
        <v>100</v>
      </c>
      <c r="G28" s="573" t="s">
        <v>3265</v>
      </c>
      <c r="H28" s="394">
        <f>SUMIF(92:92,G28,93:93)-SUMIF(92:92,C28,93:93)+100</f>
        <v>100</v>
      </c>
      <c r="I28" s="573" t="s">
        <v>3265</v>
      </c>
      <c r="J28" s="394">
        <f>SUMIF(92:92,I28,93:93)-SUMIF(92:92,C28,93:93)+100</f>
        <v>100</v>
      </c>
      <c r="K28" s="570"/>
      <c r="L28" s="2949"/>
      <c r="M28" s="2943"/>
      <c r="N28" s="2943"/>
      <c r="O28" s="2943"/>
      <c r="P28" s="34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1536">
        <f t="shared" si="11"/>
        <v>111</v>
      </c>
      <c r="R29" s="714" t="s">
        <v>17</v>
      </c>
      <c r="S29" s="715">
        <f t="shared" si="12"/>
        <v>100</v>
      </c>
      <c r="T29" s="714" t="s">
        <v>17</v>
      </c>
      <c r="U29" s="715">
        <f t="shared" si="13"/>
        <v>100</v>
      </c>
      <c r="V29" s="714" t="s">
        <v>17</v>
      </c>
      <c r="W29" s="715">
        <f t="shared" si="14"/>
        <v>100</v>
      </c>
      <c r="X29" s="1539"/>
      <c r="Y29" s="34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1537">
        <f t="shared" si="5"/>
        <v>1</v>
      </c>
    </row>
    <row r="32" spans="1:29" ht="15">
      <c r="A32" s="399" t="s">
        <v>2383</v>
      </c>
      <c r="B32" s="67" t="s">
        <v>2480</v>
      </c>
      <c r="C32" s="2096" t="s">
        <v>3243</v>
      </c>
      <c r="D32" s="426">
        <v>100</v>
      </c>
      <c r="E32" s="2096" t="s">
        <v>3243</v>
      </c>
      <c r="F32" s="420">
        <f>SUMIF(100:100,E32,101:101)-SUMIF(100:100,C32,101:101)+100</f>
        <v>100</v>
      </c>
      <c r="G32" s="2096" t="s">
        <v>3243</v>
      </c>
      <c r="H32" s="394">
        <f>SUMIF(100:100,G32,101:101)-SUMIF(100:100,C32,101:101)+100</f>
        <v>100</v>
      </c>
      <c r="I32" s="2096" t="s">
        <v>3243</v>
      </c>
      <c r="J32" s="426">
        <f>SUMIF(100:100,I32,101:101)-SUMIF(100:100,C32,101:101)+100</f>
        <v>100</v>
      </c>
      <c r="K32" s="569">
        <v>5</v>
      </c>
      <c r="L32" s="2949"/>
      <c r="M32" s="2943"/>
      <c r="N32" s="2943"/>
      <c r="O32" s="2943"/>
      <c r="P32" s="3422" t="s">
        <v>2385</v>
      </c>
      <c r="Q32" s="1536" t="str">
        <f t="shared" si="11"/>
        <v>商业类型</v>
      </c>
      <c r="R32" s="714" t="s">
        <v>17</v>
      </c>
      <c r="S32" s="715">
        <f t="shared" si="12"/>
        <v>100</v>
      </c>
      <c r="T32" s="714" t="s">
        <v>17</v>
      </c>
      <c r="U32" s="715">
        <f t="shared" si="13"/>
        <v>100</v>
      </c>
      <c r="V32" s="714" t="s">
        <v>17</v>
      </c>
      <c r="W32" s="715">
        <f t="shared" si="14"/>
        <v>100</v>
      </c>
      <c r="X32" s="1539"/>
      <c r="Y32" s="3425" t="s">
        <v>2385</v>
      </c>
      <c r="Z32" s="1540" t="str">
        <f t="shared" si="15"/>
        <v>商业类型</v>
      </c>
      <c r="AA32" s="1537">
        <f t="shared" si="3"/>
        <v>1</v>
      </c>
      <c r="AB32" s="1537">
        <f t="shared" si="4"/>
        <v>1</v>
      </c>
      <c r="AC32" s="1537">
        <f t="shared" si="5"/>
        <v>1</v>
      </c>
    </row>
    <row r="33" spans="1:29" s="430" customFormat="1" ht="15">
      <c r="A33" s="427"/>
      <c r="B33" s="381" t="s">
        <v>2386</v>
      </c>
      <c r="C33" s="428">
        <f>'数据-基础表'!I13</f>
        <v>994.5</v>
      </c>
      <c r="D33" s="132">
        <v>100</v>
      </c>
      <c r="E33" s="389">
        <f>60*C50</f>
        <v>45</v>
      </c>
      <c r="F33" s="384">
        <f>LOOKUP(E33,103:103,104:104)-LOOKUP(C33,103:103,104:104)+100</f>
        <v>106</v>
      </c>
      <c r="G33" s="388">
        <f>130*C50</f>
        <v>97.5</v>
      </c>
      <c r="H33" s="132">
        <f>LOOKUP(G33,103:103,104:104)-LOOKUP(C33,103:103,104:104)+100</f>
        <v>106</v>
      </c>
      <c r="I33" s="388">
        <f>ROUND(510.81*C50,2)</f>
        <v>383.11</v>
      </c>
      <c r="J33" s="132">
        <f>LOOKUP(I33,103:103,104:104)-LOOKUP(C33,103:103,104:104)+100</f>
        <v>104</v>
      </c>
      <c r="K33" s="570"/>
      <c r="L33" s="2948"/>
      <c r="M33" s="2950"/>
      <c r="N33" s="2950"/>
      <c r="O33" s="2950"/>
      <c r="P33" s="3423"/>
      <c r="Q33" s="716" t="str">
        <f t="shared" si="11"/>
        <v>项目建筑规模</v>
      </c>
      <c r="R33" s="717" t="s">
        <v>17</v>
      </c>
      <c r="S33" s="718">
        <f t="shared" si="12"/>
        <v>106</v>
      </c>
      <c r="T33" s="717" t="s">
        <v>17</v>
      </c>
      <c r="U33" s="718">
        <f t="shared" si="13"/>
        <v>106</v>
      </c>
      <c r="V33" s="717" t="s">
        <v>17</v>
      </c>
      <c r="W33" s="718">
        <f t="shared" si="14"/>
        <v>104</v>
      </c>
      <c r="X33" s="719"/>
      <c r="Y33" s="3425"/>
      <c r="Z33" s="720" t="str">
        <f t="shared" si="15"/>
        <v>项目建筑规模</v>
      </c>
      <c r="AA33" s="1537">
        <f t="shared" si="3"/>
        <v>0.94339622641509435</v>
      </c>
      <c r="AB33" s="1537">
        <f t="shared" si="4"/>
        <v>0.94339622641509435</v>
      </c>
      <c r="AC33" s="1537">
        <f t="shared" si="5"/>
        <v>0.96153846153846156</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1536" t="str">
        <f t="shared" si="11"/>
        <v>建筑结构</v>
      </c>
      <c r="R34" s="714" t="s">
        <v>17</v>
      </c>
      <c r="S34" s="715">
        <f t="shared" si="12"/>
        <v>100</v>
      </c>
      <c r="T34" s="714" t="s">
        <v>17</v>
      </c>
      <c r="U34" s="715">
        <f t="shared" si="13"/>
        <v>100</v>
      </c>
      <c r="V34" s="714" t="s">
        <v>17</v>
      </c>
      <c r="W34" s="715">
        <f t="shared" si="14"/>
        <v>100</v>
      </c>
      <c r="X34" s="1539"/>
      <c r="Y34" s="3425"/>
      <c r="Z34" s="1540" t="str">
        <f t="shared" si="15"/>
        <v>建筑结构</v>
      </c>
      <c r="AA34" s="1537">
        <f t="shared" si="3"/>
        <v>1</v>
      </c>
      <c r="AB34" s="1537">
        <f t="shared" si="4"/>
        <v>1</v>
      </c>
      <c r="AC34" s="1537">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1536" t="str">
        <f t="shared" si="11"/>
        <v>公共部分装修</v>
      </c>
      <c r="R35" s="714" t="s">
        <v>17</v>
      </c>
      <c r="S35" s="715">
        <f t="shared" si="12"/>
        <v>100</v>
      </c>
      <c r="T35" s="714" t="s">
        <v>17</v>
      </c>
      <c r="U35" s="715">
        <f t="shared" si="13"/>
        <v>100</v>
      </c>
      <c r="V35" s="714" t="s">
        <v>17</v>
      </c>
      <c r="W35" s="715">
        <f t="shared" si="14"/>
        <v>100</v>
      </c>
      <c r="X35" s="1539"/>
      <c r="Y35" s="3425"/>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1536" t="str">
        <f t="shared" si="11"/>
        <v>成新度</v>
      </c>
      <c r="R36" s="714" t="s">
        <v>17</v>
      </c>
      <c r="S36" s="715">
        <f t="shared" si="12"/>
        <v>100</v>
      </c>
      <c r="T36" s="714" t="s">
        <v>17</v>
      </c>
      <c r="U36" s="715">
        <f t="shared" si="13"/>
        <v>100</v>
      </c>
      <c r="V36" s="714" t="s">
        <v>17</v>
      </c>
      <c r="W36" s="715">
        <f t="shared" si="14"/>
        <v>100</v>
      </c>
      <c r="X36" s="1539"/>
      <c r="Y36" s="3425"/>
      <c r="Z36" s="1540" t="str">
        <f t="shared" si="15"/>
        <v>成新度</v>
      </c>
      <c r="AA36" s="1537">
        <f t="shared" si="3"/>
        <v>1</v>
      </c>
      <c r="AB36" s="1537">
        <f t="shared" si="4"/>
        <v>1</v>
      </c>
      <c r="AC36" s="1537">
        <f t="shared" si="5"/>
        <v>1</v>
      </c>
    </row>
    <row r="37" spans="1:29" s="113" customFormat="1" ht="15">
      <c r="A37" s="432"/>
      <c r="B37" s="381" t="s">
        <v>2483</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23"/>
      <c r="Q37" s="1527"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23" t="s">
        <v>2385</v>
      </c>
      <c r="Q38" s="1536" t="str">
        <f t="shared" si="11"/>
        <v>业态</v>
      </c>
      <c r="R38" s="714" t="s">
        <v>17</v>
      </c>
      <c r="S38" s="715">
        <f t="shared" si="12"/>
        <v>100</v>
      </c>
      <c r="T38" s="714" t="s">
        <v>17</v>
      </c>
      <c r="U38" s="715">
        <f t="shared" si="13"/>
        <v>100</v>
      </c>
      <c r="V38" s="714" t="s">
        <v>17</v>
      </c>
      <c r="W38" s="715">
        <f t="shared" si="14"/>
        <v>100</v>
      </c>
      <c r="X38" s="1539"/>
      <c r="Y38" s="3425" t="s">
        <v>2385</v>
      </c>
      <c r="Z38" s="1540" t="str">
        <f t="shared" si="15"/>
        <v>业态</v>
      </c>
      <c r="AA38" s="1537">
        <f t="shared" si="3"/>
        <v>1</v>
      </c>
      <c r="AB38" s="1537">
        <f t="shared" si="4"/>
        <v>1</v>
      </c>
      <c r="AC38" s="1537">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1536" t="str">
        <f t="shared" si="11"/>
        <v>层高</v>
      </c>
      <c r="R39" s="714" t="s">
        <v>17</v>
      </c>
      <c r="S39" s="715">
        <f t="shared" si="12"/>
        <v>100</v>
      </c>
      <c r="T39" s="714" t="s">
        <v>17</v>
      </c>
      <c r="U39" s="715">
        <f t="shared" si="13"/>
        <v>100</v>
      </c>
      <c r="V39" s="714" t="s">
        <v>17</v>
      </c>
      <c r="W39" s="715">
        <f t="shared" si="14"/>
        <v>100</v>
      </c>
      <c r="X39" s="1539"/>
      <c r="Y39" s="3425"/>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1536" t="str">
        <f t="shared" si="11"/>
        <v>单套建筑面积</v>
      </c>
      <c r="R40" s="714" t="s">
        <v>17</v>
      </c>
      <c r="S40" s="715">
        <f t="shared" si="12"/>
        <v>100</v>
      </c>
      <c r="T40" s="714" t="s">
        <v>17</v>
      </c>
      <c r="U40" s="715">
        <f t="shared" si="13"/>
        <v>100</v>
      </c>
      <c r="V40" s="714" t="s">
        <v>17</v>
      </c>
      <c r="W40" s="715">
        <f t="shared" si="14"/>
        <v>100</v>
      </c>
      <c r="X40" s="1539"/>
      <c r="Y40" s="3425"/>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7">
        <f t="shared" si="3"/>
        <v>1</v>
      </c>
      <c r="AB41" s="1537">
        <f t="shared" si="4"/>
        <v>1</v>
      </c>
      <c r="AC41" s="1537">
        <f t="shared" si="5"/>
        <v>1</v>
      </c>
    </row>
    <row r="42" spans="1:29" ht="15">
      <c r="A42" s="431"/>
      <c r="B42" s="381" t="s">
        <v>2488</v>
      </c>
      <c r="C42" s="2092" t="s">
        <v>3255</v>
      </c>
      <c r="D42" s="394">
        <v>100</v>
      </c>
      <c r="E42" s="2092" t="s">
        <v>3288</v>
      </c>
      <c r="F42" s="420">
        <f>SUMIF(122:122,E42,123:123)-SUMIF(122:122,C42,123:123)+100</f>
        <v>92</v>
      </c>
      <c r="G42" s="2092" t="s">
        <v>3255</v>
      </c>
      <c r="H42" s="394">
        <f>SUMIF(122:122,G42,123:123)-SUMIF(122:122,C42,123:123)+100</f>
        <v>100</v>
      </c>
      <c r="I42" s="2092" t="s">
        <v>3233</v>
      </c>
      <c r="J42" s="394">
        <f>SUMIF(122:122,I42,123:123)-SUMIF(122:122,C42,123:123)+100</f>
        <v>108</v>
      </c>
      <c r="K42" s="569">
        <v>8</v>
      </c>
      <c r="L42" s="2949"/>
      <c r="M42" s="2943"/>
      <c r="N42" s="2943"/>
      <c r="O42" s="2943"/>
      <c r="P42" s="3423"/>
      <c r="Q42" s="1536" t="str">
        <f t="shared" si="11"/>
        <v>内部装修</v>
      </c>
      <c r="R42" s="714" t="s">
        <v>17</v>
      </c>
      <c r="S42" s="715">
        <f t="shared" si="12"/>
        <v>92</v>
      </c>
      <c r="T42" s="714" t="s">
        <v>17</v>
      </c>
      <c r="U42" s="715">
        <f t="shared" si="13"/>
        <v>100</v>
      </c>
      <c r="V42" s="714" t="s">
        <v>17</v>
      </c>
      <c r="W42" s="715">
        <f t="shared" si="14"/>
        <v>108</v>
      </c>
      <c r="X42" s="1539"/>
      <c r="Y42" s="3425"/>
      <c r="Z42" s="1540" t="str">
        <f t="shared" si="15"/>
        <v>内部装修</v>
      </c>
      <c r="AA42" s="1537">
        <f t="shared" si="3"/>
        <v>1.0869565217391304</v>
      </c>
      <c r="AB42" s="1537">
        <f t="shared" si="4"/>
        <v>1</v>
      </c>
      <c r="AC42" s="1537">
        <f t="shared" si="5"/>
        <v>0.92592592592592593</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1536" t="str">
        <f t="shared" si="11"/>
        <v>内部装修维护情况</v>
      </c>
      <c r="R43" s="714" t="s">
        <v>17</v>
      </c>
      <c r="S43" s="715">
        <f t="shared" si="12"/>
        <v>100</v>
      </c>
      <c r="T43" s="714" t="s">
        <v>17</v>
      </c>
      <c r="U43" s="715">
        <f t="shared" si="13"/>
        <v>100</v>
      </c>
      <c r="V43" s="714" t="s">
        <v>17</v>
      </c>
      <c r="W43" s="715">
        <f t="shared" si="14"/>
        <v>100</v>
      </c>
      <c r="X43" s="1539"/>
      <c r="Y43" s="3425"/>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1527">
        <f t="shared" si="11"/>
        <v>0</v>
      </c>
      <c r="R44" s="710" t="s">
        <v>17</v>
      </c>
      <c r="S44" s="711">
        <f t="shared" si="12"/>
        <v>100</v>
      </c>
      <c r="T44" s="710" t="s">
        <v>17</v>
      </c>
      <c r="U44" s="711">
        <f t="shared" si="13"/>
        <v>100</v>
      </c>
      <c r="V44" s="710" t="s">
        <v>17</v>
      </c>
      <c r="W44" s="711">
        <f t="shared" si="14"/>
        <v>100</v>
      </c>
      <c r="X44" s="712"/>
      <c r="Y44" s="342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1536">
        <f t="shared" si="11"/>
        <v>111</v>
      </c>
      <c r="R45" s="714" t="s">
        <v>17</v>
      </c>
      <c r="S45" s="715">
        <f t="shared" si="12"/>
        <v>100</v>
      </c>
      <c r="T45" s="714" t="s">
        <v>17</v>
      </c>
      <c r="U45" s="715">
        <f t="shared" si="13"/>
        <v>100</v>
      </c>
      <c r="V45" s="714" t="s">
        <v>17</v>
      </c>
      <c r="W45" s="715">
        <f t="shared" si="14"/>
        <v>100</v>
      </c>
      <c r="X45" s="1539"/>
      <c r="Y45" s="34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1536">
        <f t="shared" si="11"/>
        <v>111</v>
      </c>
      <c r="R46" s="714" t="s">
        <v>17</v>
      </c>
      <c r="S46" s="715">
        <f t="shared" si="12"/>
        <v>100</v>
      </c>
      <c r="T46" s="714" t="s">
        <v>17</v>
      </c>
      <c r="U46" s="715">
        <f t="shared" si="13"/>
        <v>100</v>
      </c>
      <c r="V46" s="714" t="s">
        <v>17</v>
      </c>
      <c r="W46" s="715">
        <f t="shared" si="14"/>
        <v>100</v>
      </c>
      <c r="X46" s="1539"/>
      <c r="Y46" s="3426"/>
      <c r="Z46" s="1540">
        <f t="shared" si="15"/>
        <v>111</v>
      </c>
      <c r="AA46" s="1537">
        <f t="shared" si="3"/>
        <v>1</v>
      </c>
      <c r="AB46" s="1537">
        <f t="shared" si="4"/>
        <v>1</v>
      </c>
      <c r="AC46" s="1537">
        <f t="shared" si="5"/>
        <v>1</v>
      </c>
    </row>
    <row r="47" spans="1:29" ht="15">
      <c r="A47" s="438" t="s">
        <v>2397</v>
      </c>
      <c r="B47" s="439"/>
      <c r="C47" s="1316" t="s">
        <v>1</v>
      </c>
      <c r="D47" s="1317"/>
      <c r="E47" s="1318">
        <f>ROUND(10/C50,1)</f>
        <v>13.3</v>
      </c>
      <c r="F47" s="1319"/>
      <c r="G47" s="1320">
        <f>ROUND(9.74/C50,1)</f>
        <v>13</v>
      </c>
      <c r="H47" s="1321"/>
      <c r="I47" s="1318">
        <f>ROUND(10/C50,1)</f>
        <v>13.3</v>
      </c>
      <c r="J47" s="1321"/>
      <c r="K47" s="723"/>
      <c r="L47" s="2951"/>
      <c r="M47" s="2952"/>
      <c r="N47" s="2943"/>
      <c r="O47" s="2952"/>
      <c r="P47" s="3418" t="str">
        <f>A47</f>
        <v>成交单价（元/平方米）</v>
      </c>
      <c r="Q47" s="3418"/>
      <c r="R47" s="3449">
        <f>E47</f>
        <v>13.3</v>
      </c>
      <c r="S47" s="3449"/>
      <c r="T47" s="3449">
        <f>G47</f>
        <v>13</v>
      </c>
      <c r="U47" s="3449"/>
      <c r="V47" s="3449">
        <f>I47</f>
        <v>13.3</v>
      </c>
      <c r="W47" s="3449"/>
      <c r="X47" s="699"/>
      <c r="Y47" s="721"/>
      <c r="Z47" s="699"/>
      <c r="AA47" s="699"/>
      <c r="AB47" s="699"/>
      <c r="AC47" s="699"/>
    </row>
    <row r="48" spans="1:29" ht="15.75" thickBot="1">
      <c r="A48" s="445" t="s">
        <v>2489</v>
      </c>
      <c r="B48" s="446"/>
      <c r="C48" s="1322">
        <f>R49</f>
        <v>11.7</v>
      </c>
      <c r="D48" s="2538" t="s">
        <v>2880</v>
      </c>
      <c r="E48" s="1323">
        <f>R48</f>
        <v>12</v>
      </c>
      <c r="F48" s="2539"/>
      <c r="G48" s="1322">
        <f>T48</f>
        <v>11.1</v>
      </c>
      <c r="H48" s="2539"/>
      <c r="I48" s="1323">
        <f>V48</f>
        <v>12.1</v>
      </c>
      <c r="J48" s="2539"/>
      <c r="K48" s="2541">
        <f>F48+H48+J48</f>
        <v>0</v>
      </c>
      <c r="L48" s="2951"/>
      <c r="M48" s="2952"/>
      <c r="N48" s="2943"/>
      <c r="O48" s="2952"/>
      <c r="P48" s="3418" t="str">
        <f>A48</f>
        <v>比较价值（元/平方米）</v>
      </c>
      <c r="Q48" s="3418"/>
      <c r="R48" s="3419">
        <f>IF(F1="售价",ROUND(PRODUCT(R47,AA7:AA46),0),ROUND(PRODUCT(R47,AA7:AA46),1))</f>
        <v>12</v>
      </c>
      <c r="S48" s="3419"/>
      <c r="T48" s="3419">
        <f>IF(F1="售价",ROUND(PRODUCT(T47,AB7:AB46),0),ROUND(PRODUCT(T47,AB7:AB46),1))</f>
        <v>11.1</v>
      </c>
      <c r="U48" s="3419"/>
      <c r="V48" s="3419">
        <f>IF(F1="售价",ROUND(PRODUCT(V47,AC7:AC46),0),ROUND(PRODUCT(V47,AC7:AC46),1))</f>
        <v>12.1</v>
      </c>
      <c r="W48" s="3419"/>
      <c r="X48" s="699"/>
      <c r="Y48" s="699"/>
      <c r="Z48" s="699"/>
      <c r="AA48" s="699"/>
      <c r="AB48" s="699"/>
      <c r="AC48" s="699"/>
    </row>
    <row r="49" spans="1:29" ht="15.75" thickBot="1">
      <c r="A49" s="449" t="s">
        <v>2490</v>
      </c>
      <c r="B49" s="450"/>
      <c r="C49" s="1325">
        <f>R49</f>
        <v>11.7</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11.7</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0.10833333333333339</v>
      </c>
      <c r="F52" s="457" t="str">
        <f>IF(OR(E52&gt;=0.3,E52&lt;=-0.3),"超过30%","")</f>
        <v/>
      </c>
      <c r="G52" s="456">
        <f>IF(G47&lt;G48,G48/G47-1,G47/G48-1)</f>
        <v>0.1711711711711712</v>
      </c>
      <c r="H52" s="457" t="str">
        <f>IF(OR(G52&gt;=0.3,G52&lt;=-0.3),"超过30%","")</f>
        <v/>
      </c>
      <c r="I52" s="456">
        <f>IF(I47&lt;I48,I48/I47-1,I47/I48-1)</f>
        <v>9.9173553719008378E-2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8.1081081081081141E-2</v>
      </c>
      <c r="F53" s="457" t="str">
        <f>IF(OR(E53&gt;=0.2,E53&lt;=-0.2),"超过20%","")</f>
        <v/>
      </c>
      <c r="G53" s="456">
        <f>IF(G48&lt;I48,I48/G48-1,G48/I48-1)</f>
        <v>9.0090090090090058E-2</v>
      </c>
      <c r="H53" s="457" t="str">
        <f>IF(OR(G53&gt;=0.2,G53&lt;=-0.2),"超过20%","")</f>
        <v/>
      </c>
      <c r="I53" s="456">
        <f>IF(I48&lt;E48,E48/I48-1,I48/E48-1)</f>
        <v>8.3333333333333037E-3</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3138" t="s">
        <v>3232</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3259</v>
      </c>
      <c r="D90" s="3140" t="s">
        <v>3260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3264</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3244</v>
      </c>
      <c r="D100" s="3141" t="s">
        <v>3245</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3240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3234</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3242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3234</v>
      </c>
      <c r="D122" s="3140" t="s">
        <v>3256</v>
      </c>
      <c r="E122" s="3140" t="s">
        <v>3289</v>
      </c>
      <c r="F122" s="3150" t="s">
        <v>3290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92</v>
      </c>
      <c r="E123" s="501">
        <f t="shared" si="31"/>
        <v>84</v>
      </c>
      <c r="F123" s="501">
        <f t="shared" si="31"/>
        <v>76</v>
      </c>
      <c r="G123" s="501">
        <f t="shared" si="31"/>
        <v>68</v>
      </c>
      <c r="H123" s="501">
        <f t="shared" si="31"/>
        <v>60</v>
      </c>
      <c r="I123" s="501">
        <f t="shared" si="31"/>
        <v>52</v>
      </c>
      <c r="J123" s="501">
        <f t="shared" si="31"/>
        <v>44</v>
      </c>
      <c r="K123" s="501">
        <f t="shared" si="31"/>
        <v>36</v>
      </c>
      <c r="L123" s="501">
        <f t="shared" si="31"/>
        <v>28</v>
      </c>
      <c r="M123" s="502">
        <f t="shared" si="31"/>
        <v>20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69" t="s">
        <v>2471</v>
      </c>
      <c r="Q4" s="3470"/>
      <c r="R4" s="3473" t="s">
        <v>2467</v>
      </c>
      <c r="S4" s="3474"/>
      <c r="T4" s="3473" t="s">
        <v>2468</v>
      </c>
      <c r="U4" s="3474"/>
      <c r="V4" s="3475" t="s">
        <v>2469</v>
      </c>
      <c r="W4" s="3475"/>
      <c r="X4" s="2144"/>
      <c r="Y4" s="3473" t="s">
        <v>2471</v>
      </c>
      <c r="Z4" s="3474"/>
      <c r="AA4" s="3477" t="s">
        <v>2467</v>
      </c>
      <c r="AB4" s="3477" t="s">
        <v>2468</v>
      </c>
      <c r="AC4" s="3466" t="s">
        <v>2469</v>
      </c>
    </row>
    <row r="5" spans="1:29" ht="15">
      <c r="A5" s="364"/>
      <c r="B5" s="365"/>
      <c r="C5" s="3452" t="s">
        <v>2362</v>
      </c>
      <c r="D5" s="3453"/>
      <c r="E5" s="3459" t="s">
        <v>2363</v>
      </c>
      <c r="F5" s="3460"/>
      <c r="G5" s="3452" t="s">
        <v>2364</v>
      </c>
      <c r="H5" s="3453"/>
      <c r="I5" s="3452" t="s">
        <v>2365</v>
      </c>
      <c r="J5" s="3453"/>
      <c r="K5" s="567"/>
      <c r="L5" s="2942"/>
      <c r="M5" s="2943"/>
      <c r="N5" s="2943"/>
      <c r="O5" s="2943"/>
      <c r="P5" s="3471"/>
      <c r="Q5" s="3440"/>
      <c r="R5" s="3445"/>
      <c r="S5" s="3446"/>
      <c r="T5" s="3445"/>
      <c r="U5" s="3446"/>
      <c r="V5" s="3449"/>
      <c r="W5" s="3449"/>
      <c r="X5" s="1539"/>
      <c r="Y5" s="3445"/>
      <c r="Z5" s="3446"/>
      <c r="AA5" s="3431"/>
      <c r="AB5" s="3431"/>
      <c r="AC5" s="3467"/>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72"/>
      <c r="Q6" s="3442"/>
      <c r="R6" s="3445"/>
      <c r="S6" s="3446"/>
      <c r="T6" s="3447"/>
      <c r="U6" s="3448"/>
      <c r="V6" s="3449"/>
      <c r="W6" s="3449"/>
      <c r="X6" s="1539"/>
      <c r="Y6" s="3447"/>
      <c r="Z6" s="3448"/>
      <c r="AA6" s="3432"/>
      <c r="AB6" s="3432"/>
      <c r="AC6" s="3468"/>
    </row>
    <row r="7" spans="1:29" s="113" customFormat="1" ht="15.75" thickBot="1">
      <c r="A7" s="368" t="s">
        <v>2368</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6"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6" t="s">
        <v>2372</v>
      </c>
      <c r="Q8" s="3455"/>
      <c r="R8" s="710" t="s">
        <v>17</v>
      </c>
      <c r="S8" s="711">
        <f t="shared" si="0"/>
        <v>0</v>
      </c>
      <c r="T8" s="710" t="s">
        <v>17</v>
      </c>
      <c r="U8" s="711">
        <f t="shared" si="1"/>
        <v>0</v>
      </c>
      <c r="V8" s="710" t="s">
        <v>17</v>
      </c>
      <c r="W8" s="711">
        <f t="shared" si="2"/>
        <v>0</v>
      </c>
      <c r="X8" s="712"/>
      <c r="Y8" s="3454" t="s">
        <v>2372</v>
      </c>
      <c r="Z8" s="3455"/>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29"/>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27" t="s">
        <v>2380</v>
      </c>
      <c r="Q15" s="1536" t="str">
        <f t="shared" si="6"/>
        <v>办公集聚程度</v>
      </c>
      <c r="R15" s="714" t="s">
        <v>17</v>
      </c>
      <c r="S15" s="715">
        <f t="shared" si="0"/>
        <v>100</v>
      </c>
      <c r="T15" s="714" t="s">
        <v>17</v>
      </c>
      <c r="U15" s="715">
        <f t="shared" si="1"/>
        <v>100</v>
      </c>
      <c r="V15" s="714" t="s">
        <v>17</v>
      </c>
      <c r="W15" s="715">
        <f t="shared" si="2"/>
        <v>100</v>
      </c>
      <c r="X15" s="1539"/>
      <c r="Y15" s="3420"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28"/>
      <c r="Q16" s="1536"/>
      <c r="R16" s="714"/>
      <c r="S16" s="715"/>
      <c r="T16" s="714"/>
      <c r="U16" s="715"/>
      <c r="V16" s="714"/>
      <c r="W16" s="715"/>
      <c r="X16" s="1539"/>
      <c r="Y16" s="3421"/>
      <c r="Z16" s="1540"/>
      <c r="AA16" s="1537">
        <v>1</v>
      </c>
      <c r="AB16" s="1537">
        <v>1</v>
      </c>
      <c r="AC16" s="2148">
        <v>1</v>
      </c>
    </row>
    <row r="17" spans="1:29" ht="128.25">
      <c r="A17" s="387"/>
      <c r="B17" s="587" t="s">
        <v>1944</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28"/>
      <c r="Q18" s="1536"/>
      <c r="R18" s="714"/>
      <c r="S18" s="715"/>
      <c r="T18" s="714"/>
      <c r="U18" s="715"/>
      <c r="V18" s="714"/>
      <c r="W18" s="715"/>
      <c r="X18" s="1539"/>
      <c r="Y18" s="3421"/>
      <c r="Z18" s="1540"/>
      <c r="AA18" s="1537">
        <v>1</v>
      </c>
      <c r="AB18" s="1537">
        <v>1</v>
      </c>
      <c r="AC18" s="2148">
        <v>1</v>
      </c>
    </row>
    <row r="19" spans="1:29" ht="285">
      <c r="A19" s="387"/>
      <c r="B19" s="587" t="s">
        <v>2508</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28"/>
      <c r="Q20" s="1536"/>
      <c r="R20" s="714"/>
      <c r="S20" s="715"/>
      <c r="T20" s="714"/>
      <c r="U20" s="715"/>
      <c r="V20" s="714"/>
      <c r="W20" s="715"/>
      <c r="X20" s="1539"/>
      <c r="Y20" s="3421"/>
      <c r="Z20" s="1540"/>
      <c r="AA20" s="1537">
        <v>1</v>
      </c>
      <c r="AB20" s="1537">
        <v>1</v>
      </c>
      <c r="AC20" s="2148">
        <v>1</v>
      </c>
    </row>
    <row r="21" spans="1:29" ht="42.75">
      <c r="A21" s="387"/>
      <c r="B21" s="589" t="s">
        <v>2509</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28"/>
      <c r="Q22" s="1536"/>
      <c r="R22" s="714"/>
      <c r="S22" s="715"/>
      <c r="T22" s="714"/>
      <c r="U22" s="715"/>
      <c r="V22" s="714"/>
      <c r="W22" s="715"/>
      <c r="X22" s="1539"/>
      <c r="Y22" s="3421"/>
      <c r="Z22" s="1540"/>
      <c r="AA22" s="1537">
        <v>1</v>
      </c>
      <c r="AB22" s="1537">
        <v>1</v>
      </c>
      <c r="AC22" s="2148">
        <v>1</v>
      </c>
    </row>
    <row r="23" spans="1:29" ht="128.25">
      <c r="A23" s="387"/>
      <c r="B23" s="587" t="s">
        <v>2510</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28"/>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28"/>
      <c r="Q24" s="1536"/>
      <c r="R24" s="714"/>
      <c r="S24" s="715"/>
      <c r="T24" s="714"/>
      <c r="U24" s="715"/>
      <c r="V24" s="714"/>
      <c r="W24" s="715"/>
      <c r="X24" s="1539"/>
      <c r="Y24" s="3421"/>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28"/>
      <c r="Q25" s="1536" t="str">
        <f>B25</f>
        <v>毗邻道路的类型与等级</v>
      </c>
      <c r="R25" s="714" t="s">
        <v>17</v>
      </c>
      <c r="S25" s="715">
        <f>F25</f>
        <v>100</v>
      </c>
      <c r="T25" s="714" t="s">
        <v>17</v>
      </c>
      <c r="U25" s="715">
        <f>H25</f>
        <v>100</v>
      </c>
      <c r="V25" s="714" t="s">
        <v>17</v>
      </c>
      <c r="W25" s="715">
        <f>J25</f>
        <v>100</v>
      </c>
      <c r="X25" s="1539"/>
      <c r="Y25" s="34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28"/>
      <c r="Q26" s="1536"/>
      <c r="R26" s="714"/>
      <c r="S26" s="715"/>
      <c r="T26" s="714"/>
      <c r="U26" s="715"/>
      <c r="V26" s="714"/>
      <c r="W26" s="715"/>
      <c r="X26" s="1539"/>
      <c r="Y26" s="3421"/>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28"/>
      <c r="Q27" s="1536" t="str">
        <f t="shared" ref="Q27:Q47" si="11">B27</f>
        <v>楼层</v>
      </c>
      <c r="R27" s="714" t="s">
        <v>17</v>
      </c>
      <c r="S27" s="715">
        <f>F27</f>
        <v>100</v>
      </c>
      <c r="T27" s="714" t="s">
        <v>17</v>
      </c>
      <c r="U27" s="715">
        <f>H27</f>
        <v>100</v>
      </c>
      <c r="V27" s="714" t="s">
        <v>17</v>
      </c>
      <c r="W27" s="715">
        <f>J27</f>
        <v>100</v>
      </c>
      <c r="X27" s="1539"/>
      <c r="Y27" s="3421"/>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28"/>
      <c r="Q28" s="1527" t="str">
        <f t="shared" si="11"/>
        <v>朝向</v>
      </c>
      <c r="R28" s="710" t="s">
        <v>17</v>
      </c>
      <c r="S28" s="711">
        <f>F28</f>
        <v>100</v>
      </c>
      <c r="T28" s="710" t="s">
        <v>17</v>
      </c>
      <c r="U28" s="711">
        <f>H28</f>
        <v>100</v>
      </c>
      <c r="V28" s="710" t="s">
        <v>17</v>
      </c>
      <c r="W28" s="711">
        <f>J28</f>
        <v>100</v>
      </c>
      <c r="X28" s="712"/>
      <c r="Y28" s="34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28"/>
      <c r="Q29" s="1536">
        <f t="shared" si="11"/>
        <v>111</v>
      </c>
      <c r="R29" s="714" t="s">
        <v>17</v>
      </c>
      <c r="S29" s="715">
        <f t="shared" ref="S29:S47" si="12">F29</f>
        <v>100</v>
      </c>
      <c r="T29" s="714" t="s">
        <v>17</v>
      </c>
      <c r="U29" s="715">
        <f t="shared" ref="U29:U47" si="13">H29</f>
        <v>100</v>
      </c>
      <c r="V29" s="714" t="s">
        <v>17</v>
      </c>
      <c r="W29" s="715">
        <f t="shared" ref="W29:W47" si="14">J29</f>
        <v>100</v>
      </c>
      <c r="X29" s="1539"/>
      <c r="Y29" s="34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28"/>
      <c r="Q32" s="1536">
        <f t="shared" si="11"/>
        <v>111</v>
      </c>
      <c r="R32" s="714" t="s">
        <v>17</v>
      </c>
      <c r="S32" s="715">
        <f t="shared" si="12"/>
        <v>100</v>
      </c>
      <c r="T32" s="714" t="s">
        <v>17</v>
      </c>
      <c r="U32" s="715">
        <f t="shared" si="13"/>
        <v>100</v>
      </c>
      <c r="V32" s="714" t="s">
        <v>17</v>
      </c>
      <c r="W32" s="715">
        <f t="shared" si="14"/>
        <v>100</v>
      </c>
      <c r="X32" s="1539"/>
      <c r="Y32" s="3421"/>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22" t="s">
        <v>2385</v>
      </c>
      <c r="Q33" s="1536" t="str">
        <f t="shared" si="11"/>
        <v>建筑类型</v>
      </c>
      <c r="R33" s="714" t="s">
        <v>17</v>
      </c>
      <c r="S33" s="715">
        <f t="shared" si="12"/>
        <v>100</v>
      </c>
      <c r="T33" s="714" t="s">
        <v>17</v>
      </c>
      <c r="U33" s="715">
        <f t="shared" si="13"/>
        <v>100</v>
      </c>
      <c r="V33" s="714" t="s">
        <v>17</v>
      </c>
      <c r="W33" s="715">
        <f t="shared" si="14"/>
        <v>100</v>
      </c>
      <c r="X33" s="1539"/>
      <c r="Y33" s="3425"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23"/>
      <c r="Q34" s="716" t="str">
        <f t="shared" si="11"/>
        <v>项目建筑规模</v>
      </c>
      <c r="R34" s="717" t="s">
        <v>17</v>
      </c>
      <c r="S34" s="718" t="e">
        <f t="shared" si="12"/>
        <v>#N/A</v>
      </c>
      <c r="T34" s="717" t="s">
        <v>17</v>
      </c>
      <c r="U34" s="718" t="e">
        <f t="shared" si="13"/>
        <v>#N/A</v>
      </c>
      <c r="V34" s="717" t="s">
        <v>17</v>
      </c>
      <c r="W34" s="718" t="e">
        <f t="shared" si="14"/>
        <v>#N/A</v>
      </c>
      <c r="X34" s="719"/>
      <c r="Y34" s="3425"/>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23"/>
      <c r="Q35" s="1536" t="str">
        <f t="shared" si="11"/>
        <v>建筑结构</v>
      </c>
      <c r="R35" s="714" t="s">
        <v>17</v>
      </c>
      <c r="S35" s="715">
        <f t="shared" si="12"/>
        <v>100</v>
      </c>
      <c r="T35" s="714" t="s">
        <v>17</v>
      </c>
      <c r="U35" s="715">
        <f t="shared" si="13"/>
        <v>100</v>
      </c>
      <c r="V35" s="714" t="s">
        <v>17</v>
      </c>
      <c r="W35" s="715">
        <f t="shared" si="14"/>
        <v>100</v>
      </c>
      <c r="X35" s="1539"/>
      <c r="Y35" s="3425"/>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23"/>
      <c r="Q36" s="1536" t="str">
        <f t="shared" si="11"/>
        <v>公共部分装修</v>
      </c>
      <c r="R36" s="714" t="s">
        <v>17</v>
      </c>
      <c r="S36" s="715">
        <f t="shared" si="12"/>
        <v>100</v>
      </c>
      <c r="T36" s="714" t="s">
        <v>17</v>
      </c>
      <c r="U36" s="715">
        <f t="shared" si="13"/>
        <v>100</v>
      </c>
      <c r="V36" s="714" t="s">
        <v>17</v>
      </c>
      <c r="W36" s="715">
        <f t="shared" si="14"/>
        <v>100</v>
      </c>
      <c r="X36" s="1539"/>
      <c r="Y36" s="3425"/>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23"/>
      <c r="Q37" s="1536" t="str">
        <f t="shared" si="11"/>
        <v>成新度</v>
      </c>
      <c r="R37" s="714" t="s">
        <v>17</v>
      </c>
      <c r="S37" s="715" t="e">
        <f t="shared" si="12"/>
        <v>#N/A</v>
      </c>
      <c r="T37" s="714" t="s">
        <v>17</v>
      </c>
      <c r="U37" s="715" t="e">
        <f t="shared" si="13"/>
        <v>#N/A</v>
      </c>
      <c r="V37" s="714" t="s">
        <v>17</v>
      </c>
      <c r="W37" s="715" t="e">
        <f t="shared" si="14"/>
        <v>#N/A</v>
      </c>
      <c r="X37" s="1539"/>
      <c r="Y37" s="3425"/>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23"/>
      <c r="Q38" s="1527"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23" t="s">
        <v>2385</v>
      </c>
      <c r="Q39" s="1536" t="str">
        <f t="shared" si="11"/>
        <v>物业管理</v>
      </c>
      <c r="R39" s="714" t="s">
        <v>17</v>
      </c>
      <c r="S39" s="715">
        <f t="shared" si="12"/>
        <v>100</v>
      </c>
      <c r="T39" s="714" t="s">
        <v>17</v>
      </c>
      <c r="U39" s="715">
        <f t="shared" si="13"/>
        <v>100</v>
      </c>
      <c r="V39" s="714" t="s">
        <v>17</v>
      </c>
      <c r="W39" s="715">
        <f t="shared" si="14"/>
        <v>100</v>
      </c>
      <c r="X39" s="1539"/>
      <c r="Y39" s="3425"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23"/>
      <c r="Q40" s="1536" t="str">
        <f t="shared" si="11"/>
        <v>市政基础设施</v>
      </c>
      <c r="R40" s="714" t="s">
        <v>17</v>
      </c>
      <c r="S40" s="715">
        <f t="shared" si="12"/>
        <v>100</v>
      </c>
      <c r="T40" s="714" t="s">
        <v>17</v>
      </c>
      <c r="U40" s="715">
        <f t="shared" si="13"/>
        <v>100</v>
      </c>
      <c r="V40" s="714" t="s">
        <v>17</v>
      </c>
      <c r="W40" s="715">
        <f t="shared" si="14"/>
        <v>100</v>
      </c>
      <c r="X40" s="1539"/>
      <c r="Y40" s="3425"/>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23"/>
      <c r="Q41" s="1536" t="str">
        <f t="shared" si="11"/>
        <v>层高</v>
      </c>
      <c r="R41" s="714" t="s">
        <v>17</v>
      </c>
      <c r="S41" s="715">
        <f t="shared" si="12"/>
        <v>100</v>
      </c>
      <c r="T41" s="714" t="s">
        <v>17</v>
      </c>
      <c r="U41" s="715">
        <f t="shared" si="13"/>
        <v>100</v>
      </c>
      <c r="V41" s="714" t="s">
        <v>17</v>
      </c>
      <c r="W41" s="715">
        <f t="shared" si="14"/>
        <v>100</v>
      </c>
      <c r="X41" s="1539"/>
      <c r="Y41" s="3425"/>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23"/>
      <c r="Q43" s="1536" t="str">
        <f t="shared" si="11"/>
        <v>内部装修</v>
      </c>
      <c r="R43" s="714" t="s">
        <v>17</v>
      </c>
      <c r="S43" s="715">
        <f t="shared" si="12"/>
        <v>100</v>
      </c>
      <c r="T43" s="714" t="s">
        <v>17</v>
      </c>
      <c r="U43" s="715">
        <f t="shared" si="13"/>
        <v>100</v>
      </c>
      <c r="V43" s="714" t="s">
        <v>17</v>
      </c>
      <c r="W43" s="715">
        <f t="shared" si="14"/>
        <v>100</v>
      </c>
      <c r="X43" s="1539"/>
      <c r="Y43" s="3425"/>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23"/>
      <c r="Q44" s="1536" t="str">
        <f t="shared" si="11"/>
        <v>内部装修维护情况</v>
      </c>
      <c r="R44" s="714" t="s">
        <v>17</v>
      </c>
      <c r="S44" s="715">
        <f t="shared" si="12"/>
        <v>100</v>
      </c>
      <c r="T44" s="714" t="s">
        <v>17</v>
      </c>
      <c r="U44" s="715">
        <f t="shared" si="13"/>
        <v>100</v>
      </c>
      <c r="V44" s="714" t="s">
        <v>17</v>
      </c>
      <c r="W44" s="715">
        <f t="shared" si="14"/>
        <v>100</v>
      </c>
      <c r="X44" s="1539"/>
      <c r="Y44" s="34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23"/>
      <c r="Q45" s="1527">
        <f t="shared" si="11"/>
        <v>111</v>
      </c>
      <c r="R45" s="710" t="s">
        <v>17</v>
      </c>
      <c r="S45" s="711">
        <f t="shared" si="12"/>
        <v>100</v>
      </c>
      <c r="T45" s="710" t="s">
        <v>17</v>
      </c>
      <c r="U45" s="711">
        <f t="shared" si="13"/>
        <v>100</v>
      </c>
      <c r="V45" s="710" t="s">
        <v>17</v>
      </c>
      <c r="W45" s="711">
        <f t="shared" si="14"/>
        <v>100</v>
      </c>
      <c r="X45" s="712"/>
      <c r="Y45" s="34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23"/>
      <c r="Q46" s="1536">
        <f t="shared" si="11"/>
        <v>111</v>
      </c>
      <c r="R46" s="714" t="s">
        <v>17</v>
      </c>
      <c r="S46" s="715">
        <f t="shared" si="12"/>
        <v>100</v>
      </c>
      <c r="T46" s="714" t="s">
        <v>17</v>
      </c>
      <c r="U46" s="715">
        <f t="shared" si="13"/>
        <v>100</v>
      </c>
      <c r="V46" s="714" t="s">
        <v>17</v>
      </c>
      <c r="W46" s="715">
        <f t="shared" si="14"/>
        <v>100</v>
      </c>
      <c r="X46" s="1539"/>
      <c r="Y46" s="34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24"/>
      <c r="Q47" s="1536">
        <f t="shared" si="11"/>
        <v>111</v>
      </c>
      <c r="R47" s="714" t="s">
        <v>17</v>
      </c>
      <c r="S47" s="715">
        <f t="shared" si="12"/>
        <v>100</v>
      </c>
      <c r="T47" s="714" t="s">
        <v>17</v>
      </c>
      <c r="U47" s="715">
        <f t="shared" si="13"/>
        <v>100</v>
      </c>
      <c r="V47" s="714" t="s">
        <v>17</v>
      </c>
      <c r="W47" s="715">
        <f t="shared" si="14"/>
        <v>100</v>
      </c>
      <c r="X47" s="1539"/>
      <c r="Y47" s="3426"/>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1"/>
      <c r="M48" s="2943"/>
      <c r="N48" s="2943"/>
      <c r="O48" s="2943"/>
      <c r="P48" s="3429" t="str">
        <f>A48</f>
        <v>成交单价（元/平方米）</v>
      </c>
      <c r="Q48" s="3418"/>
      <c r="R48" s="3419">
        <f>E48</f>
        <v>0</v>
      </c>
      <c r="S48" s="3419"/>
      <c r="T48" s="3419">
        <f>G48</f>
        <v>0</v>
      </c>
      <c r="U48" s="3419"/>
      <c r="V48" s="3419">
        <f>I48</f>
        <v>0</v>
      </c>
      <c r="W48" s="3419"/>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1"/>
      <c r="M49" s="2943"/>
      <c r="N49" s="2943"/>
      <c r="O49" s="2943"/>
      <c r="P49" s="3429"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2021年5月25日（评估专业人员实地查勘之日）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1044"/>
      <c r="M4" s="1045"/>
      <c r="N4" s="1045"/>
      <c r="O4" s="1045"/>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1044"/>
      <c r="M5" s="1045"/>
      <c r="N5" s="1045"/>
      <c r="O5" s="1045"/>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1044"/>
      <c r="M6" s="1045"/>
      <c r="N6" s="1045"/>
      <c r="O6" s="1045"/>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21"/>
      <c r="Q16" s="1536"/>
      <c r="R16" s="714"/>
      <c r="S16" s="715"/>
      <c r="T16" s="714"/>
      <c r="U16" s="715"/>
      <c r="V16" s="714"/>
      <c r="W16" s="715"/>
      <c r="X16" s="1539"/>
      <c r="Y16" s="3421"/>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21"/>
      <c r="Q18" s="1536"/>
      <c r="R18" s="714"/>
      <c r="S18" s="715"/>
      <c r="T18" s="714"/>
      <c r="U18" s="715"/>
      <c r="V18" s="714"/>
      <c r="W18" s="715"/>
      <c r="X18" s="1539"/>
      <c r="Y18" s="3421"/>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21"/>
      <c r="Q20" s="1536"/>
      <c r="R20" s="714"/>
      <c r="S20" s="715"/>
      <c r="T20" s="714"/>
      <c r="U20" s="715"/>
      <c r="V20" s="714"/>
      <c r="W20" s="715"/>
      <c r="X20" s="1539"/>
      <c r="Y20" s="3421"/>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21"/>
      <c r="Q22" s="1536"/>
      <c r="R22" s="714"/>
      <c r="S22" s="715"/>
      <c r="T22" s="714"/>
      <c r="U22" s="715"/>
      <c r="V22" s="714"/>
      <c r="W22" s="715"/>
      <c r="X22" s="1539"/>
      <c r="Y22" s="3421"/>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21"/>
      <c r="Q24" s="1536"/>
      <c r="R24" s="714"/>
      <c r="S24" s="715"/>
      <c r="T24" s="714"/>
      <c r="U24" s="715"/>
      <c r="V24" s="714"/>
      <c r="W24" s="715"/>
      <c r="X24" s="1539"/>
      <c r="Y24" s="34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6">
        <f>B25</f>
        <v>111</v>
      </c>
      <c r="R25" s="714" t="s">
        <v>17</v>
      </c>
      <c r="S25" s="715">
        <f>F25</f>
        <v>100</v>
      </c>
      <c r="T25" s="714" t="s">
        <v>17</v>
      </c>
      <c r="U25" s="715">
        <f>H25</f>
        <v>100</v>
      </c>
      <c r="V25" s="714" t="s">
        <v>17</v>
      </c>
      <c r="W25" s="715">
        <f>J25</f>
        <v>100</v>
      </c>
      <c r="X25" s="1539"/>
      <c r="Y25" s="34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6">
        <f t="shared" ref="Q26:Q40" si="11">B26</f>
        <v>111</v>
      </c>
      <c r="R26" s="714" t="s">
        <v>17</v>
      </c>
      <c r="S26" s="715">
        <f>F26</f>
        <v>100</v>
      </c>
      <c r="T26" s="714" t="s">
        <v>17</v>
      </c>
      <c r="U26" s="715">
        <f>H26</f>
        <v>100</v>
      </c>
      <c r="V26" s="714" t="s">
        <v>17</v>
      </c>
      <c r="W26" s="715">
        <f>J26</f>
        <v>100</v>
      </c>
      <c r="X26" s="1539"/>
      <c r="Y26" s="34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7">
        <f t="shared" si="11"/>
        <v>111</v>
      </c>
      <c r="R27" s="710" t="s">
        <v>17</v>
      </c>
      <c r="S27" s="711">
        <f>F27</f>
        <v>100</v>
      </c>
      <c r="T27" s="710" t="s">
        <v>17</v>
      </c>
      <c r="U27" s="711">
        <f>H27</f>
        <v>100</v>
      </c>
      <c r="V27" s="710" t="s">
        <v>17</v>
      </c>
      <c r="W27" s="711">
        <f>J27</f>
        <v>100</v>
      </c>
      <c r="X27" s="712"/>
      <c r="Y27" s="34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6">
        <f t="shared" si="11"/>
        <v>111</v>
      </c>
      <c r="R28" s="714" t="s">
        <v>17</v>
      </c>
      <c r="S28" s="715">
        <f t="shared" ref="S28:S40" si="12">F28</f>
        <v>100</v>
      </c>
      <c r="T28" s="714" t="s">
        <v>17</v>
      </c>
      <c r="U28" s="715">
        <f t="shared" ref="U28:U40" si="13">H28</f>
        <v>100</v>
      </c>
      <c r="V28" s="714" t="s">
        <v>17</v>
      </c>
      <c r="W28" s="715">
        <f t="shared" ref="W28:W40" si="14">J28</f>
        <v>100</v>
      </c>
      <c r="X28" s="1539"/>
      <c r="Y28" s="3421"/>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2385</v>
      </c>
      <c r="Q29" s="1536" t="str">
        <f t="shared" si="11"/>
        <v>建筑类型</v>
      </c>
      <c r="R29" s="714" t="s">
        <v>17</v>
      </c>
      <c r="S29" s="715">
        <f t="shared" si="12"/>
        <v>100</v>
      </c>
      <c r="T29" s="714" t="s">
        <v>17</v>
      </c>
      <c r="U29" s="715">
        <f t="shared" si="13"/>
        <v>100</v>
      </c>
      <c r="V29" s="714" t="s">
        <v>17</v>
      </c>
      <c r="W29" s="715">
        <f t="shared" si="14"/>
        <v>100</v>
      </c>
      <c r="X29" s="1539"/>
      <c r="Y29" s="342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6" t="str">
        <f t="shared" si="11"/>
        <v>建筑结构</v>
      </c>
      <c r="R31" s="714" t="s">
        <v>17</v>
      </c>
      <c r="S31" s="715">
        <f t="shared" si="12"/>
        <v>100</v>
      </c>
      <c r="T31" s="714" t="s">
        <v>17</v>
      </c>
      <c r="U31" s="715">
        <f t="shared" si="13"/>
        <v>100</v>
      </c>
      <c r="V31" s="714" t="s">
        <v>17</v>
      </c>
      <c r="W31" s="715">
        <f t="shared" si="14"/>
        <v>100</v>
      </c>
      <c r="X31" s="1539"/>
      <c r="Y31" s="342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6" t="str">
        <f t="shared" si="11"/>
        <v>公共部分装修</v>
      </c>
      <c r="R32" s="714" t="s">
        <v>17</v>
      </c>
      <c r="S32" s="715">
        <f t="shared" si="12"/>
        <v>100</v>
      </c>
      <c r="T32" s="714" t="s">
        <v>17</v>
      </c>
      <c r="U32" s="715">
        <f t="shared" si="13"/>
        <v>100</v>
      </c>
      <c r="V32" s="714" t="s">
        <v>17</v>
      </c>
      <c r="W32" s="715">
        <f t="shared" si="14"/>
        <v>100</v>
      </c>
      <c r="X32" s="1539"/>
      <c r="Y32" s="342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6" t="str">
        <f t="shared" si="11"/>
        <v>成新度</v>
      </c>
      <c r="R33" s="714" t="s">
        <v>17</v>
      </c>
      <c r="S33" s="715" t="e">
        <f t="shared" si="12"/>
        <v>#N/A</v>
      </c>
      <c r="T33" s="714" t="s">
        <v>17</v>
      </c>
      <c r="U33" s="715" t="e">
        <f t="shared" si="13"/>
        <v>#N/A</v>
      </c>
      <c r="V33" s="714" t="s">
        <v>17</v>
      </c>
      <c r="W33" s="715" t="e">
        <f t="shared" si="14"/>
        <v>#N/A</v>
      </c>
      <c r="X33" s="1539"/>
      <c r="Y33" s="342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7"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2385</v>
      </c>
      <c r="Q35" s="1536" t="str">
        <f t="shared" si="11"/>
        <v>市政基础设施</v>
      </c>
      <c r="R35" s="714" t="s">
        <v>17</v>
      </c>
      <c r="S35" s="715">
        <f t="shared" si="12"/>
        <v>100</v>
      </c>
      <c r="T35" s="714" t="s">
        <v>17</v>
      </c>
      <c r="U35" s="715">
        <f t="shared" si="13"/>
        <v>100</v>
      </c>
      <c r="V35" s="714" t="s">
        <v>17</v>
      </c>
      <c r="W35" s="715">
        <f t="shared" si="14"/>
        <v>100</v>
      </c>
      <c r="X35" s="1539"/>
      <c r="Y35" s="342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6" t="str">
        <f t="shared" si="11"/>
        <v>内部装修</v>
      </c>
      <c r="R36" s="714" t="s">
        <v>17</v>
      </c>
      <c r="S36" s="715">
        <f t="shared" si="12"/>
        <v>100</v>
      </c>
      <c r="T36" s="714" t="s">
        <v>17</v>
      </c>
      <c r="U36" s="715">
        <f t="shared" si="13"/>
        <v>100</v>
      </c>
      <c r="V36" s="714" t="s">
        <v>17</v>
      </c>
      <c r="W36" s="715">
        <f t="shared" si="14"/>
        <v>100</v>
      </c>
      <c r="X36" s="1539"/>
      <c r="Y36" s="342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6" t="str">
        <f t="shared" si="11"/>
        <v>内部装修状况</v>
      </c>
      <c r="R37" s="714" t="s">
        <v>17</v>
      </c>
      <c r="S37" s="715">
        <f t="shared" si="12"/>
        <v>100</v>
      </c>
      <c r="T37" s="714" t="s">
        <v>17</v>
      </c>
      <c r="U37" s="715">
        <f t="shared" si="13"/>
        <v>100</v>
      </c>
      <c r="V37" s="714" t="s">
        <v>17</v>
      </c>
      <c r="W37" s="715">
        <f t="shared" si="14"/>
        <v>100</v>
      </c>
      <c r="X37" s="1539"/>
      <c r="Y37" s="34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6">
        <f t="shared" si="11"/>
        <v>111</v>
      </c>
      <c r="R39" s="714" t="s">
        <v>17</v>
      </c>
      <c r="S39" s="715">
        <f t="shared" si="12"/>
        <v>100</v>
      </c>
      <c r="T39" s="714" t="s">
        <v>17</v>
      </c>
      <c r="U39" s="715">
        <f t="shared" si="13"/>
        <v>100</v>
      </c>
      <c r="V39" s="714" t="s">
        <v>17</v>
      </c>
      <c r="W39" s="715">
        <f t="shared" si="14"/>
        <v>100</v>
      </c>
      <c r="X39" s="1539"/>
      <c r="Y39" s="34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6">
        <f t="shared" si="11"/>
        <v>111</v>
      </c>
      <c r="R40" s="714" t="s">
        <v>17</v>
      </c>
      <c r="S40" s="715">
        <f t="shared" si="12"/>
        <v>100</v>
      </c>
      <c r="T40" s="714" t="s">
        <v>17</v>
      </c>
      <c r="U40" s="715">
        <f t="shared" si="13"/>
        <v>100</v>
      </c>
      <c r="V40" s="714" t="s">
        <v>17</v>
      </c>
      <c r="W40" s="715">
        <f t="shared" si="14"/>
        <v>100</v>
      </c>
      <c r="X40" s="1539"/>
      <c r="Y40" s="342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18" t="str">
        <f>A41</f>
        <v>成交单价（元/平方米）</v>
      </c>
      <c r="Q41" s="3418"/>
      <c r="R41" s="3419">
        <f>E41</f>
        <v>0</v>
      </c>
      <c r="S41" s="3419"/>
      <c r="T41" s="3419">
        <f>G41</f>
        <v>0</v>
      </c>
      <c r="U41" s="3419"/>
      <c r="V41" s="3419">
        <f>I41</f>
        <v>0</v>
      </c>
      <c r="W41" s="3419"/>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18" t="s">
        <v>2375</v>
      </c>
      <c r="Q9" s="1527"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18"/>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61" t="s">
        <v>2379</v>
      </c>
      <c r="B14" s="58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21"/>
      <c r="Q15" s="1536"/>
      <c r="R15" s="714"/>
      <c r="S15" s="715"/>
      <c r="T15" s="714"/>
      <c r="U15" s="715"/>
      <c r="V15" s="714"/>
      <c r="W15" s="715"/>
      <c r="X15" s="1539"/>
      <c r="Y15" s="3421"/>
      <c r="Z15" s="1540"/>
      <c r="AA15" s="1537">
        <v>1</v>
      </c>
      <c r="AB15" s="1537">
        <v>1</v>
      </c>
      <c r="AC15" s="1537">
        <v>1</v>
      </c>
    </row>
    <row r="16" spans="1:29" ht="327.75">
      <c r="A16" s="364"/>
      <c r="B16" s="587"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21"/>
      <c r="Q17" s="1536"/>
      <c r="R17" s="714"/>
      <c r="S17" s="715"/>
      <c r="T17" s="714"/>
      <c r="U17" s="715"/>
      <c r="V17" s="714"/>
      <c r="W17" s="715"/>
      <c r="X17" s="1539"/>
      <c r="Y17" s="3421"/>
      <c r="Z17" s="1540"/>
      <c r="AA17" s="1537">
        <v>1</v>
      </c>
      <c r="AB17" s="1537">
        <v>1</v>
      </c>
      <c r="AC17" s="1537">
        <v>1</v>
      </c>
    </row>
    <row r="18" spans="1:29" ht="42.75">
      <c r="A18" s="364"/>
      <c r="B18" s="589" t="s">
        <v>2509</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21"/>
      <c r="Q19" s="1536"/>
      <c r="R19" s="714"/>
      <c r="S19" s="715"/>
      <c r="T19" s="714"/>
      <c r="U19" s="715"/>
      <c r="V19" s="714"/>
      <c r="W19" s="715"/>
      <c r="X19" s="1539"/>
      <c r="Y19" s="3421"/>
      <c r="Z19" s="1540"/>
      <c r="AA19" s="1537">
        <v>1</v>
      </c>
      <c r="AB19" s="1537">
        <v>1</v>
      </c>
      <c r="AC19" s="1537">
        <v>1</v>
      </c>
    </row>
    <row r="20" spans="1:29" ht="128.25">
      <c r="A20" s="364"/>
      <c r="B20" s="587"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21"/>
      <c r="Q21" s="1536"/>
      <c r="R21" s="714"/>
      <c r="S21" s="715"/>
      <c r="T21" s="714"/>
      <c r="U21" s="715"/>
      <c r="V21" s="714"/>
      <c r="W21" s="715"/>
      <c r="X21" s="1539"/>
      <c r="Y21" s="342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21"/>
      <c r="Q24" s="1536">
        <f t="shared" ref="Q24:Q36"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2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25"/>
      <c r="Q28" s="1536" t="str">
        <f t="shared" si="11"/>
        <v>公共部分装修</v>
      </c>
      <c r="R28" s="714" t="s">
        <v>17</v>
      </c>
      <c r="S28" s="715">
        <f t="shared" si="12"/>
        <v>100</v>
      </c>
      <c r="T28" s="714" t="s">
        <v>17</v>
      </c>
      <c r="U28" s="715">
        <f t="shared" si="13"/>
        <v>100</v>
      </c>
      <c r="V28" s="714" t="s">
        <v>17</v>
      </c>
      <c r="W28" s="715">
        <f t="shared" si="14"/>
        <v>100</v>
      </c>
      <c r="X28" s="1539"/>
      <c r="Y28" s="342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25"/>
      <c r="Q29" s="1536" t="str">
        <f t="shared" si="11"/>
        <v>成新率</v>
      </c>
      <c r="R29" s="714" t="s">
        <v>17</v>
      </c>
      <c r="S29" s="715" t="e">
        <f t="shared" si="12"/>
        <v>#N/A</v>
      </c>
      <c r="T29" s="714" t="s">
        <v>17</v>
      </c>
      <c r="U29" s="715" t="e">
        <f t="shared" si="13"/>
        <v>#N/A</v>
      </c>
      <c r="V29" s="714" t="s">
        <v>17</v>
      </c>
      <c r="W29" s="715" t="e">
        <f t="shared" si="14"/>
        <v>#N/A</v>
      </c>
      <c r="X29" s="1539"/>
      <c r="Y29" s="342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25"/>
      <c r="Q30" s="1536" t="str">
        <f t="shared" si="11"/>
        <v>物业等级</v>
      </c>
      <c r="R30" s="714" t="s">
        <v>17</v>
      </c>
      <c r="S30" s="715">
        <f t="shared" si="12"/>
        <v>100</v>
      </c>
      <c r="T30" s="714" t="s">
        <v>17</v>
      </c>
      <c r="U30" s="715">
        <f t="shared" si="13"/>
        <v>100</v>
      </c>
      <c r="V30" s="714" t="s">
        <v>17</v>
      </c>
      <c r="W30" s="715">
        <f t="shared" si="14"/>
        <v>100</v>
      </c>
      <c r="X30" s="1539"/>
      <c r="Y30" s="342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25"/>
      <c r="Q31" s="1527"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25" t="s">
        <v>2385</v>
      </c>
      <c r="Q32" s="1536" t="str">
        <f t="shared" si="11"/>
        <v>车位类型</v>
      </c>
      <c r="R32" s="714" t="s">
        <v>17</v>
      </c>
      <c r="S32" s="715">
        <f t="shared" si="12"/>
        <v>100</v>
      </c>
      <c r="T32" s="714" t="s">
        <v>17</v>
      </c>
      <c r="U32" s="715">
        <f t="shared" si="13"/>
        <v>100</v>
      </c>
      <c r="V32" s="714" t="s">
        <v>17</v>
      </c>
      <c r="W32" s="715">
        <f t="shared" si="14"/>
        <v>100</v>
      </c>
      <c r="X32" s="1539"/>
      <c r="Y32" s="342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25"/>
      <c r="Q33" s="1536" t="str">
        <f t="shared" si="11"/>
        <v>是否直接入户</v>
      </c>
      <c r="R33" s="714" t="s">
        <v>17</v>
      </c>
      <c r="S33" s="715">
        <f t="shared" si="12"/>
        <v>100</v>
      </c>
      <c r="T33" s="714" t="s">
        <v>17</v>
      </c>
      <c r="U33" s="715">
        <f t="shared" si="13"/>
        <v>100</v>
      </c>
      <c r="V33" s="714" t="s">
        <v>17</v>
      </c>
      <c r="W33" s="715">
        <f t="shared" si="14"/>
        <v>100</v>
      </c>
      <c r="X33" s="1539"/>
      <c r="Y33" s="34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25"/>
      <c r="Q36" s="1536">
        <f t="shared" si="11"/>
        <v>111</v>
      </c>
      <c r="R36" s="714" t="s">
        <v>17</v>
      </c>
      <c r="S36" s="715">
        <f t="shared" si="12"/>
        <v>100</v>
      </c>
      <c r="T36" s="714" t="s">
        <v>17</v>
      </c>
      <c r="U36" s="715">
        <f t="shared" si="13"/>
        <v>100</v>
      </c>
      <c r="V36" s="714" t="s">
        <v>17</v>
      </c>
      <c r="W36" s="715">
        <f t="shared" si="14"/>
        <v>100</v>
      </c>
      <c r="X36" s="1539"/>
      <c r="Y36" s="3425"/>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418" t="str">
        <f>A37</f>
        <v>成交单价</v>
      </c>
      <c r="Q37" s="3418"/>
      <c r="R37" s="3419">
        <f>E37</f>
        <v>0</v>
      </c>
      <c r="S37" s="3419"/>
      <c r="T37" s="3419">
        <f>G37</f>
        <v>0</v>
      </c>
      <c r="U37" s="3419"/>
      <c r="V37" s="3419">
        <f>I37</f>
        <v>0</v>
      </c>
      <c r="W37" s="3419"/>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415" t="str">
        <f>A39</f>
        <v>估价对象XX用房的比较价值（楼面单价，元/平方米）</v>
      </c>
      <c r="Q39" s="3416"/>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18" t="s">
        <v>2375</v>
      </c>
      <c r="Q9" s="1527"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18"/>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99" t="s">
        <v>2379</v>
      </c>
      <c r="B14" s="6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21"/>
      <c r="Q15" s="1536"/>
      <c r="R15" s="714"/>
      <c r="S15" s="715"/>
      <c r="T15" s="714"/>
      <c r="U15" s="715"/>
      <c r="V15" s="714"/>
      <c r="W15" s="715"/>
      <c r="X15" s="1539"/>
      <c r="Y15" s="3421"/>
      <c r="Z15" s="1540"/>
      <c r="AA15" s="1537">
        <v>1</v>
      </c>
      <c r="AB15" s="1537">
        <v>1</v>
      </c>
      <c r="AC15" s="1537">
        <v>1</v>
      </c>
    </row>
    <row r="16" spans="1:29" ht="327.75">
      <c r="A16" s="387"/>
      <c r="B16" s="410"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21"/>
      <c r="Q17" s="1536"/>
      <c r="R17" s="714"/>
      <c r="S17" s="715"/>
      <c r="T17" s="714"/>
      <c r="U17" s="715"/>
      <c r="V17" s="714"/>
      <c r="W17" s="715"/>
      <c r="X17" s="1539"/>
      <c r="Y17" s="3421"/>
      <c r="Z17" s="1540"/>
      <c r="AA17" s="1537">
        <v>1</v>
      </c>
      <c r="AB17" s="1537">
        <v>1</v>
      </c>
      <c r="AC17" s="1537">
        <v>1</v>
      </c>
    </row>
    <row r="18" spans="1:29" ht="42.75">
      <c r="A18" s="387"/>
      <c r="B18" s="1293" t="s">
        <v>2509</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21"/>
      <c r="Q19" s="1536"/>
      <c r="R19" s="714"/>
      <c r="S19" s="715"/>
      <c r="T19" s="714"/>
      <c r="U19" s="715"/>
      <c r="V19" s="714"/>
      <c r="W19" s="715"/>
      <c r="X19" s="1539"/>
      <c r="Y19" s="3421"/>
      <c r="Z19" s="1540"/>
      <c r="AA19" s="1537">
        <v>1</v>
      </c>
      <c r="AB19" s="1537">
        <v>1</v>
      </c>
      <c r="AC19" s="1537">
        <v>1</v>
      </c>
    </row>
    <row r="20" spans="1:29" ht="128.25">
      <c r="A20" s="387"/>
      <c r="B20" s="410"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21"/>
      <c r="Q21" s="1536"/>
      <c r="R21" s="714"/>
      <c r="S21" s="715"/>
      <c r="T21" s="714"/>
      <c r="U21" s="715"/>
      <c r="V21" s="714"/>
      <c r="W21" s="715"/>
      <c r="X21" s="1539"/>
      <c r="Y21" s="342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21"/>
      <c r="Q24" s="1536">
        <f t="shared" ref="Q24:Q34"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2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25"/>
      <c r="Q28" s="1536" t="str">
        <f t="shared" si="11"/>
        <v>物业等级</v>
      </c>
      <c r="R28" s="714" t="s">
        <v>17</v>
      </c>
      <c r="S28" s="715">
        <f t="shared" si="12"/>
        <v>100</v>
      </c>
      <c r="T28" s="714" t="s">
        <v>17</v>
      </c>
      <c r="U28" s="715">
        <f t="shared" si="13"/>
        <v>100</v>
      </c>
      <c r="V28" s="714" t="s">
        <v>17</v>
      </c>
      <c r="W28" s="715">
        <f t="shared" si="14"/>
        <v>100</v>
      </c>
      <c r="X28" s="1539"/>
      <c r="Y28" s="342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25"/>
      <c r="Q29" s="1536" t="str">
        <f t="shared" si="11"/>
        <v>有无电梯</v>
      </c>
      <c r="R29" s="714" t="s">
        <v>17</v>
      </c>
      <c r="S29" s="715">
        <f t="shared" si="12"/>
        <v>100</v>
      </c>
      <c r="T29" s="714" t="s">
        <v>17</v>
      </c>
      <c r="U29" s="715">
        <f t="shared" si="13"/>
        <v>100</v>
      </c>
      <c r="V29" s="714" t="s">
        <v>17</v>
      </c>
      <c r="W29" s="715">
        <f t="shared" si="14"/>
        <v>100</v>
      </c>
      <c r="X29" s="1539"/>
      <c r="Y29" s="342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25"/>
      <c r="Q30" s="1536" t="str">
        <f t="shared" si="11"/>
        <v>建筑面积</v>
      </c>
      <c r="R30" s="714" t="s">
        <v>17</v>
      </c>
      <c r="S30" s="715" t="e">
        <f t="shared" si="12"/>
        <v>#N/A</v>
      </c>
      <c r="T30" s="714" t="s">
        <v>17</v>
      </c>
      <c r="U30" s="715" t="e">
        <f t="shared" si="13"/>
        <v>#N/A</v>
      </c>
      <c r="V30" s="714" t="s">
        <v>17</v>
      </c>
      <c r="W30" s="715" t="e">
        <f t="shared" si="14"/>
        <v>#N/A</v>
      </c>
      <c r="X30" s="1539"/>
      <c r="Y30" s="342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25"/>
      <c r="Q31" s="1527"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25" t="s">
        <v>2385</v>
      </c>
      <c r="Q32" s="1536">
        <f t="shared" si="11"/>
        <v>111</v>
      </c>
      <c r="R32" s="714" t="s">
        <v>17</v>
      </c>
      <c r="S32" s="715">
        <f t="shared" si="12"/>
        <v>100</v>
      </c>
      <c r="T32" s="714" t="s">
        <v>17</v>
      </c>
      <c r="U32" s="715">
        <f t="shared" si="13"/>
        <v>100</v>
      </c>
      <c r="V32" s="714" t="s">
        <v>17</v>
      </c>
      <c r="W32" s="715">
        <f t="shared" si="14"/>
        <v>100</v>
      </c>
      <c r="X32" s="1539"/>
      <c r="Y32" s="3425"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25"/>
      <c r="Q33" s="1536">
        <f t="shared" si="11"/>
        <v>111</v>
      </c>
      <c r="R33" s="714" t="s">
        <v>17</v>
      </c>
      <c r="S33" s="715">
        <f t="shared" si="12"/>
        <v>100</v>
      </c>
      <c r="T33" s="714" t="s">
        <v>17</v>
      </c>
      <c r="U33" s="715">
        <f t="shared" si="13"/>
        <v>100</v>
      </c>
      <c r="V33" s="714" t="s">
        <v>17</v>
      </c>
      <c r="W33" s="715">
        <f t="shared" si="14"/>
        <v>100</v>
      </c>
      <c r="X33" s="1539"/>
      <c r="Y33" s="34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418" t="str">
        <f>A35</f>
        <v>成交单价（元/平方米）</v>
      </c>
      <c r="Q35" s="3418"/>
      <c r="R35" s="3419">
        <f>E35</f>
        <v>0</v>
      </c>
      <c r="S35" s="3419"/>
      <c r="T35" s="3419">
        <f>G35</f>
        <v>0</v>
      </c>
      <c r="U35" s="3419"/>
      <c r="V35" s="3419">
        <f>I35</f>
        <v>0</v>
      </c>
      <c r="W35" s="3419"/>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415" t="str">
        <f>A37</f>
        <v>估价对象XX用房的比较价值（楼面单价，元/平方米）</v>
      </c>
      <c r="Q37" s="3416"/>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30"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30"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30" s="113" customFormat="1" ht="15.75" thickBot="1">
      <c r="A7" s="368" t="s">
        <v>2368</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18"/>
      <c r="Q12" s="1527"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99.75">
      <c r="A15" s="399" t="s">
        <v>2379</v>
      </c>
      <c r="B15" s="65" t="s">
        <v>1942</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20" t="s">
        <v>2380</v>
      </c>
      <c r="Q15" s="1536" t="str">
        <f t="shared" si="6"/>
        <v>居住社区成熟度</v>
      </c>
      <c r="R15" s="714" t="s">
        <v>17</v>
      </c>
      <c r="S15" s="715">
        <f t="shared" si="0"/>
        <v>100</v>
      </c>
      <c r="T15" s="714" t="s">
        <v>17</v>
      </c>
      <c r="U15" s="715">
        <f t="shared" si="1"/>
        <v>100</v>
      </c>
      <c r="V15" s="714" t="s">
        <v>17</v>
      </c>
      <c r="W15" s="715">
        <f t="shared" si="2"/>
        <v>100</v>
      </c>
      <c r="X15" s="1539"/>
      <c r="Y15" s="3420"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99.75">
      <c r="A17" s="387"/>
      <c r="B17" s="410" t="s">
        <v>2473</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21"/>
      <c r="Q17" s="1536" t="str">
        <f>B17</f>
        <v>商业繁华度</v>
      </c>
      <c r="R17" s="714" t="s">
        <v>17</v>
      </c>
      <c r="S17" s="715">
        <f>F17</f>
        <v>100</v>
      </c>
      <c r="T17" s="714" t="s">
        <v>17</v>
      </c>
      <c r="U17" s="715">
        <f>H17</f>
        <v>100</v>
      </c>
      <c r="V17" s="714" t="s">
        <v>17</v>
      </c>
      <c r="W17" s="715">
        <f>J17</f>
        <v>100</v>
      </c>
      <c r="X17" s="1539"/>
      <c r="Y17" s="34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21"/>
      <c r="Q19" s="1536" t="str">
        <f>B19</f>
        <v>办公集聚程度</v>
      </c>
      <c r="R19" s="714" t="s">
        <v>17</v>
      </c>
      <c r="S19" s="715">
        <f>F19</f>
        <v>100</v>
      </c>
      <c r="T19" s="714" t="s">
        <v>17</v>
      </c>
      <c r="U19" s="715">
        <f>H19</f>
        <v>100</v>
      </c>
      <c r="V19" s="714" t="s">
        <v>17</v>
      </c>
      <c r="W19" s="715">
        <f>J19</f>
        <v>100</v>
      </c>
      <c r="X19" s="1539"/>
      <c r="Y19" s="34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21"/>
      <c r="Q20" s="1536"/>
      <c r="R20" s="714"/>
      <c r="S20" s="715"/>
      <c r="T20" s="714"/>
      <c r="U20" s="715"/>
      <c r="V20" s="714"/>
      <c r="W20" s="715"/>
      <c r="X20" s="1539"/>
      <c r="Y20" s="3421"/>
      <c r="Z20" s="1540"/>
      <c r="AA20" s="1537">
        <v>1</v>
      </c>
      <c r="AB20" s="1537">
        <v>1</v>
      </c>
      <c r="AC20" s="1537">
        <v>1</v>
      </c>
    </row>
    <row r="21" spans="1:29" ht="142.5">
      <c r="A21" s="387"/>
      <c r="B21" s="410" t="s">
        <v>2529</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21"/>
      <c r="Q21" s="1536" t="str">
        <f>B21</f>
        <v>交通便捷度</v>
      </c>
      <c r="R21" s="714" t="s">
        <v>17</v>
      </c>
      <c r="S21" s="715">
        <f>F21</f>
        <v>100</v>
      </c>
      <c r="T21" s="714" t="s">
        <v>17</v>
      </c>
      <c r="U21" s="715">
        <f>H21</f>
        <v>100</v>
      </c>
      <c r="V21" s="714" t="s">
        <v>17</v>
      </c>
      <c r="W21" s="715">
        <f>J21</f>
        <v>100</v>
      </c>
      <c r="X21" s="1539"/>
      <c r="Y21" s="34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21"/>
      <c r="Q23" s="1536" t="str">
        <f t="shared" ref="Q23:Q37" si="8">B23</f>
        <v>区域土地利用方向</v>
      </c>
      <c r="R23" s="714" t="s">
        <v>17</v>
      </c>
      <c r="S23" s="715">
        <f>F23</f>
        <v>100</v>
      </c>
      <c r="T23" s="714" t="s">
        <v>17</v>
      </c>
      <c r="U23" s="715">
        <f>H23</f>
        <v>100</v>
      </c>
      <c r="V23" s="714" t="s">
        <v>17</v>
      </c>
      <c r="W23" s="715">
        <f>J23</f>
        <v>100</v>
      </c>
      <c r="X23" s="1539"/>
      <c r="Y23" s="34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21"/>
      <c r="Q24" s="1536"/>
      <c r="R24" s="714"/>
      <c r="S24" s="715"/>
      <c r="T24" s="714"/>
      <c r="U24" s="715"/>
      <c r="V24" s="714"/>
      <c r="W24" s="715"/>
      <c r="X24" s="1539"/>
      <c r="Y24" s="3421"/>
      <c r="Z24" s="1540"/>
      <c r="AA24" s="1537"/>
      <c r="AB24" s="1537"/>
      <c r="AC24" s="1537"/>
    </row>
    <row r="25" spans="1:29" ht="128.25">
      <c r="A25" s="364"/>
      <c r="B25" s="1293" t="s">
        <v>2569</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21"/>
      <c r="Q25" s="1536" t="str">
        <f t="shared" si="8"/>
        <v>自然及人文环境状况</v>
      </c>
      <c r="R25" s="714" t="s">
        <v>17</v>
      </c>
      <c r="S25" s="715">
        <f>F25</f>
        <v>100</v>
      </c>
      <c r="T25" s="714" t="s">
        <v>17</v>
      </c>
      <c r="U25" s="715">
        <f>H25</f>
        <v>100</v>
      </c>
      <c r="V25" s="714" t="s">
        <v>17</v>
      </c>
      <c r="W25" s="715">
        <f>J25</f>
        <v>100</v>
      </c>
      <c r="X25" s="1539"/>
      <c r="Y25" s="34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21"/>
      <c r="Q26" s="1536"/>
      <c r="R26" s="714"/>
      <c r="S26" s="715"/>
      <c r="T26" s="714"/>
      <c r="U26" s="715"/>
      <c r="V26" s="714"/>
      <c r="W26" s="715"/>
      <c r="X26" s="1539"/>
      <c r="Y26" s="3421"/>
      <c r="Z26" s="1540"/>
      <c r="AA26" s="1537">
        <v>1</v>
      </c>
      <c r="AB26" s="1537">
        <v>1</v>
      </c>
      <c r="AC26" s="1537">
        <v>1</v>
      </c>
    </row>
    <row r="27" spans="1:29" s="113" customFormat="1" ht="327.75">
      <c r="A27" s="605"/>
      <c r="B27" s="1293" t="s">
        <v>2474</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21"/>
      <c r="Q27" s="1527" t="str">
        <f t="shared" si="8"/>
        <v>公共配套设施</v>
      </c>
      <c r="R27" s="710" t="s">
        <v>17</v>
      </c>
      <c r="S27" s="711">
        <f>F27</f>
        <v>100</v>
      </c>
      <c r="T27" s="710" t="s">
        <v>17</v>
      </c>
      <c r="U27" s="711">
        <f>H27</f>
        <v>100</v>
      </c>
      <c r="V27" s="710" t="s">
        <v>17</v>
      </c>
      <c r="W27" s="711">
        <f>J27</f>
        <v>100</v>
      </c>
      <c r="X27" s="712"/>
      <c r="Y27" s="34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21"/>
      <c r="Q28" s="1527"/>
      <c r="R28" s="710"/>
      <c r="S28" s="711"/>
      <c r="T28" s="710"/>
      <c r="U28" s="711"/>
      <c r="V28" s="710"/>
      <c r="W28" s="711"/>
      <c r="X28" s="712"/>
      <c r="Y28" s="3421"/>
      <c r="Z28" s="55"/>
      <c r="AA28" s="1537">
        <v>1</v>
      </c>
      <c r="AB28" s="1537">
        <v>1</v>
      </c>
      <c r="AC28" s="1537">
        <v>1</v>
      </c>
    </row>
    <row r="29" spans="1:29" s="113" customFormat="1" ht="42.75">
      <c r="A29" s="605"/>
      <c r="B29" s="1293" t="s">
        <v>2475</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21"/>
      <c r="Q29" s="1527"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21"/>
      <c r="Q30" s="1527"/>
      <c r="R30" s="710"/>
      <c r="S30" s="711"/>
      <c r="T30" s="710"/>
      <c r="U30" s="711"/>
      <c r="V30" s="710"/>
      <c r="W30" s="711"/>
      <c r="X30" s="712"/>
      <c r="Y30" s="342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2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21"/>
      <c r="Q32" s="1536" t="str">
        <f t="shared" si="8"/>
        <v>毗邻道路的类型与等级</v>
      </c>
      <c r="R32" s="714" t="s">
        <v>17</v>
      </c>
      <c r="S32" s="715">
        <f t="shared" si="10"/>
        <v>100</v>
      </c>
      <c r="T32" s="714" t="s">
        <v>17</v>
      </c>
      <c r="U32" s="715">
        <f t="shared" si="11"/>
        <v>100</v>
      </c>
      <c r="V32" s="714" t="s">
        <v>17</v>
      </c>
      <c r="W32" s="715">
        <f t="shared" si="12"/>
        <v>100</v>
      </c>
      <c r="X32" s="1539"/>
      <c r="Y32" s="34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21"/>
      <c r="Q33" s="1536"/>
      <c r="R33" s="714"/>
      <c r="S33" s="715"/>
      <c r="T33" s="714"/>
      <c r="U33" s="715"/>
      <c r="V33" s="714"/>
      <c r="W33" s="715"/>
      <c r="X33" s="1539"/>
      <c r="Y33" s="342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21"/>
      <c r="Q34" s="1536" t="str">
        <f t="shared" si="8"/>
        <v>土地级别</v>
      </c>
      <c r="R34" s="714" t="s">
        <v>17</v>
      </c>
      <c r="S34" s="715">
        <f t="shared" si="10"/>
        <v>100</v>
      </c>
      <c r="T34" s="714" t="s">
        <v>17</v>
      </c>
      <c r="U34" s="715">
        <f t="shared" si="11"/>
        <v>100</v>
      </c>
      <c r="V34" s="714" t="s">
        <v>17</v>
      </c>
      <c r="W34" s="715">
        <f t="shared" si="12"/>
        <v>100</v>
      </c>
      <c r="X34" s="1539"/>
      <c r="Y34" s="34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21"/>
      <c r="Q35" s="1536">
        <f t="shared" si="8"/>
        <v>111</v>
      </c>
      <c r="R35" s="714" t="s">
        <v>17</v>
      </c>
      <c r="S35" s="715">
        <f t="shared" si="10"/>
        <v>100</v>
      </c>
      <c r="T35" s="714" t="s">
        <v>17</v>
      </c>
      <c r="U35" s="715">
        <f t="shared" si="11"/>
        <v>100</v>
      </c>
      <c r="V35" s="714" t="s">
        <v>17</v>
      </c>
      <c r="W35" s="715">
        <f t="shared" si="12"/>
        <v>100</v>
      </c>
      <c r="X35" s="1539"/>
      <c r="Y35" s="34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2385</v>
      </c>
      <c r="Q36" s="1536">
        <f t="shared" si="8"/>
        <v>111</v>
      </c>
      <c r="R36" s="714" t="s">
        <v>17</v>
      </c>
      <c r="S36" s="715">
        <f t="shared" si="10"/>
        <v>100</v>
      </c>
      <c r="T36" s="714" t="s">
        <v>17</v>
      </c>
      <c r="U36" s="715">
        <f t="shared" si="11"/>
        <v>100</v>
      </c>
      <c r="V36" s="714" t="s">
        <v>17</v>
      </c>
      <c r="W36" s="715">
        <f t="shared" si="12"/>
        <v>100</v>
      </c>
      <c r="X36" s="1539"/>
      <c r="Y36" s="342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25"/>
      <c r="Q37" s="1536">
        <f t="shared" si="8"/>
        <v>111</v>
      </c>
      <c r="R37" s="717" t="s">
        <v>17</v>
      </c>
      <c r="S37" s="718">
        <f t="shared" si="10"/>
        <v>100</v>
      </c>
      <c r="T37" s="717" t="s">
        <v>17</v>
      </c>
      <c r="U37" s="718">
        <f t="shared" si="11"/>
        <v>100</v>
      </c>
      <c r="V37" s="717" t="s">
        <v>17</v>
      </c>
      <c r="W37" s="718">
        <f t="shared" si="12"/>
        <v>100</v>
      </c>
      <c r="X37" s="719"/>
      <c r="Y37" s="342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25"/>
      <c r="Q38" s="1536" t="str">
        <f>B38</f>
        <v>宗地面积</v>
      </c>
      <c r="R38" s="714" t="s">
        <v>17</v>
      </c>
      <c r="S38" s="715" t="e">
        <f t="shared" si="10"/>
        <v>#N/A</v>
      </c>
      <c r="T38" s="714" t="s">
        <v>17</v>
      </c>
      <c r="U38" s="715" t="e">
        <f t="shared" si="11"/>
        <v>#N/A</v>
      </c>
      <c r="V38" s="714" t="s">
        <v>17</v>
      </c>
      <c r="W38" s="715" t="e">
        <f t="shared" si="12"/>
        <v>#N/A</v>
      </c>
      <c r="X38" s="1539"/>
      <c r="Y38" s="3425"/>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25"/>
      <c r="Q39" s="1536" t="str">
        <f t="shared" ref="Q39:Q45" si="14">B39</f>
        <v>宗地形状</v>
      </c>
      <c r="R39" s="714" t="s">
        <v>17</v>
      </c>
      <c r="S39" s="715">
        <f t="shared" si="10"/>
        <v>100</v>
      </c>
      <c r="T39" s="714" t="s">
        <v>17</v>
      </c>
      <c r="U39" s="715">
        <f t="shared" si="11"/>
        <v>100</v>
      </c>
      <c r="V39" s="714" t="s">
        <v>17</v>
      </c>
      <c r="W39" s="715">
        <f t="shared" si="12"/>
        <v>100</v>
      </c>
      <c r="X39" s="1539"/>
      <c r="Y39" s="3425"/>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25"/>
      <c r="Q40" s="1536" t="str">
        <f t="shared" si="14"/>
        <v>临街宽度及深度</v>
      </c>
      <c r="R40" s="714" t="s">
        <v>17</v>
      </c>
      <c r="S40" s="715">
        <f t="shared" si="10"/>
        <v>100</v>
      </c>
      <c r="T40" s="714" t="s">
        <v>17</v>
      </c>
      <c r="U40" s="715">
        <f t="shared" si="11"/>
        <v>100</v>
      </c>
      <c r="V40" s="714" t="s">
        <v>17</v>
      </c>
      <c r="W40" s="715">
        <f t="shared" si="12"/>
        <v>100</v>
      </c>
      <c r="X40" s="1539"/>
      <c r="Y40" s="3425"/>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25"/>
      <c r="Q41" s="1536"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25" t="s">
        <v>2385</v>
      </c>
      <c r="Q42" s="1536" t="str">
        <f t="shared" si="14"/>
        <v>工程地质条件</v>
      </c>
      <c r="R42" s="714" t="s">
        <v>17</v>
      </c>
      <c r="S42" s="715">
        <f t="shared" si="10"/>
        <v>100</v>
      </c>
      <c r="T42" s="714" t="s">
        <v>17</v>
      </c>
      <c r="U42" s="715">
        <f t="shared" si="11"/>
        <v>100</v>
      </c>
      <c r="V42" s="714" t="s">
        <v>17</v>
      </c>
      <c r="W42" s="715">
        <f t="shared" si="12"/>
        <v>100</v>
      </c>
      <c r="X42" s="1539"/>
      <c r="Y42" s="342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25"/>
      <c r="Q43" s="1536">
        <f t="shared" si="14"/>
        <v>111</v>
      </c>
      <c r="R43" s="714" t="s">
        <v>17</v>
      </c>
      <c r="S43" s="715">
        <f t="shared" si="10"/>
        <v>100</v>
      </c>
      <c r="T43" s="714" t="s">
        <v>17</v>
      </c>
      <c r="U43" s="715">
        <f t="shared" si="11"/>
        <v>100</v>
      </c>
      <c r="V43" s="714" t="s">
        <v>17</v>
      </c>
      <c r="W43" s="715">
        <f t="shared" si="12"/>
        <v>100</v>
      </c>
      <c r="X43" s="1539"/>
      <c r="Y43" s="34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25"/>
      <c r="Q44" s="1536">
        <f t="shared" si="14"/>
        <v>111</v>
      </c>
      <c r="R44" s="714" t="s">
        <v>17</v>
      </c>
      <c r="S44" s="715">
        <f t="shared" si="10"/>
        <v>100</v>
      </c>
      <c r="T44" s="714" t="s">
        <v>17</v>
      </c>
      <c r="U44" s="715">
        <f t="shared" si="11"/>
        <v>100</v>
      </c>
      <c r="V44" s="714" t="s">
        <v>17</v>
      </c>
      <c r="W44" s="715">
        <f t="shared" si="12"/>
        <v>100</v>
      </c>
      <c r="X44" s="1539"/>
      <c r="Y44" s="34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25"/>
      <c r="Q45" s="1536">
        <f t="shared" si="14"/>
        <v>111</v>
      </c>
      <c r="R45" s="717" t="s">
        <v>17</v>
      </c>
      <c r="S45" s="718">
        <f t="shared" si="10"/>
        <v>100</v>
      </c>
      <c r="T45" s="717" t="s">
        <v>17</v>
      </c>
      <c r="U45" s="718">
        <f t="shared" si="11"/>
        <v>100</v>
      </c>
      <c r="V45" s="717" t="s">
        <v>17</v>
      </c>
      <c r="W45" s="718">
        <f t="shared" si="12"/>
        <v>100</v>
      </c>
      <c r="X45" s="719"/>
      <c r="Y45" s="3425"/>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418" t="str">
        <f>A46</f>
        <v>成交单价</v>
      </c>
      <c r="Q46" s="3418"/>
      <c r="R46" s="3449">
        <f>E46</f>
        <v>0</v>
      </c>
      <c r="S46" s="3449"/>
      <c r="T46" s="3449">
        <f>G46</f>
        <v>0</v>
      </c>
      <c r="U46" s="3449"/>
      <c r="V46" s="3449">
        <f>I46</f>
        <v>0</v>
      </c>
      <c r="W46" s="3449"/>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418" t="str">
        <f>A47</f>
        <v>比较价值（元/平方米）</v>
      </c>
      <c r="Q47" s="3418"/>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415" t="str">
        <f>A48</f>
        <v>估价对象XX用房的比较价值（楼面单价，元/平方米）</v>
      </c>
      <c r="Q48" s="3416"/>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433" t="s">
        <v>2584</v>
      </c>
      <c r="H55" s="3482"/>
      <c r="I55" s="140" t="s">
        <v>2585</v>
      </c>
      <c r="J55" s="2171" t="str">
        <f>项目基本情况!F35</f>
        <v>北蜂窝路5号院</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994.5</v>
      </c>
      <c r="F56" s="1017" t="e">
        <f t="shared" ref="F56:F65" si="15">ROUND(B56*E56/10000,0)</f>
        <v>#DIV/0!</v>
      </c>
      <c r="G56" s="3429"/>
      <c r="H56" s="341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8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84" t="s">
        <v>2617</v>
      </c>
      <c r="D6" s="3485"/>
      <c r="E6" s="3486" t="s">
        <v>2617</v>
      </c>
      <c r="F6" s="3487"/>
      <c r="G6" s="3484" t="s">
        <v>2617</v>
      </c>
      <c r="H6" s="3485"/>
      <c r="I6" s="3484" t="s">
        <v>2617</v>
      </c>
      <c r="J6" s="3485"/>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21"/>
      <c r="Q19" s="1536" t="str">
        <f t="shared" ref="Q19:Q33" si="8">B19</f>
        <v>区域土地利用方向</v>
      </c>
      <c r="R19" s="714" t="s">
        <v>17</v>
      </c>
      <c r="S19" s="715">
        <f>F19</f>
        <v>100</v>
      </c>
      <c r="T19" s="714" t="s">
        <v>17</v>
      </c>
      <c r="U19" s="715">
        <f>H19</f>
        <v>100</v>
      </c>
      <c r="V19" s="714" t="s">
        <v>17</v>
      </c>
      <c r="W19" s="715">
        <f>J19</f>
        <v>100</v>
      </c>
      <c r="X19" s="1539"/>
      <c r="Y19" s="34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21"/>
      <c r="Q20" s="1536"/>
      <c r="R20" s="714"/>
      <c r="S20" s="715"/>
      <c r="T20" s="714"/>
      <c r="U20" s="715"/>
      <c r="V20" s="714"/>
      <c r="W20" s="715"/>
      <c r="X20" s="1539"/>
      <c r="Y20" s="3421"/>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21"/>
      <c r="Q21" s="1536" t="str">
        <f t="shared" si="8"/>
        <v>环境状况</v>
      </c>
      <c r="R21" s="714" t="s">
        <v>17</v>
      </c>
      <c r="S21" s="715">
        <f>F21</f>
        <v>100</v>
      </c>
      <c r="T21" s="714" t="s">
        <v>17</v>
      </c>
      <c r="U21" s="715">
        <f>H21</f>
        <v>100</v>
      </c>
      <c r="V21" s="714" t="s">
        <v>17</v>
      </c>
      <c r="W21" s="715">
        <f>J21</f>
        <v>100</v>
      </c>
      <c r="X21" s="1539"/>
      <c r="Y21" s="34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21"/>
      <c r="Q23" s="1527" t="str">
        <f t="shared" si="8"/>
        <v>公共配套设施</v>
      </c>
      <c r="R23" s="710" t="s">
        <v>17</v>
      </c>
      <c r="S23" s="711">
        <f>F23</f>
        <v>100</v>
      </c>
      <c r="T23" s="710" t="s">
        <v>17</v>
      </c>
      <c r="U23" s="711">
        <f>H23</f>
        <v>100</v>
      </c>
      <c r="V23" s="710" t="s">
        <v>17</v>
      </c>
      <c r="W23" s="711">
        <f>J23</f>
        <v>100</v>
      </c>
      <c r="X23" s="712"/>
      <c r="Y23" s="34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21"/>
      <c r="Q24" s="1527"/>
      <c r="R24" s="710"/>
      <c r="S24" s="711"/>
      <c r="T24" s="710"/>
      <c r="U24" s="711"/>
      <c r="V24" s="710"/>
      <c r="W24" s="711"/>
      <c r="X24" s="712"/>
      <c r="Y24" s="3421"/>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21"/>
      <c r="Q25" s="1527"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21"/>
      <c r="Q26" s="1527"/>
      <c r="R26" s="710"/>
      <c r="S26" s="711"/>
      <c r="T26" s="710"/>
      <c r="U26" s="711"/>
      <c r="V26" s="710"/>
      <c r="W26" s="711"/>
      <c r="X26" s="712"/>
      <c r="Y26" s="342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21"/>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21"/>
      <c r="Q28" s="1536" t="str">
        <f t="shared" si="8"/>
        <v>毗邻道路的类型与等级</v>
      </c>
      <c r="R28" s="714" t="s">
        <v>17</v>
      </c>
      <c r="S28" s="715">
        <f t="shared" si="10"/>
        <v>100</v>
      </c>
      <c r="T28" s="714" t="s">
        <v>17</v>
      </c>
      <c r="U28" s="715">
        <f t="shared" si="11"/>
        <v>100</v>
      </c>
      <c r="V28" s="714" t="s">
        <v>17</v>
      </c>
      <c r="W28" s="715">
        <f t="shared" si="12"/>
        <v>100</v>
      </c>
      <c r="X28" s="1539"/>
      <c r="Y28" s="34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21"/>
      <c r="Q29" s="1536"/>
      <c r="R29" s="714"/>
      <c r="S29" s="715"/>
      <c r="T29" s="714"/>
      <c r="U29" s="715"/>
      <c r="V29" s="714"/>
      <c r="W29" s="715"/>
      <c r="X29" s="1539"/>
      <c r="Y29" s="342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21"/>
      <c r="Q30" s="1536" t="str">
        <f t="shared" si="8"/>
        <v>土地级别</v>
      </c>
      <c r="R30" s="714" t="s">
        <v>17</v>
      </c>
      <c r="S30" s="715">
        <f t="shared" si="10"/>
        <v>100</v>
      </c>
      <c r="T30" s="714" t="s">
        <v>17</v>
      </c>
      <c r="U30" s="715">
        <f t="shared" si="11"/>
        <v>100</v>
      </c>
      <c r="V30" s="714" t="s">
        <v>17</v>
      </c>
      <c r="W30" s="715">
        <f t="shared" si="12"/>
        <v>100</v>
      </c>
      <c r="X30" s="1539"/>
      <c r="Y30" s="34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21"/>
      <c r="Q31" s="1536">
        <f t="shared" si="8"/>
        <v>111</v>
      </c>
      <c r="R31" s="714" t="s">
        <v>17</v>
      </c>
      <c r="S31" s="715">
        <f t="shared" si="10"/>
        <v>100</v>
      </c>
      <c r="T31" s="714" t="s">
        <v>17</v>
      </c>
      <c r="U31" s="715">
        <f t="shared" si="11"/>
        <v>100</v>
      </c>
      <c r="V31" s="714" t="s">
        <v>17</v>
      </c>
      <c r="W31" s="715">
        <f t="shared" si="12"/>
        <v>100</v>
      </c>
      <c r="X31" s="1539"/>
      <c r="Y31" s="34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2385</v>
      </c>
      <c r="Q32" s="1536">
        <f t="shared" si="8"/>
        <v>111</v>
      </c>
      <c r="R32" s="714" t="s">
        <v>17</v>
      </c>
      <c r="S32" s="715">
        <f t="shared" si="10"/>
        <v>100</v>
      </c>
      <c r="T32" s="714" t="s">
        <v>17</v>
      </c>
      <c r="U32" s="715">
        <f t="shared" si="11"/>
        <v>100</v>
      </c>
      <c r="V32" s="714" t="s">
        <v>17</v>
      </c>
      <c r="W32" s="715">
        <f t="shared" si="12"/>
        <v>100</v>
      </c>
      <c r="X32" s="1539"/>
      <c r="Y32" s="3425"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25"/>
      <c r="Q33" s="1536">
        <f t="shared" si="8"/>
        <v>111</v>
      </c>
      <c r="R33" s="717" t="s">
        <v>17</v>
      </c>
      <c r="S33" s="718">
        <f t="shared" si="10"/>
        <v>100</v>
      </c>
      <c r="T33" s="717" t="s">
        <v>17</v>
      </c>
      <c r="U33" s="718">
        <f t="shared" si="11"/>
        <v>100</v>
      </c>
      <c r="V33" s="717" t="s">
        <v>17</v>
      </c>
      <c r="W33" s="718">
        <f t="shared" si="12"/>
        <v>100</v>
      </c>
      <c r="X33" s="719"/>
      <c r="Y33" s="342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25"/>
      <c r="Q34" s="1536" t="str">
        <f>B34</f>
        <v>宗地面积</v>
      </c>
      <c r="R34" s="714" t="s">
        <v>17</v>
      </c>
      <c r="S34" s="715" t="e">
        <f t="shared" si="10"/>
        <v>#N/A</v>
      </c>
      <c r="T34" s="714" t="s">
        <v>17</v>
      </c>
      <c r="U34" s="715" t="e">
        <f t="shared" si="11"/>
        <v>#N/A</v>
      </c>
      <c r="V34" s="714" t="s">
        <v>17</v>
      </c>
      <c r="W34" s="715" t="e">
        <f t="shared" si="12"/>
        <v>#N/A</v>
      </c>
      <c r="X34" s="1539"/>
      <c r="Y34" s="3425"/>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25"/>
      <c r="Q35" s="1536" t="str">
        <f t="shared" ref="Q35:Q40" si="14">B35</f>
        <v>宗地形状</v>
      </c>
      <c r="R35" s="714" t="s">
        <v>17</v>
      </c>
      <c r="S35" s="715">
        <f t="shared" si="10"/>
        <v>100</v>
      </c>
      <c r="T35" s="714" t="s">
        <v>17</v>
      </c>
      <c r="U35" s="715">
        <f t="shared" si="11"/>
        <v>100</v>
      </c>
      <c r="V35" s="714" t="s">
        <v>17</v>
      </c>
      <c r="W35" s="715">
        <f t="shared" si="12"/>
        <v>100</v>
      </c>
      <c r="X35" s="1539"/>
      <c r="Y35" s="3425"/>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25"/>
      <c r="Q36" s="1536"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25" t="s">
        <v>2385</v>
      </c>
      <c r="Q37" s="1536" t="str">
        <f t="shared" si="14"/>
        <v>工程地质条件</v>
      </c>
      <c r="R37" s="714" t="s">
        <v>17</v>
      </c>
      <c r="S37" s="715">
        <f t="shared" si="10"/>
        <v>100</v>
      </c>
      <c r="T37" s="714" t="s">
        <v>17</v>
      </c>
      <c r="U37" s="715">
        <f t="shared" si="11"/>
        <v>100</v>
      </c>
      <c r="V37" s="714" t="s">
        <v>17</v>
      </c>
      <c r="W37" s="715">
        <f t="shared" si="12"/>
        <v>100</v>
      </c>
      <c r="X37" s="1539"/>
      <c r="Y37" s="342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25"/>
      <c r="Q38" s="1536">
        <f t="shared" si="14"/>
        <v>111</v>
      </c>
      <c r="R38" s="714" t="s">
        <v>17</v>
      </c>
      <c r="S38" s="715">
        <f t="shared" si="10"/>
        <v>100</v>
      </c>
      <c r="T38" s="714" t="s">
        <v>17</v>
      </c>
      <c r="U38" s="715">
        <f t="shared" si="11"/>
        <v>100</v>
      </c>
      <c r="V38" s="714" t="s">
        <v>17</v>
      </c>
      <c r="W38" s="715">
        <f t="shared" si="12"/>
        <v>100</v>
      </c>
      <c r="X38" s="1539"/>
      <c r="Y38" s="34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25"/>
      <c r="Q39" s="1536">
        <f t="shared" si="14"/>
        <v>111</v>
      </c>
      <c r="R39" s="714" t="s">
        <v>17</v>
      </c>
      <c r="S39" s="715">
        <f t="shared" si="10"/>
        <v>100</v>
      </c>
      <c r="T39" s="714" t="s">
        <v>17</v>
      </c>
      <c r="U39" s="715">
        <f t="shared" si="11"/>
        <v>100</v>
      </c>
      <c r="V39" s="714" t="s">
        <v>17</v>
      </c>
      <c r="W39" s="715">
        <f t="shared" si="12"/>
        <v>100</v>
      </c>
      <c r="X39" s="1539"/>
      <c r="Y39" s="34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25"/>
      <c r="Q40" s="1536">
        <f t="shared" si="14"/>
        <v>111</v>
      </c>
      <c r="R40" s="717" t="s">
        <v>17</v>
      </c>
      <c r="S40" s="718">
        <f t="shared" si="10"/>
        <v>100</v>
      </c>
      <c r="T40" s="717" t="s">
        <v>17</v>
      </c>
      <c r="U40" s="718">
        <f t="shared" si="11"/>
        <v>100</v>
      </c>
      <c r="V40" s="717" t="s">
        <v>17</v>
      </c>
      <c r="W40" s="718">
        <f t="shared" si="12"/>
        <v>100</v>
      </c>
      <c r="X40" s="719"/>
      <c r="Y40" s="3425"/>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418" t="str">
        <f>A41</f>
        <v>成交单价</v>
      </c>
      <c r="Q41" s="3418"/>
      <c r="R41" s="3449">
        <f>E41</f>
        <v>0</v>
      </c>
      <c r="S41" s="3449"/>
      <c r="T41" s="3449">
        <f>G41</f>
        <v>0</v>
      </c>
      <c r="U41" s="3449"/>
      <c r="V41" s="3449">
        <f>I41</f>
        <v>0</v>
      </c>
      <c r="W41" s="3449"/>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418" t="str">
        <f>A42</f>
        <v>比较价值（元/平方米）</v>
      </c>
      <c r="Q42" s="3418"/>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415" t="str">
        <f>A43</f>
        <v>估价对象XX用房的比较价值（楼面单价，元/平方米）</v>
      </c>
      <c r="Q43" s="3416"/>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433" t="s">
        <v>2584</v>
      </c>
      <c r="H50" s="3482"/>
      <c r="I50" s="1540" t="s">
        <v>2621</v>
      </c>
      <c r="J50" s="1540" t="str">
        <f>项目基本情况!F35</f>
        <v>北蜂窝路5号院</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994.5</v>
      </c>
      <c r="F51" s="647" t="e">
        <f t="shared" ref="F51:F60" si="15">ROUND(B51*E51/10000,0)</f>
        <v>#DIV/0!</v>
      </c>
      <c r="G51" s="3429"/>
      <c r="H51" s="341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8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t="e">
        <f>IF(F3="宗地容积率",'数据-汇总表'!I4,IF(F3="估价对象容积率",'数据-汇总表'!I6,'数据-汇总表'!I7))</f>
        <v>#DIV/0!</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91"/>
      <c r="B4" s="3492"/>
      <c r="C4" s="3492"/>
      <c r="D4" s="3493"/>
      <c r="E4" s="3493"/>
      <c r="F4" s="3493"/>
      <c r="G4" s="3493"/>
      <c r="H4" s="3493"/>
      <c r="I4" s="3493"/>
      <c r="J4" s="349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95"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2655</v>
      </c>
      <c r="X7" s="1376">
        <f>G2</f>
        <v>0</v>
      </c>
      <c r="Y7" s="1376" t="s">
        <v>2656</v>
      </c>
      <c r="Z7" s="1377" t="e">
        <f>G3</f>
        <v>#DIV/0!</v>
      </c>
      <c r="AA7" s="1378"/>
      <c r="AB7" s="1378"/>
      <c r="AC7" s="1379"/>
      <c r="AD7" s="1380"/>
      <c r="AE7" s="1380"/>
      <c r="AF7" s="1380"/>
      <c r="AG7" s="1380"/>
      <c r="AH7" s="1380"/>
      <c r="AI7" s="1380"/>
      <c r="AJ7" s="1381"/>
    </row>
    <row r="8" spans="1:36" ht="15">
      <c r="A8" s="3496"/>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88" t="s">
        <v>2660</v>
      </c>
      <c r="X8" s="348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96"/>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96"/>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96"/>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0"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9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97"/>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4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97"/>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498"/>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95" t="s">
        <v>2703</v>
      </c>
      <c r="B16" s="2209" t="s">
        <v>2704</v>
      </c>
      <c r="C16" s="2371" t="e">
        <f>ROUND(IF(F17="与级别开发程度一致",0,(G17-E17)/C17),0)</f>
        <v>#DIV/0!</v>
      </c>
      <c r="D16" s="3511" t="s">
        <v>2708</v>
      </c>
      <c r="E16" s="3512"/>
      <c r="F16" s="3511" t="s">
        <v>2705</v>
      </c>
      <c r="G16" s="351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9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t="e">
        <f>IF(B21="容积率修正",IF(G3&lt;=10,D22,J22),C23)</f>
        <v>#DIV/0!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0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1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0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0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1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1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9" t="s">
        <v>2769</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2770</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2774</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2777</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2779</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2770</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2774</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2777</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2779</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2770</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2785</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2777</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2779</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00" t="s">
        <v>2791</v>
      </c>
      <c r="B90" s="3500"/>
      <c r="C90" s="3500"/>
      <c r="D90" s="3500"/>
      <c r="E90" s="3500"/>
      <c r="F90" s="3500"/>
      <c r="G90" s="3500"/>
      <c r="H90" s="3500"/>
      <c r="I90" s="3500"/>
      <c r="J90" s="3500"/>
      <c r="K90" s="2343"/>
      <c r="L90" s="2343"/>
      <c r="M90" s="2343"/>
      <c r="N90" s="2343"/>
    </row>
    <row r="91" spans="1:37">
      <c r="A91" s="3502" t="s">
        <v>2792</v>
      </c>
      <c r="B91" s="3502" t="s">
        <v>2793</v>
      </c>
      <c r="C91" s="2297" t="s">
        <v>2794</v>
      </c>
      <c r="D91" s="2298"/>
      <c r="E91" s="2298"/>
      <c r="F91" s="2298"/>
      <c r="G91" s="2298"/>
      <c r="H91" s="2298"/>
      <c r="I91" s="2298"/>
      <c r="J91" s="2344"/>
      <c r="K91" s="2345"/>
      <c r="L91" s="2345"/>
      <c r="M91" s="2345"/>
      <c r="N91" s="2345"/>
    </row>
    <row r="92" spans="1:37">
      <c r="A92" s="3502"/>
      <c r="B92" s="350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0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0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0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0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0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0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0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0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03" t="s">
        <v>2796</v>
      </c>
      <c r="B101" s="2350" t="s">
        <v>2797</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50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50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50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50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50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50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504"/>
      <c r="B108" s="350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05"/>
      <c r="B109" s="350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501" t="s">
        <v>2799</v>
      </c>
      <c r="B110" s="3501"/>
      <c r="C110" s="3501"/>
      <c r="D110" s="3501"/>
      <c r="E110" s="3501"/>
      <c r="F110" s="3501"/>
      <c r="G110" s="3501"/>
      <c r="H110" s="3501"/>
      <c r="I110" s="3501"/>
      <c r="J110" s="3501"/>
      <c r="K110" s="2352"/>
      <c r="L110" s="2352"/>
      <c r="M110" s="2352"/>
      <c r="N110" s="2352"/>
    </row>
    <row r="112" spans="1:14" ht="13.5" thickBot="1"/>
    <row r="113" spans="1:13" ht="25.5" thickBot="1">
      <c r="A113" s="842" t="s">
        <v>2800</v>
      </c>
      <c r="B113" s="1197" t="e">
        <f>G3</f>
        <v>#DIV/0!</v>
      </c>
      <c r="C113" s="843" t="s">
        <v>2801</v>
      </c>
      <c r="D113" s="844" t="e">
        <f>SUMPRODUCT((A115:A118=F113)*(B114:M114=H113)*B115:M118)</f>
        <v>#DIV/0!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6" t="e">
        <f ca="1">SUMIF(B6:B13,"&lt;&gt;#ref!",B6:B13)</f>
        <v>#DIV/0!</v>
      </c>
      <c r="C2" s="2361" t="s">
        <v>2815</v>
      </c>
      <c r="D2" s="2361" t="s">
        <v>2816</v>
      </c>
      <c r="E2" s="2836">
        <f ca="1">SUMIF(E6:E13,"&lt;&gt;#ref!",E6:E13)</f>
        <v>0</v>
      </c>
      <c r="F2" s="3022"/>
      <c r="G2" s="3022"/>
      <c r="H2" s="3022"/>
      <c r="I2" s="3022"/>
      <c r="J2" s="3022"/>
      <c r="K2" s="3022"/>
      <c r="L2" s="3022"/>
      <c r="M2" s="3022"/>
      <c r="N2" s="3022"/>
      <c r="O2" s="3022"/>
      <c r="P2" s="3022"/>
    </row>
    <row r="3" spans="1:16" ht="15.75">
      <c r="A3" s="2361" t="s">
        <v>2817</v>
      </c>
      <c r="B3" s="2826"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2"/>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61"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9" t="s">
        <v>1118</v>
      </c>
      <c r="H1" s="3519"/>
      <c r="I1" s="3519"/>
      <c r="J1" s="3519"/>
      <c r="K1" s="3519"/>
      <c r="L1" s="3519"/>
      <c r="N1" s="3519" t="s">
        <v>1119</v>
      </c>
      <c r="O1" s="3519"/>
      <c r="P1" s="3519"/>
      <c r="Q1" s="3519"/>
      <c r="S1" s="3519" t="s">
        <v>1120</v>
      </c>
      <c r="T1" s="3519"/>
      <c r="U1" s="3519"/>
      <c r="V1" s="3519"/>
      <c r="X1" s="3518" t="s">
        <v>1121</v>
      </c>
      <c r="Y1" s="3519"/>
      <c r="Z1" s="3519"/>
      <c r="AA1" s="3519"/>
      <c r="AB1" s="3519"/>
      <c r="AD1" s="3518" t="s">
        <v>1122</v>
      </c>
      <c r="AE1" s="3519"/>
      <c r="AF1" s="3519"/>
      <c r="AG1" s="3519"/>
      <c r="AH1" s="3519"/>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6"/>
        <v>419.31181600000002</v>
      </c>
      <c r="C21" s="2424">
        <f t="shared" si="167"/>
        <v>313.95436800000004</v>
      </c>
      <c r="D21" s="2424">
        <f t="shared" si="168"/>
        <v>313.95436800000004</v>
      </c>
      <c r="E21" s="2424">
        <f t="shared" si="169"/>
        <v>596.63028431999999</v>
      </c>
      <c r="F21" s="2424">
        <f t="shared" si="170"/>
        <v>274.74220703999998</v>
      </c>
      <c r="G21" s="351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估价结果一览表（市场价值不需“结果表-1”）</v>
      </c>
      <c r="B3" s="3157"/>
      <c r="C3" s="3157"/>
      <c r="D3" s="3157"/>
      <c r="E3" s="3157"/>
    </row>
    <row r="4" spans="1:5" ht="19.5" thickBot="1">
      <c r="A4" s="1678"/>
      <c r="B4" s="3155" t="s">
        <v>1594</v>
      </c>
      <c r="C4" s="3155"/>
      <c r="D4" s="3155"/>
      <c r="E4" s="1678"/>
    </row>
    <row r="5" spans="1:5" ht="16.5" thickTop="1">
      <c r="A5" s="1676"/>
      <c r="B5" s="3153" t="s">
        <v>1586</v>
      </c>
      <c r="C5" s="1679" t="s">
        <v>1587</v>
      </c>
      <c r="D5" s="959" t="e">
        <f ca="1">结果表!H101</f>
        <v>#REF!</v>
      </c>
      <c r="E5" s="1676"/>
    </row>
    <row r="6" spans="1:5" ht="15.75">
      <c r="A6" s="1676"/>
      <c r="B6" s="3153"/>
      <c r="C6" s="1679" t="s">
        <v>1588</v>
      </c>
      <c r="D6" s="959" t="e">
        <f ca="1">NUMBERSTRING(INT(D5*10000),2)&amp;"元整"</f>
        <v>#REF!</v>
      </c>
      <c r="E6" s="1676"/>
    </row>
    <row r="7" spans="1:5" ht="15.75">
      <c r="A7" s="1676"/>
      <c r="B7" s="3158"/>
      <c r="C7" s="1680" t="s">
        <v>1589</v>
      </c>
      <c r="D7" s="960" t="e">
        <f ca="1">结果表!H102</f>
        <v>#REF!</v>
      </c>
      <c r="E7" s="1676"/>
    </row>
    <row r="8" spans="1:5" ht="15.75">
      <c r="A8" s="1676"/>
      <c r="B8" s="3159" t="str">
        <f>结果表!E103</f>
        <v>2.估价师知悉的法定优先受偿款</v>
      </c>
      <c r="C8" s="1681" t="s">
        <v>1590</v>
      </c>
      <c r="D8" s="960">
        <f>结果表!H103</f>
        <v>0</v>
      </c>
      <c r="E8" s="1676"/>
    </row>
    <row r="9" spans="1:5" ht="15.75">
      <c r="A9" s="1676"/>
      <c r="B9" s="3161"/>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152" t="str">
        <f>结果表!E107</f>
        <v>3.房地产抵押价值</v>
      </c>
      <c r="C13" s="1684" t="s">
        <v>1587</v>
      </c>
      <c r="D13" s="962" t="e">
        <f ca="1">结果表!H107</f>
        <v>#REF!</v>
      </c>
      <c r="E13" s="1676"/>
    </row>
    <row r="14" spans="1:5" ht="15.75">
      <c r="A14" s="1676"/>
      <c r="B14" s="3153"/>
      <c r="C14" s="1679" t="s">
        <v>1588</v>
      </c>
      <c r="D14" s="959" t="e">
        <f ca="1">NUMBERSTRING(INT(D13*10000),2)&amp;"元整"</f>
        <v>#REF!</v>
      </c>
      <c r="E14" s="1676"/>
    </row>
    <row r="15" spans="1:5" ht="15">
      <c r="A15" s="1676"/>
      <c r="B15" s="3158"/>
      <c r="C15" s="1680" t="s">
        <v>1598</v>
      </c>
      <c r="D15" s="968" t="e">
        <f ca="1">结果表!H108</f>
        <v>#REF!</v>
      </c>
      <c r="E15" s="1676"/>
    </row>
    <row r="16" spans="1:5" ht="15">
      <c r="A16" s="1676"/>
      <c r="B16" s="3159" t="str">
        <f>结果表!E109</f>
        <v>——</v>
      </c>
      <c r="C16" s="1684" t="s">
        <v>1599</v>
      </c>
      <c r="D16" s="1685" t="str">
        <f>结果表!H109</f>
        <v>——</v>
      </c>
      <c r="E16" s="1676"/>
    </row>
    <row r="17" spans="1:5" ht="15.75">
      <c r="A17" s="1676"/>
      <c r="B17" s="3160"/>
      <c r="C17" s="1679" t="s">
        <v>1600</v>
      </c>
      <c r="D17" s="959" t="e">
        <f>NUMBERSTRING(INT(D16*10000),2)&amp;"元整"</f>
        <v>#VALUE!</v>
      </c>
      <c r="E17" s="1676"/>
    </row>
    <row r="18" spans="1:5" ht="15">
      <c r="A18" s="1676"/>
      <c r="B18" s="3161"/>
      <c r="C18" s="1680" t="s">
        <v>1589</v>
      </c>
      <c r="D18" s="968" t="str">
        <f>结果表!H110</f>
        <v>——</v>
      </c>
      <c r="E18" s="1676"/>
    </row>
    <row r="19" spans="1:5" ht="15.75">
      <c r="A19" s="1676"/>
      <c r="B19" s="3152" t="str">
        <f>结果表!E111</f>
        <v>——</v>
      </c>
      <c r="C19" s="1684" t="s">
        <v>1587</v>
      </c>
      <c r="D19" s="960" t="str">
        <f>结果表!H111</f>
        <v>——</v>
      </c>
      <c r="E19" s="1676"/>
    </row>
    <row r="20" spans="1:5" ht="15.75">
      <c r="A20" s="1676"/>
      <c r="B20" s="3153"/>
      <c r="C20" s="1679" t="s">
        <v>1600</v>
      </c>
      <c r="D20" s="959" t="e">
        <f>NUMBERSTRING(INT(D19*10000),2)&amp;"元整"</f>
        <v>#VALUE!</v>
      </c>
      <c r="E20" s="1676"/>
    </row>
    <row r="21" spans="1:5" ht="15.75" thickBot="1">
      <c r="A21" s="1676"/>
      <c r="B21" s="3154"/>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29" t="s">
        <v>2825</v>
      </c>
      <c r="D1" s="3530"/>
      <c r="E1" s="3530"/>
      <c r="F1" s="3530"/>
      <c r="G1" s="3530"/>
      <c r="H1" s="3530"/>
      <c r="I1" s="3530"/>
      <c r="J1" s="3530"/>
      <c r="K1" s="3530"/>
      <c r="L1" s="3530"/>
      <c r="M1" s="3530"/>
      <c r="N1" s="3530"/>
      <c r="O1" s="3530"/>
      <c r="P1" s="3530"/>
      <c r="Q1" s="3530"/>
      <c r="R1" s="3530"/>
      <c r="S1" s="353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30050</v>
      </c>
      <c r="C2" s="2" t="s">
        <v>133</v>
      </c>
      <c r="D2" s="205"/>
      <c r="E2" s="205"/>
      <c r="F2" s="205"/>
      <c r="G2" s="205"/>
    </row>
    <row r="3" spans="1:7" s="206" customFormat="1" ht="18" customHeight="1" thickBot="1">
      <c r="A3" s="209" t="s">
        <v>85</v>
      </c>
      <c r="B3" s="210">
        <f ca="1">ROUND(B2*10000/'数据-汇总表'!E3,0)</f>
        <v>302162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348</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18</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79</v>
      </c>
      <c r="D45" s="241">
        <f>C47</f>
        <v>4.0000000000000001E-3</v>
      </c>
      <c r="E45" s="242" t="s">
        <v>129</v>
      </c>
      <c r="F45" s="252"/>
      <c r="G45" s="253" t="s">
        <v>1040</v>
      </c>
    </row>
    <row r="46" spans="1:7" s="220" customFormat="1" ht="13.5" customHeight="1">
      <c r="A46" s="888" t="s">
        <v>794</v>
      </c>
      <c r="B46" s="254" t="s">
        <v>1033</v>
      </c>
      <c r="C46" s="255">
        <f>ROUND((C33+C39)*F27,0)</f>
        <v>79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534</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454</v>
      </c>
      <c r="D51" s="238"/>
      <c r="E51" s="238"/>
      <c r="F51" s="270"/>
      <c r="G51" s="240" t="s">
        <v>64</v>
      </c>
    </row>
    <row r="52" spans="1:7" s="214" customFormat="1" ht="16.5" thickBot="1">
      <c r="A52" s="271" t="s">
        <v>65</v>
      </c>
      <c r="B52" s="272"/>
      <c r="C52" s="273">
        <f ca="1">C31+C51</f>
        <v>30050</v>
      </c>
      <c r="D52" s="272"/>
      <c r="E52" s="272"/>
      <c r="F52" s="272"/>
      <c r="G52" s="274"/>
    </row>
    <row r="55" spans="1:7" ht="15">
      <c r="B55" s="276" t="s">
        <v>66</v>
      </c>
      <c r="C55" s="277"/>
    </row>
    <row r="56" spans="1:7">
      <c r="B56" s="279" t="s">
        <v>67</v>
      </c>
      <c r="C56" s="280">
        <f ca="1">ROUND(C51/C52,3)</f>
        <v>1.4999999999999999E-2</v>
      </c>
    </row>
    <row r="57" spans="1:7">
      <c r="B57" s="279" t="s">
        <v>68</v>
      </c>
      <c r="C57" s="281">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3057</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-148</v>
      </c>
      <c r="C2" s="1571" t="s">
        <v>1480</v>
      </c>
      <c r="D2" s="1571"/>
      <c r="E2" s="1572"/>
      <c r="F2" s="1573"/>
      <c r="G2" s="2933"/>
      <c r="H2" s="2922"/>
      <c r="I2" s="2922"/>
      <c r="J2" s="2922"/>
      <c r="K2" s="2923"/>
      <c r="L2" s="2922"/>
      <c r="M2" s="2922"/>
    </row>
    <row r="3" spans="1:37" ht="18" customHeight="1" thickBot="1">
      <c r="A3" s="1574" t="s">
        <v>1481</v>
      </c>
      <c r="B3" s="1575">
        <f ca="1">IF(ISERROR(B2*10000/F43),0,ROUND(B2*10000/F43,0))</f>
        <v>-1488</v>
      </c>
      <c r="C3" s="1571" t="s">
        <v>1482</v>
      </c>
      <c r="D3" s="1571"/>
      <c r="E3" s="1572"/>
      <c r="F3" s="1573"/>
      <c r="G3" s="293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387" t="s">
        <v>1367</v>
      </c>
      <c r="C6" s="1206">
        <f ca="1">ROUND(F6*F8*F7*(1-F9)/10000,0)</f>
        <v>0</v>
      </c>
      <c r="D6" s="160" t="s">
        <v>2850</v>
      </c>
      <c r="E6" s="308" t="s">
        <v>1369</v>
      </c>
      <c r="F6" s="309">
        <f ca="1">INDIRECT("'数据-取费表'!u"&amp;$G$1)</f>
        <v>0</v>
      </c>
      <c r="G6" s="1568"/>
      <c r="H6" s="1201" t="s">
        <v>1003</v>
      </c>
      <c r="I6" s="3387" t="s">
        <v>1367</v>
      </c>
      <c r="J6" s="307">
        <f ca="1">ROUND(M6*M8*M7*(1-M9)/10000,0)</f>
        <v>0</v>
      </c>
      <c r="K6" s="160" t="s">
        <v>2849</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994.5</v>
      </c>
      <c r="G7" s="1568"/>
      <c r="H7" s="310"/>
      <c r="I7" s="3388"/>
      <c r="J7" s="312"/>
      <c r="K7" s="313"/>
      <c r="L7" s="308" t="s">
        <v>1370</v>
      </c>
      <c r="M7" s="309">
        <f ca="1">F7</f>
        <v>994.5</v>
      </c>
    </row>
    <row r="8" spans="1:37" ht="18" customHeight="1">
      <c r="A8" s="310"/>
      <c r="B8" s="3388"/>
      <c r="C8" s="312"/>
      <c r="D8" s="313"/>
      <c r="E8" s="308" t="s">
        <v>1371</v>
      </c>
      <c r="F8" s="309">
        <f ca="1">INDIRECT("'数据-取费表'!ai"&amp;$G$1)</f>
        <v>365</v>
      </c>
      <c r="G8" s="1568"/>
      <c r="H8" s="310"/>
      <c r="I8" s="3388"/>
      <c r="J8" s="312"/>
      <c r="K8" s="313"/>
      <c r="L8" s="308" t="s">
        <v>1371</v>
      </c>
      <c r="M8" s="309">
        <f ca="1">INDIRECT("'数据-取费表'!ai"&amp;$G$1)</f>
        <v>365</v>
      </c>
    </row>
    <row r="9" spans="1:37" ht="18" customHeight="1">
      <c r="A9" s="310"/>
      <c r="B9" s="3389"/>
      <c r="C9" s="312"/>
      <c r="D9" s="313"/>
      <c r="E9" s="308" t="s">
        <v>1372</v>
      </c>
      <c r="F9" s="318">
        <f ca="1">INDIRECT("'数据-取费表'!w"&amp;$G$1)</f>
        <v>0.05</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2858</v>
      </c>
      <c r="E10" s="319" t="s">
        <v>1374</v>
      </c>
      <c r="F10" s="1276" t="s">
        <v>3211</v>
      </c>
      <c r="G10" s="1568"/>
      <c r="H10" s="1201" t="s">
        <v>1007</v>
      </c>
      <c r="I10" s="1549" t="s">
        <v>1373</v>
      </c>
      <c r="J10" s="307">
        <f ca="1">ROUND(IF(M10="押一",J6/12*M11,IF(M10="押二",J6/12*2*M11,IF(M10="押三",J6/12*3*M11,J11*M11))),0)</f>
        <v>0</v>
      </c>
      <c r="K10" s="1550" t="s">
        <v>2857</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454</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348</v>
      </c>
      <c r="D14" s="1529" t="s">
        <v>1382</v>
      </c>
      <c r="E14" s="1526"/>
      <c r="F14" s="325"/>
      <c r="G14" s="1568"/>
      <c r="H14" s="1113" t="s">
        <v>1003</v>
      </c>
      <c r="I14" s="308" t="s">
        <v>1383</v>
      </c>
      <c r="J14" s="24">
        <f ca="1">C29</f>
        <v>534</v>
      </c>
      <c r="K14" s="15"/>
      <c r="L14" s="916"/>
      <c r="M14" s="917"/>
    </row>
    <row r="15" spans="1:37" s="1581" customFormat="1" ht="18" customHeight="1" thickBot="1">
      <c r="A15" s="1113" t="s">
        <v>1004</v>
      </c>
      <c r="B15" s="308" t="s">
        <v>1384</v>
      </c>
      <c r="C15" s="24">
        <f ca="1">ROUND(C14*F15,0)</f>
        <v>14</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9</v>
      </c>
      <c r="K16" s="1247" t="s">
        <v>1389</v>
      </c>
      <c r="L16" s="1248"/>
      <c r="M16" s="1204"/>
    </row>
    <row r="17" spans="1:37" s="1581" customFormat="1" ht="18" customHeight="1">
      <c r="A17" s="1113" t="s">
        <v>1354</v>
      </c>
      <c r="B17" s="308" t="s">
        <v>1390</v>
      </c>
      <c r="C17" s="24">
        <f ca="1">ROUND(F17*(F43+INDIRECT("'数据-取费表'!S"&amp;$G$1))/10000,0)</f>
        <v>20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4</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5</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387</v>
      </c>
      <c r="D19" s="136" t="s">
        <v>1400</v>
      </c>
      <c r="E19" s="1544"/>
      <c r="F19" s="26"/>
      <c r="G19" s="1568"/>
      <c r="H19" s="1113" t="s">
        <v>1004</v>
      </c>
      <c r="I19" s="308" t="s">
        <v>1401</v>
      </c>
      <c r="J19" s="24">
        <f ca="1">IF(K19="按租金收入计税",ROUND(J6*M19/(1+'数据-取费表'!C42),2),ROUND(C29*M19*0.7,2))</f>
        <v>4.49</v>
      </c>
      <c r="K19" s="1554" t="s">
        <v>1402</v>
      </c>
      <c r="L19" s="308" t="s">
        <v>1386</v>
      </c>
      <c r="M19" s="328">
        <f>IF(K19="按租金收入计税",'数据-取费表'!B51,'数据-取费表'!B50)</f>
        <v>1.2E-2</v>
      </c>
    </row>
    <row r="20" spans="1:37" s="1581" customFormat="1" ht="18" customHeight="1">
      <c r="A20" s="1113" t="s">
        <v>1007</v>
      </c>
      <c r="B20" s="308" t="s">
        <v>1403</v>
      </c>
      <c r="C20" s="24">
        <f ca="1">ROUND(C19*F20,0)</f>
        <v>8</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5.3</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18</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-9</v>
      </c>
      <c r="K25" s="1255" t="s">
        <v>1428</v>
      </c>
      <c r="L25" s="1256"/>
      <c r="M25" s="1257"/>
    </row>
    <row r="26" spans="1:37">
      <c r="A26" s="1113" t="s">
        <v>1002</v>
      </c>
      <c r="B26" s="308" t="s">
        <v>1429</v>
      </c>
      <c r="C26" s="24">
        <f ca="1">ROUND((C19+C20)*F26,0)</f>
        <v>79</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534</v>
      </c>
      <c r="D29" s="1252"/>
      <c r="E29" s="1250"/>
      <c r="F29" s="1253"/>
      <c r="G29" s="1580"/>
      <c r="H29" s="340" t="s">
        <v>1001</v>
      </c>
      <c r="I29" s="341" t="s">
        <v>1443</v>
      </c>
      <c r="J29" s="342">
        <f ca="1">ROUND(J26/(1+F40)^F41,0)</f>
        <v>0</v>
      </c>
      <c r="K29" s="343" t="s">
        <v>1444</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3214</v>
      </c>
      <c r="E33" s="308" t="s">
        <v>1386</v>
      </c>
      <c r="F33" s="328">
        <f>IF(D33="按票据","——",IF(D33="按租金收入计税",'数据-取费表'!B51,'数据-取费表'!B50))</f>
        <v>0.12</v>
      </c>
      <c r="G33" s="1568"/>
      <c r="H33" s="2927"/>
      <c r="I33" s="1582"/>
      <c r="J33" s="1583"/>
      <c r="K33" s="2928"/>
      <c r="L33" s="2927"/>
      <c r="M33" s="2927"/>
    </row>
    <row r="34" spans="1:18" ht="18" customHeight="1">
      <c r="A34" s="1201" t="s">
        <v>1353</v>
      </c>
      <c r="B34" s="160" t="s">
        <v>1405</v>
      </c>
      <c r="C34" s="25">
        <f ca="1">IF(项目基本情况!B11="自然人","——",ROUND(F34*F35/10000,2))</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ROUND(C29*F36,1)</f>
        <v>5.3</v>
      </c>
      <c r="D36" s="1528" t="s">
        <v>1446</v>
      </c>
      <c r="E36" s="308" t="s">
        <v>1386</v>
      </c>
      <c r="F36" s="334">
        <f ca="1">INDIRECT("'数据-取费表'!Ak"&amp;$G$1)</f>
        <v>0.01</v>
      </c>
      <c r="G36" s="1568"/>
      <c r="H36" s="2927"/>
      <c r="I36" s="1582"/>
      <c r="J36" s="1583"/>
      <c r="K36" s="2768"/>
      <c r="L36" s="2927"/>
      <c r="M36" s="2927"/>
    </row>
    <row r="37" spans="1:18" ht="18" customHeight="1">
      <c r="A37" s="1113" t="s">
        <v>1043</v>
      </c>
      <c r="B37" s="308" t="s">
        <v>1417</v>
      </c>
      <c r="C37" s="24">
        <f ca="1">ROUND(C13*F37,1)</f>
        <v>0.5</v>
      </c>
      <c r="D37" s="1528" t="s">
        <v>1418</v>
      </c>
      <c r="E37" s="308" t="s">
        <v>1419</v>
      </c>
      <c r="F37" s="336">
        <f ca="1">INDIRECT("'数据-取费表'!Al"&amp;$G$1)</f>
        <v>1E-3</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-6</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-148</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1441</v>
      </c>
      <c r="F42" s="318">
        <f ca="1">INDIRECT("'数据-取费表'!v"&amp;$G$1)</f>
        <v>0.03</v>
      </c>
      <c r="G42" s="1568"/>
      <c r="H42" s="1353"/>
      <c r="I42" s="1582"/>
      <c r="J42" s="1583"/>
      <c r="K42" s="2768"/>
      <c r="L42" s="1353"/>
      <c r="M42" s="1353"/>
    </row>
    <row r="43" spans="1:18" ht="18" customHeight="1" thickBot="1">
      <c r="A43" s="340" t="s">
        <v>1001</v>
      </c>
      <c r="B43" s="341" t="s">
        <v>1451</v>
      </c>
      <c r="C43" s="342">
        <f ca="1">ROUND(C40*10000/F43,0)</f>
        <v>-1488</v>
      </c>
      <c r="D43" s="343" t="s">
        <v>1452</v>
      </c>
      <c r="E43" s="344" t="s">
        <v>1453</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-670</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3212</v>
      </c>
      <c r="K47" s="1600" t="s">
        <v>1491</v>
      </c>
      <c r="L47" s="1601">
        <f ca="1">INDIRECT("'数据-取费表'!d"&amp;$G$1)</f>
        <v>40</v>
      </c>
      <c r="M47" s="1564" t="str">
        <f>IF(ISNUMBER(FIND("住宅",C1)),"住宅","非住宅")</f>
        <v>非住宅</v>
      </c>
      <c r="O47" s="1602" t="s">
        <v>1008</v>
      </c>
      <c r="P47" s="1603" t="s">
        <v>1492</v>
      </c>
      <c r="Q47" s="1604">
        <f ca="1">C40+J29</f>
        <v>-148</v>
      </c>
      <c r="R47" s="1604" t="s">
        <v>1493</v>
      </c>
    </row>
    <row r="48" spans="1:18" s="1568" customFormat="1" ht="28.5" thickBot="1">
      <c r="A48" s="1270" t="s">
        <v>1103</v>
      </c>
      <c r="B48" s="306" t="s">
        <v>1365</v>
      </c>
      <c r="C48" s="1543">
        <f ca="1">C49+C53+C55</f>
        <v>0</v>
      </c>
      <c r="D48" s="1272"/>
      <c r="E48" s="1273"/>
      <c r="F48" s="1093"/>
      <c r="G48" s="731"/>
      <c r="H48" s="732"/>
      <c r="I48" s="1605" t="s">
        <v>1494</v>
      </c>
      <c r="J48" s="1606" t="s">
        <v>3213</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v>2011</v>
      </c>
      <c r="K49" s="1607" t="s">
        <v>1499</v>
      </c>
      <c r="L49" s="1611"/>
      <c r="O49" s="1612" t="s">
        <v>1010</v>
      </c>
      <c r="P49" s="1603" t="s">
        <v>1500</v>
      </c>
      <c r="Q49" s="1604">
        <f ca="1">C29</f>
        <v>534</v>
      </c>
      <c r="R49" s="1604" t="s">
        <v>1493</v>
      </c>
    </row>
    <row r="50" spans="1:18" s="1568" customFormat="1" ht="13.5" thickBot="1">
      <c r="A50" s="1107"/>
      <c r="B50" s="1110"/>
      <c r="C50" s="1278"/>
      <c r="D50" s="1084"/>
      <c r="E50" s="1187" t="s">
        <v>1370</v>
      </c>
      <c r="F50" s="1188">
        <f ca="1">F7</f>
        <v>994.5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50</v>
      </c>
      <c r="K51" s="1618" t="s">
        <v>1505</v>
      </c>
      <c r="L51" s="1619">
        <f ca="1">ROUND(-PV(INDIRECT("'数据-取费表'!h"&amp;$G$1),J51,(C39-C13*C76),0),0)</f>
        <v>-607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40</v>
      </c>
      <c r="R52" s="1604" t="s">
        <v>1510</v>
      </c>
    </row>
    <row r="53" spans="1:18" s="1568" customFormat="1" ht="24.75" thickBot="1">
      <c r="A53" s="1314" t="s">
        <v>1105</v>
      </c>
      <c r="B53" s="1557" t="s">
        <v>1373</v>
      </c>
      <c r="C53" s="322">
        <f ca="1">ROUND(IF(F53="押一",C49/12*F11,IF(F53="押二",C49/12*2*F11,IF(F53="押三",C49/12*3*F11,C54*F11))),0)</f>
        <v>0</v>
      </c>
      <c r="D53" s="1550" t="s">
        <v>2857</v>
      </c>
      <c r="E53" s="319" t="s">
        <v>1374</v>
      </c>
      <c r="F53" s="1276"/>
      <c r="I53" s="1623" t="s">
        <v>1511</v>
      </c>
      <c r="J53" s="2386">
        <f ca="1">IF(M47="住宅",IF(D1="——",MAX(J51,L48),MAX(J51,L48-'数据-取费表'!B24)),IF(D1="——",MIN(J51,L48),MIN(J51,L48-'数据-取费表'!B24)))</f>
        <v>40</v>
      </c>
      <c r="K53" s="3390" t="s">
        <v>1512</v>
      </c>
      <c r="L53" s="3391"/>
      <c r="O53" s="1602" t="s">
        <v>1014</v>
      </c>
      <c r="P53" s="1603" t="s">
        <v>1513</v>
      </c>
      <c r="Q53" s="1604">
        <f ca="1">Q47+Q48</f>
        <v>-148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454</v>
      </c>
      <c r="D56" s="1631"/>
      <c r="E56" s="1632"/>
      <c r="F56" s="1624"/>
      <c r="I56" s="1633" t="s">
        <v>1518</v>
      </c>
      <c r="J56" s="1634" t="s">
        <v>3203</v>
      </c>
      <c r="K56" s="1605" t="s">
        <v>1519</v>
      </c>
      <c r="L56" s="1608" t="str">
        <f ca="1">IF(L48&lt;J51,"——",L48-J53)</f>
        <v>——</v>
      </c>
      <c r="O56" s="1602" t="s">
        <v>1008</v>
      </c>
      <c r="P56" s="1603" t="s">
        <v>1492</v>
      </c>
      <c r="Q56" s="1604">
        <f ca="1">C40+J29</f>
        <v>-148</v>
      </c>
      <c r="R56" s="1604" t="s">
        <v>1493</v>
      </c>
    </row>
    <row r="57" spans="1:18" s="1568" customFormat="1" ht="24.75" thickBot="1">
      <c r="A57" s="1635"/>
      <c r="B57" s="1081" t="s">
        <v>1442</v>
      </c>
      <c r="C57" s="244">
        <f ca="1">C29</f>
        <v>534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51</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45</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44.86</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-148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5.3</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0.5</v>
      </c>
      <c r="D65" s="1095" t="s">
        <v>1418</v>
      </c>
      <c r="E65" s="1081" t="s">
        <v>1419</v>
      </c>
      <c r="F65" s="336">
        <f t="shared" ca="1" si="0"/>
        <v>1E-3</v>
      </c>
      <c r="I65" s="1646" t="s">
        <v>1543</v>
      </c>
      <c r="J65" s="1647">
        <v>40</v>
      </c>
      <c r="K65" s="1647">
        <v>30</v>
      </c>
      <c r="L65" s="1647">
        <v>50</v>
      </c>
      <c r="M65" s="1649">
        <v>0.02</v>
      </c>
      <c r="O65" s="1602" t="s">
        <v>1008</v>
      </c>
      <c r="P65" s="1603" t="s">
        <v>1544</v>
      </c>
      <c r="Q65" s="1604">
        <f ca="1">C40+J29</f>
        <v>-148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-51</v>
      </c>
      <c r="D67" s="1094" t="s">
        <v>1428</v>
      </c>
      <c r="E67" s="1099"/>
      <c r="F67" s="1100"/>
      <c r="O67" s="1612" t="s">
        <v>1010</v>
      </c>
      <c r="P67" s="1603" t="s">
        <v>1526</v>
      </c>
      <c r="Q67" s="1650">
        <f ca="1">L51</f>
        <v>-607</v>
      </c>
      <c r="R67" s="1604" t="s">
        <v>1546</v>
      </c>
    </row>
    <row r="68" spans="1:18" s="1568" customFormat="1" ht="16.5" thickBot="1">
      <c r="A68" s="1078" t="s">
        <v>1000</v>
      </c>
      <c r="B68" s="1079" t="s">
        <v>1449</v>
      </c>
      <c r="C68" s="307">
        <f ca="1">ROUND(C67*(1-((1+F70)/(1+F68))^F69)/(F68-F70),0)</f>
        <v>-818</v>
      </c>
      <c r="D68" s="1096" t="s">
        <v>1433</v>
      </c>
      <c r="E68" s="1081" t="s">
        <v>1434</v>
      </c>
      <c r="F68" s="318">
        <f ca="1">F40</f>
        <v>5.5E-2</v>
      </c>
      <c r="O68" s="1612" t="s">
        <v>1011</v>
      </c>
      <c r="P68" s="1651" t="s">
        <v>1547</v>
      </c>
      <c r="Q68" s="1604">
        <f ca="1">ROUND(Q69-Q70*Q71,0)</f>
        <v>-33</v>
      </c>
      <c r="R68" s="1604" t="s">
        <v>1019</v>
      </c>
    </row>
    <row r="69" spans="1:18" s="1568" customFormat="1" ht="13.5" thickBot="1">
      <c r="A69" s="1082"/>
      <c r="B69" s="1083"/>
      <c r="C69" s="312"/>
      <c r="D69" s="1101" t="s">
        <v>1437</v>
      </c>
      <c r="E69" s="1081" t="s">
        <v>1438</v>
      </c>
      <c r="F69" s="339">
        <f ca="1">F41</f>
        <v>40</v>
      </c>
      <c r="O69" s="1612" t="s">
        <v>1016</v>
      </c>
      <c r="P69" s="1651" t="s">
        <v>1548</v>
      </c>
      <c r="Q69" s="1604">
        <f ca="1">C39</f>
        <v>-6</v>
      </c>
      <c r="R69" s="1604" t="s">
        <v>1493</v>
      </c>
    </row>
    <row r="70" spans="1:18" s="1568" customFormat="1" ht="13.5" thickBot="1">
      <c r="A70" s="1085"/>
      <c r="B70" s="1086"/>
      <c r="C70" s="316"/>
      <c r="D70" s="1097"/>
      <c r="E70" s="1081" t="s">
        <v>1441</v>
      </c>
      <c r="F70" s="1185"/>
      <c r="O70" s="1612" t="s">
        <v>1017</v>
      </c>
      <c r="P70" s="1651" t="s">
        <v>1549</v>
      </c>
      <c r="Q70" s="1604">
        <f ca="1">C13</f>
        <v>454</v>
      </c>
      <c r="R70" s="1604" t="s">
        <v>1493</v>
      </c>
    </row>
    <row r="71" spans="1:18" s="1568" customFormat="1" ht="13.5" thickBot="1">
      <c r="A71" s="1102" t="s">
        <v>1001</v>
      </c>
      <c r="B71" s="1103" t="s">
        <v>1451</v>
      </c>
      <c r="C71" s="342">
        <f ca="1">ROUND(C68*10000/F71,0)</f>
        <v>-8225</v>
      </c>
      <c r="D71" s="1104" t="s">
        <v>1452</v>
      </c>
      <c r="E71" s="1105" t="s">
        <v>1453</v>
      </c>
      <c r="F71" s="345">
        <f ca="1">F43</f>
        <v>994.5</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27</v>
      </c>
      <c r="D75" s="1568"/>
      <c r="E75" s="1568"/>
      <c r="F75" s="1568"/>
      <c r="K75" s="1586"/>
      <c r="L75" s="1568"/>
      <c r="O75" s="1602" t="s">
        <v>1014</v>
      </c>
      <c r="P75" s="1603" t="s">
        <v>1513</v>
      </c>
      <c r="Q75" s="1604">
        <f ca="1">Q65+Q66</f>
        <v>-148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5.5</v>
      </c>
    </row>
    <row r="80" spans="1:18">
      <c r="B80" s="346" t="s">
        <v>1475</v>
      </c>
      <c r="C80" s="280">
        <f ca="1">ROUND(C75/C39,3)</f>
        <v>-4.5</v>
      </c>
    </row>
    <row r="81" spans="2:3">
      <c r="B81" s="276" t="s">
        <v>1476</v>
      </c>
      <c r="C81" s="244"/>
    </row>
    <row r="82" spans="2:3">
      <c r="B82" s="279" t="s">
        <v>1477</v>
      </c>
      <c r="C82" s="281">
        <f ca="1">1-C83</f>
        <v>4.0679999999999996</v>
      </c>
    </row>
    <row r="83" spans="2:3">
      <c r="B83" s="279" t="s">
        <v>1478</v>
      </c>
      <c r="C83" s="280">
        <f ca="1">ROUND(C13/C40,3)</f>
        <v>-3.0680000000000001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96" workbookViewId="0">
      <selection activeCell="AB132" sqref="AB132"/>
    </sheetView>
  </sheetViews>
  <sheetFormatPr defaultRowHeight="13.5"/>
  <sheetData>
    <row r="1" spans="1:15">
      <c r="A1" s="3135" t="s">
        <v>3218</v>
      </c>
      <c r="O1" t="s">
        <v>3220</v>
      </c>
    </row>
    <row r="55" spans="1:15">
      <c r="O55" t="s">
        <v>3221</v>
      </c>
    </row>
    <row r="56" spans="1:15">
      <c r="A56" s="3135" t="s">
        <v>3217</v>
      </c>
    </row>
    <row r="96" spans="1:1">
      <c r="A96" s="3135"/>
    </row>
    <row r="101" spans="16:16">
      <c r="P101" t="s">
        <v>3222</v>
      </c>
    </row>
    <row r="124" spans="1:1">
      <c r="A124" s="3135" t="s">
        <v>3219</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71" t="str">
        <f>IF(项目基本情况!B9="房地产市场价值","估价结果一览表","结果表-2")</f>
        <v>估价结果一览表</v>
      </c>
      <c r="B1" s="3171"/>
      <c r="C1" s="3171"/>
      <c r="D1" s="3171"/>
      <c r="E1" s="3171"/>
      <c r="F1" s="3171"/>
      <c r="G1" s="3171"/>
      <c r="H1" s="3171"/>
      <c r="I1" s="3171"/>
    </row>
    <row r="2" spans="1:9" ht="30" customHeight="1" thickTop="1">
      <c r="A2" s="3172" t="s">
        <v>1605</v>
      </c>
      <c r="B2" s="3172" t="s">
        <v>1606</v>
      </c>
      <c r="C2" s="3172" t="s">
        <v>1607</v>
      </c>
      <c r="D2" s="3172" t="str">
        <f>结果表!D116</f>
        <v>出让国有建设用地使用权价值</v>
      </c>
      <c r="E2" s="3172"/>
      <c r="F2" s="3172" t="str">
        <f>结果表!F116</f>
        <v>在建建筑物价值</v>
      </c>
      <c r="G2" s="3172"/>
      <c r="H2" s="3172" t="str">
        <f>IF(项目基本情况!B9="房地产市场价值","房地产市场价值","房地产价值")</f>
        <v>房地产市场价值</v>
      </c>
      <c r="I2" s="3172"/>
    </row>
    <row r="3" spans="1:9" ht="15">
      <c r="A3" s="3166"/>
      <c r="B3" s="3166"/>
      <c r="C3" s="3166"/>
      <c r="D3" s="963" t="s">
        <v>1602</v>
      </c>
      <c r="E3" s="963" t="s">
        <v>1608</v>
      </c>
      <c r="F3" s="963" t="s">
        <v>1602</v>
      </c>
      <c r="G3" s="963" t="s">
        <v>1603</v>
      </c>
      <c r="H3" s="963" t="s">
        <v>1602</v>
      </c>
      <c r="I3" s="963" t="s">
        <v>1603</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6" t="s">
        <v>1604</v>
      </c>
      <c r="B5" s="3166"/>
      <c r="C5" s="3166"/>
      <c r="D5" s="3167" t="e">
        <f ca="1">结果表!D119</f>
        <v>#REF!</v>
      </c>
      <c r="E5" s="3167"/>
      <c r="F5" s="3167" t="e">
        <f ca="1">结果表!F119</f>
        <v>#REF!</v>
      </c>
      <c r="G5" s="3167"/>
      <c r="H5" s="3167" t="e">
        <f ca="1">结果表!H119</f>
        <v>#REF!</v>
      </c>
      <c r="I5" s="3167"/>
    </row>
    <row r="6" spans="1:9" ht="15.75">
      <c r="A6" s="3165" t="str">
        <f>结果表!A120</f>
        <v/>
      </c>
      <c r="B6" s="3165"/>
      <c r="C6" s="3165"/>
      <c r="D6" s="3165">
        <f>结果表!D120</f>
        <v>0</v>
      </c>
      <c r="E6" s="3165"/>
      <c r="F6" s="3165"/>
      <c r="G6" s="3165"/>
      <c r="H6" s="3165"/>
      <c r="I6" s="3165"/>
    </row>
    <row r="7" spans="1:9" ht="15">
      <c r="A7" s="3166" t="s">
        <v>1604</v>
      </c>
      <c r="B7" s="3166"/>
      <c r="C7" s="3166"/>
      <c r="D7" s="3168" t="str">
        <f>结果表!D121</f>
        <v>零元整</v>
      </c>
      <c r="E7" s="3169"/>
      <c r="F7" s="3169"/>
      <c r="G7" s="3169"/>
      <c r="H7" s="3169"/>
      <c r="I7" s="3170"/>
    </row>
    <row r="8" spans="1:9" ht="15.75">
      <c r="A8" s="3165" t="str">
        <f>结果表!A122</f>
        <v/>
      </c>
      <c r="B8" s="3165"/>
      <c r="C8" s="3165"/>
      <c r="D8" s="3165" t="e">
        <f ca="1">结果表!D122</f>
        <v>#REF!</v>
      </c>
      <c r="E8" s="3165"/>
      <c r="F8" s="3165"/>
      <c r="G8" s="3165"/>
      <c r="H8" s="3165"/>
      <c r="I8" s="3165"/>
    </row>
    <row r="9" spans="1:9" ht="15">
      <c r="A9" s="3166" t="s">
        <v>1604</v>
      </c>
      <c r="B9" s="3166"/>
      <c r="C9" s="3166"/>
      <c r="D9" s="3167" t="e">
        <f ca="1">结果表!D123</f>
        <v>#REF!</v>
      </c>
      <c r="E9" s="3167"/>
      <c r="F9" s="3167"/>
      <c r="G9" s="3167"/>
      <c r="H9" s="3167"/>
      <c r="I9" s="3167"/>
    </row>
    <row r="10" spans="1:9" ht="15.75">
      <c r="A10" s="3165" t="str">
        <f>结果表!A124</f>
        <v/>
      </c>
      <c r="B10" s="3165"/>
      <c r="C10" s="3165"/>
      <c r="D10" s="3165" t="str">
        <f>结果表!D124</f>
        <v>——</v>
      </c>
      <c r="E10" s="3165"/>
      <c r="F10" s="3165"/>
      <c r="G10" s="3165"/>
      <c r="H10" s="3165"/>
      <c r="I10" s="3165"/>
    </row>
    <row r="11" spans="1:9" ht="15">
      <c r="A11" s="3166" t="s">
        <v>1604</v>
      </c>
      <c r="B11" s="3166"/>
      <c r="C11" s="3166"/>
      <c r="D11" s="3167" t="e">
        <f>结果表!D125</f>
        <v>#VALUE!</v>
      </c>
      <c r="E11" s="3167"/>
      <c r="F11" s="3167"/>
      <c r="G11" s="3167"/>
      <c r="H11" s="3167"/>
      <c r="I11" s="3167"/>
    </row>
    <row r="12" spans="1:9" ht="15.75">
      <c r="A12" s="3165" t="str">
        <f>结果表!A126</f>
        <v/>
      </c>
      <c r="B12" s="3165"/>
      <c r="C12" s="3165"/>
      <c r="D12" s="3165" t="str">
        <f>结果表!D126</f>
        <v>——</v>
      </c>
      <c r="E12" s="3165"/>
      <c r="F12" s="3165"/>
      <c r="G12" s="3165"/>
      <c r="H12" s="3165"/>
      <c r="I12" s="3165"/>
    </row>
    <row r="13" spans="1:9" ht="15.75" thickBot="1">
      <c r="A13" s="3162" t="s">
        <v>1604</v>
      </c>
      <c r="B13" s="3162"/>
      <c r="C13" s="3162"/>
      <c r="D13" s="3163" t="e">
        <f>结果表!D127</f>
        <v>#VALUE!</v>
      </c>
      <c r="E13" s="3163"/>
      <c r="F13" s="3163"/>
      <c r="G13" s="3163"/>
      <c r="H13" s="3163"/>
      <c r="I13" s="3163"/>
    </row>
    <row r="14" spans="1:9" ht="15" thickTop="1">
      <c r="A14" s="3164" t="s">
        <v>1609</v>
      </c>
      <c r="B14" s="3164"/>
      <c r="C14" s="3164"/>
      <c r="D14" s="3164"/>
      <c r="E14" s="3164"/>
      <c r="F14" s="3164"/>
      <c r="G14" s="3164"/>
      <c r="H14" s="3164"/>
      <c r="I14" s="3164"/>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9" t="s">
        <v>1626</v>
      </c>
      <c r="B1" s="3179"/>
      <c r="C1" s="3179"/>
      <c r="D1" s="3179"/>
    </row>
    <row r="2" spans="1:4" ht="18">
      <c r="A2" s="3180" t="s">
        <v>1610</v>
      </c>
      <c r="B2" s="3180"/>
      <c r="C2" s="3180"/>
      <c r="D2" s="3180"/>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80" t="s">
        <v>1616</v>
      </c>
      <c r="B6" s="3180"/>
      <c r="C6" s="3180"/>
      <c r="D6" s="3180"/>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81" t="s">
        <v>1619</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1620</v>
      </c>
      <c r="B16" s="3175"/>
      <c r="C16" s="3175"/>
      <c r="D16" s="3175"/>
    </row>
    <row r="17" spans="1:4" ht="144" customHeight="1">
      <c r="A17" s="3175" t="s">
        <v>1621</v>
      </c>
      <c r="B17" s="3175"/>
      <c r="C17" s="3175"/>
      <c r="D17" s="3175"/>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1622</v>
      </c>
      <c r="B22" s="3177"/>
      <c r="C22" s="3177"/>
      <c r="D22" s="3177"/>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87" t="s">
        <v>1633</v>
      </c>
      <c r="B15" s="3182" t="s">
        <v>136</v>
      </c>
      <c r="C15" s="3183"/>
    </row>
    <row r="16" spans="1:7" ht="13.5">
      <c r="A16" s="3188"/>
      <c r="B16" s="3182" t="s">
        <v>69</v>
      </c>
      <c r="C16" s="3183"/>
    </row>
    <row r="17" spans="1:3" ht="13.5">
      <c r="A17" s="3188"/>
      <c r="B17" s="3185" t="s">
        <v>1634</v>
      </c>
      <c r="C17" s="1717" t="s">
        <v>1633</v>
      </c>
    </row>
    <row r="18" spans="1:3" ht="13.5">
      <c r="A18" s="3188"/>
      <c r="B18" s="3185"/>
      <c r="C18" s="1717" t="s">
        <v>1635</v>
      </c>
    </row>
    <row r="19" spans="1:3" ht="13.5">
      <c r="A19" s="3188"/>
      <c r="B19" s="3185"/>
      <c r="C19" s="1717" t="s">
        <v>1636</v>
      </c>
    </row>
    <row r="20" spans="1:3" ht="13.5">
      <c r="A20" s="3189"/>
      <c r="B20" s="3184" t="s">
        <v>1637</v>
      </c>
      <c r="C20" s="3183"/>
    </row>
    <row r="21" spans="1:3" ht="13.5">
      <c r="A21" s="1718" t="s">
        <v>1638</v>
      </c>
      <c r="B21" s="1719"/>
      <c r="C21" s="1720"/>
    </row>
    <row r="22" spans="1:3" ht="13.5">
      <c r="A22" s="3186" t="s">
        <v>1639</v>
      </c>
      <c r="B22" s="3184" t="s">
        <v>1640</v>
      </c>
      <c r="C22" s="3183"/>
    </row>
    <row r="23" spans="1:3" ht="13.5">
      <c r="A23" s="3186"/>
      <c r="B23" s="3184" t="s">
        <v>1641</v>
      </c>
      <c r="C23" s="3183"/>
    </row>
    <row r="24" spans="1:3" ht="13.5">
      <c r="A24" s="3186"/>
      <c r="B24" s="3184" t="s">
        <v>1642</v>
      </c>
      <c r="C24" s="3183"/>
    </row>
    <row r="25" spans="1:3" ht="13.5">
      <c r="A25" s="3186"/>
      <c r="B25" s="3185" t="s">
        <v>1643</v>
      </c>
      <c r="C25" s="1717" t="s">
        <v>1644</v>
      </c>
    </row>
    <row r="26" spans="1:3" ht="13.5">
      <c r="A26" s="3186"/>
      <c r="B26" s="3185"/>
      <c r="C26" s="1717" t="s">
        <v>1645</v>
      </c>
    </row>
    <row r="27" spans="1:3" ht="13.5">
      <c r="A27" s="3186"/>
      <c r="B27" s="3185"/>
      <c r="C27" s="1717" t="s">
        <v>1646</v>
      </c>
    </row>
    <row r="28" spans="1:3" ht="13.5">
      <c r="A28" s="3186"/>
      <c r="B28" s="3185"/>
      <c r="C28" s="1717" t="s">
        <v>1647</v>
      </c>
    </row>
    <row r="29" spans="1:3" ht="13.5">
      <c r="A29" s="3186"/>
      <c r="B29" s="3185"/>
      <c r="C29" s="1717" t="s">
        <v>1648</v>
      </c>
    </row>
    <row r="30" spans="1:3" ht="13.5">
      <c r="A30" s="3186"/>
      <c r="B30" s="3185"/>
      <c r="C30" s="1717" t="s">
        <v>1649</v>
      </c>
    </row>
    <row r="31" spans="1:3" ht="13.5">
      <c r="A31" s="3186"/>
      <c r="B31" s="3185"/>
      <c r="C31" s="1717" t="s">
        <v>1650</v>
      </c>
    </row>
    <row r="32" spans="1:3" ht="13.5">
      <c r="A32" s="3186"/>
      <c r="B32" s="3185"/>
      <c r="C32" s="1717" t="s">
        <v>1651</v>
      </c>
    </row>
    <row r="33" spans="1:3" ht="13.5">
      <c r="A33" s="3186"/>
      <c r="B33" s="3185"/>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44379</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90" t="s">
        <v>2902</v>
      </c>
      <c r="B17" s="3190"/>
      <c r="C17" s="3190"/>
      <c r="D17" s="3190"/>
      <c r="E17" s="3190"/>
      <c r="F17" s="3190"/>
      <c r="G17" s="3190"/>
      <c r="H17" s="3190"/>
    </row>
    <row r="18" spans="1:8" ht="24" customHeight="1">
      <c r="A18" s="3191" t="s">
        <v>2903</v>
      </c>
      <c r="B18" s="3191"/>
      <c r="C18" s="3191"/>
      <c r="D18" s="2566"/>
      <c r="E18" s="3192" t="s">
        <v>2904</v>
      </c>
      <c r="F18" s="3191"/>
      <c r="G18" s="319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2021-07-02T06:34:48Z</dcterms:modified>
</cp:coreProperties>
</file>