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C:\Users\lenovo\Desktop\"/>
    </mc:Choice>
  </mc:AlternateContent>
  <xr:revisionPtr revIDLastSave="0" documentId="13_ncr:1_{CDC24C21-79F1-4B37-8A9A-DF614FC42362}" xr6:coauthVersionLast="47" xr6:coauthVersionMax="47" xr10:uidLastSave="{00000000-0000-0000-0000-000000000000}"/>
  <bookViews>
    <workbookView xWindow="2652" yWindow="2652" windowWidth="17280" windowHeight="8964"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33" i="79" l="1"/>
  <c r="C33" i="33" l="1"/>
  <c r="I31" i="77" l="1"/>
  <c r="I47" i="79"/>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8" i="77"/>
  <c r="C12" i="77" s="1"/>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c r="H111" i="9"/>
  <c r="D19" i="53" s="1"/>
  <c r="B38" i="72" s="1"/>
  <c r="D126" i="9"/>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D2" i="36"/>
  <c r="F16" i="15"/>
  <c r="E10" i="76"/>
  <c r="F8" i="15"/>
  <c r="E2" i="68"/>
  <c r="E13" i="76"/>
  <c r="M29" i="67"/>
  <c r="D2" i="21"/>
  <c r="D3" i="73"/>
  <c r="F40" i="67"/>
  <c r="D19" i="9"/>
  <c r="M24" i="67"/>
  <c r="D2" i="37"/>
  <c r="F7" i="15"/>
  <c r="F37" i="67"/>
  <c r="F37" i="15"/>
  <c r="M26" i="15"/>
  <c r="B12" i="76"/>
  <c r="F5" i="73"/>
  <c r="M22" i="67"/>
  <c r="C20" i="9"/>
  <c r="F3" i="73"/>
  <c r="M23" i="15"/>
  <c r="M26" i="67"/>
  <c r="B8" i="76"/>
  <c r="D7" i="73"/>
  <c r="D2" i="33"/>
  <c r="E2" i="69"/>
  <c r="M6" i="67"/>
  <c r="M24" i="15"/>
  <c r="AO8" i="1"/>
  <c r="D4" i="73"/>
  <c r="F16" i="67"/>
  <c r="F26" i="67"/>
  <c r="D5" i="73"/>
  <c r="D2" i="35"/>
  <c r="M28" i="15"/>
  <c r="AO9" i="1"/>
  <c r="D35" i="9"/>
  <c r="AO13" i="1"/>
  <c r="F20" i="31"/>
  <c r="M8" i="15"/>
  <c r="B13" i="76"/>
  <c r="M9" i="67"/>
  <c r="B10" i="76"/>
  <c r="F35" i="67"/>
  <c r="F26" i="15"/>
  <c r="AO7" i="1"/>
  <c r="M27" i="15"/>
  <c r="B9" i="76"/>
  <c r="C76" i="15"/>
  <c r="M8" i="67"/>
  <c r="M23" i="67"/>
  <c r="F13" i="15"/>
  <c r="M6" i="15"/>
  <c r="J15" i="15"/>
  <c r="E12" i="76"/>
  <c r="F4" i="73"/>
  <c r="B7" i="76"/>
  <c r="L47" i="15"/>
  <c r="M29" i="15"/>
  <c r="F43" i="67"/>
  <c r="F42" i="67"/>
  <c r="B11" i="76"/>
  <c r="L48" i="15"/>
  <c r="F36" i="15"/>
  <c r="F40" i="15"/>
  <c r="F9" i="67"/>
  <c r="F7" i="73"/>
  <c r="E7" i="76"/>
  <c r="F42" i="15"/>
  <c r="C19" i="9"/>
  <c r="AO12" i="1"/>
  <c r="E9" i="76"/>
  <c r="D6" i="73"/>
  <c r="L47" i="67"/>
  <c r="C76" i="67"/>
  <c r="F6" i="67"/>
  <c r="F38" i="67"/>
  <c r="E11" i="76"/>
  <c r="AO10" i="1"/>
  <c r="F13" i="67"/>
  <c r="M21" i="67"/>
  <c r="D20" i="9"/>
  <c r="F6" i="73"/>
  <c r="AO11" i="1"/>
  <c r="M22" i="15"/>
  <c r="F38" i="15"/>
  <c r="M27" i="67"/>
  <c r="F7" i="67"/>
  <c r="D2" i="34"/>
  <c r="E8" i="76"/>
  <c r="D34" i="9"/>
  <c r="M9" i="15"/>
  <c r="F9" i="15"/>
  <c r="F43" i="15"/>
  <c r="AC23" i="33" l="1"/>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I14" i="74"/>
  <c r="B8" i="74" s="1"/>
  <c r="D127" i="9"/>
  <c r="D13" i="52" s="1"/>
  <c r="D12" i="52"/>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M28" i="67"/>
  <c r="C16" i="67"/>
  <c r="C14" i="67"/>
  <c r="F41" i="67"/>
  <c r="C17" i="67"/>
  <c r="J15" i="67"/>
  <c r="C16" i="15"/>
  <c r="F36" i="67"/>
  <c r="F8" i="67"/>
  <c r="L48" i="67"/>
  <c r="G1" i="73"/>
  <c r="G36" i="43" l="1"/>
  <c r="I36" i="43" s="1"/>
  <c r="L58" i="67"/>
  <c r="Q60" i="67" s="1"/>
  <c r="I54" i="67"/>
  <c r="J53" i="67"/>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52"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AE6" i="1"/>
  <c r="E6" i="76"/>
  <c r="F41" i="15"/>
  <c r="C17" i="15"/>
  <c r="B9" i="71" l="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V48" i="33"/>
  <c r="I48" i="33" s="1"/>
  <c r="G53" i="33" s="1"/>
  <c r="H53" i="33" s="1"/>
  <c r="C29" i="68"/>
  <c r="D27" i="68" s="1"/>
  <c r="C47" i="68"/>
  <c r="D45" i="68" s="1"/>
  <c r="F45" i="68"/>
  <c r="C17" i="4"/>
  <c r="B4" i="52" s="1"/>
  <c r="B43" i="72" s="1"/>
  <c r="D3" i="34"/>
  <c r="L18" i="9"/>
  <c r="D3" i="37"/>
  <c r="D19" i="11"/>
  <c r="C19" i="11" s="1"/>
  <c r="E6" i="6"/>
  <c r="D37" i="11"/>
  <c r="C37" i="11" s="1"/>
  <c r="D14" i="12"/>
  <c r="M18" i="9"/>
  <c r="B118" i="9" s="1"/>
  <c r="B14" i="74" s="1"/>
  <c r="B1" i="74" s="1"/>
  <c r="D3" i="21"/>
  <c r="AC25" i="33"/>
  <c r="W25" i="33"/>
  <c r="AA25" i="33"/>
  <c r="R48" i="33" s="1"/>
  <c r="S25" i="33"/>
  <c r="F69" i="15"/>
  <c r="J29" i="15"/>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B6" i="76"/>
  <c r="C14" i="15"/>
  <c r="R49" i="33" l="1"/>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B2" i="33"/>
  <c r="C24" i="77"/>
  <c r="C35" i="11"/>
  <c r="C38" i="11"/>
  <c r="C38" i="68"/>
  <c r="C35" i="68"/>
  <c r="C15" i="12"/>
  <c r="C12" i="12"/>
  <c r="R19" i="6"/>
  <c r="H27" i="6"/>
  <c r="B3" i="33"/>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19" i="69" l="1"/>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F35" i="15"/>
  <c r="M21"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68" l="1"/>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D37" i="77"/>
  <c r="C38" i="77" s="1"/>
  <c r="C39" i="77" s="1"/>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1" i="68" l="1"/>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57" i="68"/>
  <c r="C56" i="68" s="1"/>
  <c r="C39" i="35"/>
  <c r="B2" i="35" s="1"/>
  <c r="B3" i="35" s="1"/>
  <c r="C38" i="35"/>
  <c r="N63" i="40"/>
  <c r="M65" i="40"/>
  <c r="E43" i="35"/>
  <c r="F43" i="35" s="1"/>
  <c r="E42" i="35"/>
  <c r="F42" i="35" s="1"/>
  <c r="I43" i="35"/>
  <c r="J43" i="35" s="1"/>
  <c r="AO6" i="1"/>
  <c r="B6" i="70" l="1"/>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3" i="72"/>
  <c r="F5" i="52"/>
  <c r="F119" i="9"/>
  <c r="B31" i="72"/>
  <c r="D15" i="53"/>
  <c r="H108" i="9"/>
  <c r="B21" i="72"/>
  <c r="D7" i="53"/>
  <c r="H102" i="9"/>
  <c r="B52" i="72"/>
  <c r="G4" i="52"/>
  <c r="B47" i="72"/>
  <c r="D4" i="52"/>
  <c r="C96" i="9"/>
  <c r="E96" i="9"/>
  <c r="E97" i="9"/>
  <c r="B32" i="72"/>
  <c r="D14" i="53"/>
  <c r="D13" i="53"/>
  <c r="B30" i="72"/>
  <c r="B51" i="72"/>
  <c r="G118" i="9"/>
  <c r="F118" i="9"/>
  <c r="F4" i="52"/>
  <c r="B49" i="72"/>
  <c r="D5" i="52"/>
  <c r="D118" i="9"/>
  <c r="D119" i="9"/>
  <c r="M55" i="9"/>
  <c r="D59" i="9"/>
  <c r="C85" i="9"/>
  <c r="C95" i="9"/>
  <c r="C97" i="9"/>
  <c r="D58" i="9"/>
  <c r="D56" i="9"/>
  <c r="M54" i="9"/>
  <c r="B48" i="72"/>
  <c r="E118" i="9"/>
  <c r="E4" i="52"/>
  <c r="N58" i="9"/>
  <c r="P57" i="9"/>
  <c r="N61" i="9"/>
  <c r="D55" i="9"/>
  <c r="M53" i="9"/>
  <c r="N57" i="9"/>
  <c r="N59" i="9"/>
  <c r="N60" i="9"/>
  <c r="C81" i="9"/>
  <c r="D5" i="74"/>
  <c r="B5" i="74"/>
  <c r="C5" i="74"/>
  <c r="D6" i="74"/>
  <c r="G14" i="74"/>
  <c r="B6" i="74"/>
  <c r="C6" i="74"/>
  <c r="H5" i="52"/>
  <c r="H119" i="9"/>
  <c r="C64" i="9"/>
  <c r="C63" i="9"/>
  <c r="C67" i="9"/>
  <c r="C68" i="9"/>
  <c r="D54" i="9"/>
  <c r="B22" i="72"/>
  <c r="D6" i="53"/>
  <c r="F14" i="74"/>
  <c r="D14" i="74"/>
  <c r="E14" i="74"/>
  <c r="C73" i="9"/>
  <c r="C78" i="9"/>
  <c r="I4" i="52"/>
  <c r="C105" i="9"/>
  <c r="C86" i="9"/>
  <c r="C93" i="9"/>
  <c r="C72" i="9"/>
  <c r="C79" i="9"/>
  <c r="C80" i="9"/>
  <c r="E80" i="9"/>
  <c r="E81" i="9"/>
  <c r="D52" i="9"/>
  <c r="D45" i="9"/>
  <c r="D53" i="9"/>
  <c r="H4" i="52"/>
  <c r="C104" i="9"/>
  <c r="M48" i="9"/>
  <c r="D5" i="53"/>
  <c r="B20" i="72"/>
  <c r="D8" i="5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<sst xmlns="http://schemas.openxmlformats.org/spreadsheetml/2006/main" count="7883" uniqueCount="3289">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</sst>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6.2" thickBot="1">
      <c r="A18" s="1366" t="s">
        <v>1199</v>
      </c>
      <c r="B18" s="1367" t="str">
        <f>'预评函-1'!A24</f>
        <v>本次评估采用的主估价方法为基准地价系数修正法和基准地价系数修正法。</v>
      </c>
    </row>
    <row r="19" spans="1:2" s="1362" customFormat="1" ht="16.2"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994.5</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
      </c>
    </row>
    <row r="58" spans="1:2" s="1362" customFormat="1" ht="16.2"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8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739" t="s">
        <v>832</v>
      </c>
      <c r="C54" s="1736" t="s">
        <v>1248</v>
      </c>
    </row>
    <row r="55" spans="1:4">
      <c r="A55" s="3185"/>
      <c r="B55" s="1739" t="s">
        <v>833</v>
      </c>
      <c r="C55" s="1736" t="s">
        <v>1249</v>
      </c>
    </row>
    <row r="56" spans="1:4">
      <c r="A56" s="3185"/>
      <c r="B56" s="1739" t="s">
        <v>834</v>
      </c>
      <c r="C56" s="1736" t="s">
        <v>1253</v>
      </c>
    </row>
    <row r="57" spans="1:4">
      <c r="A57" s="318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G20" sqref="G20"/>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2915</v>
      </c>
      <c r="B1" s="3186" t="str">
        <f>IF(B10="北京市","北京市",C10)&amp;F10&amp;IF(结果表!G1="在建","出让国有建设用地使用权及在建建筑物",IF(结果表!G1="土地","出让国有建设用地使用权",))&amp;B9&amp;"预评估"</f>
        <v>北京市房地产市场价值预评估</v>
      </c>
      <c r="C1" s="3187"/>
      <c r="D1" s="3187"/>
      <c r="E1" s="3187"/>
      <c r="F1" s="3187"/>
      <c r="G1" s="3187"/>
      <c r="H1" s="3187"/>
      <c r="I1" s="3188"/>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2916</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44341</v>
      </c>
      <c r="C3" s="2598" t="s">
        <v>2918</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8"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8" thickTop="1">
      <c r="A5" s="2603" t="s">
        <v>2920</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2922</v>
      </c>
      <c r="B7" s="2611"/>
      <c r="C7" s="2609"/>
      <c r="D7" s="2610"/>
      <c r="E7" s="2887"/>
      <c r="F7" s="2889"/>
      <c r="G7" s="2889"/>
      <c r="H7" s="2889"/>
      <c r="I7" s="2889"/>
      <c r="J7" s="2665"/>
      <c r="K7" s="2840"/>
      <c r="L7" s="2837"/>
      <c r="M7" s="2837"/>
      <c r="N7" s="2665"/>
      <c r="O7" s="2676"/>
      <c r="P7" s="2665"/>
      <c r="Q7" s="2665"/>
      <c r="R7" s="2665"/>
    </row>
    <row r="8" spans="1:28">
      <c r="A8" s="2612" t="s">
        <v>2923</v>
      </c>
      <c r="B8" s="2613" t="s">
        <v>3200</v>
      </c>
      <c r="C8" s="2614"/>
      <c r="D8" s="3189" t="s">
        <v>2924</v>
      </c>
      <c r="E8" s="2615"/>
      <c r="F8" s="2616"/>
      <c r="G8" s="2888"/>
      <c r="H8" s="2888"/>
      <c r="I8" s="2888"/>
      <c r="J8" s="2665"/>
      <c r="K8" s="2838"/>
      <c r="L8" s="2837"/>
      <c r="M8" s="2837"/>
      <c r="N8" s="2665"/>
      <c r="O8" s="2676"/>
      <c r="P8" s="2665"/>
      <c r="Q8" s="2665"/>
      <c r="R8" s="2665"/>
    </row>
    <row r="9" spans="1:28" ht="13.8" thickBot="1">
      <c r="A9" s="2617" t="s">
        <v>2925</v>
      </c>
      <c r="B9" s="2618" t="s">
        <v>3201</v>
      </c>
      <c r="C9" s="2619"/>
      <c r="D9" s="3190"/>
      <c r="E9" s="2618"/>
      <c r="F9" s="2620"/>
      <c r="G9" s="2890"/>
      <c r="H9" s="2890"/>
      <c r="I9" s="2890"/>
      <c r="J9" s="2665"/>
      <c r="K9" s="2840"/>
      <c r="L9" s="2837"/>
      <c r="M9" s="2837"/>
      <c r="N9" s="2665"/>
      <c r="O9" s="2676"/>
      <c r="P9" s="2665"/>
      <c r="Q9" s="2665"/>
      <c r="R9" s="2665"/>
    </row>
    <row r="10" spans="1:28" ht="25.8" thickTop="1">
      <c r="A10" s="2621" t="s">
        <v>2926</v>
      </c>
      <c r="B10" s="2622" t="s">
        <v>3202</v>
      </c>
      <c r="C10" s="2623" t="s">
        <v>3217</v>
      </c>
      <c r="D10" s="2606"/>
      <c r="E10" s="2624" t="s">
        <v>2927</v>
      </c>
      <c r="F10" s="2891"/>
      <c r="G10" s="2892"/>
      <c r="H10" s="2893"/>
      <c r="I10" s="2894"/>
      <c r="J10" s="2665"/>
      <c r="K10" s="2840"/>
      <c r="L10" s="2837"/>
      <c r="M10" s="2837"/>
      <c r="N10" s="2665"/>
      <c r="O10" s="2676"/>
      <c r="P10" s="2665"/>
      <c r="Q10" s="2665"/>
      <c r="R10" s="2665"/>
    </row>
    <row r="11" spans="1:28">
      <c r="A11" s="2625" t="s">
        <v>2928</v>
      </c>
      <c r="B11" s="2626" t="s">
        <v>3209</v>
      </c>
      <c r="C11" s="2627"/>
      <c r="D11" s="2628"/>
      <c r="E11" s="2594"/>
      <c r="F11" s="2594"/>
      <c r="G11" s="2594"/>
      <c r="H11" s="2594"/>
      <c r="I11" s="2594"/>
      <c r="J11" s="2665"/>
      <c r="K11" s="2840"/>
      <c r="L11" s="2837"/>
      <c r="M11" s="2837"/>
      <c r="N11" s="2665"/>
      <c r="O11" s="2676"/>
      <c r="P11" s="2665"/>
      <c r="Q11" s="2665"/>
      <c r="R11" s="2665"/>
    </row>
    <row r="12" spans="1:28">
      <c r="A12" s="2629" t="s">
        <v>2929</v>
      </c>
      <c r="B12" s="2626" t="s">
        <v>3216</v>
      </c>
      <c r="C12" s="329" t="s">
        <v>2930</v>
      </c>
      <c r="D12" s="2630" t="s">
        <v>2931</v>
      </c>
      <c r="E12" s="2630" t="s">
        <v>2932</v>
      </c>
      <c r="F12" s="2630" t="s">
        <v>2933</v>
      </c>
      <c r="G12" s="2630" t="s">
        <v>2934</v>
      </c>
      <c r="H12" s="2630" t="s">
        <v>2935</v>
      </c>
      <c r="I12" s="2630" t="s">
        <v>2936</v>
      </c>
      <c r="J12" s="2665"/>
      <c r="K12" s="2840"/>
      <c r="L12" s="2837"/>
      <c r="M12" s="2837"/>
      <c r="N12" s="2665"/>
      <c r="O12" s="2676"/>
      <c r="P12" s="2665"/>
      <c r="Q12" s="2665"/>
      <c r="R12" s="2665"/>
    </row>
    <row r="13" spans="1:28">
      <c r="A13" s="1241"/>
      <c r="B13" s="2631"/>
      <c r="C13" s="2632" t="s">
        <v>2937</v>
      </c>
      <c r="D13" s="965"/>
      <c r="E13" s="965"/>
      <c r="F13" s="965"/>
      <c r="G13" s="965"/>
      <c r="H13" s="965"/>
      <c r="I13" s="965"/>
      <c r="J13" s="2665"/>
      <c r="K13" s="2840"/>
      <c r="L13" s="2837"/>
      <c r="M13" s="2837"/>
      <c r="N13" s="2665"/>
      <c r="O13" s="2676"/>
      <c r="P13" s="2665"/>
      <c r="Q13" s="2665"/>
      <c r="R13" s="2665"/>
    </row>
    <row r="14" spans="1:28">
      <c r="A14" s="1241"/>
      <c r="B14" s="2631"/>
      <c r="C14" s="2632" t="s">
        <v>2938</v>
      </c>
      <c r="D14" s="2633"/>
      <c r="E14" s="2633">
        <v>40</v>
      </c>
      <c r="F14" s="2633"/>
      <c r="G14" s="2633"/>
      <c r="H14" s="2633"/>
      <c r="I14" s="2633"/>
      <c r="J14" s="2665"/>
      <c r="K14" s="2841"/>
      <c r="L14" s="2837"/>
      <c r="M14" s="2837"/>
      <c r="N14" s="2665"/>
      <c r="O14" s="2676"/>
      <c r="P14" s="2665"/>
      <c r="Q14" s="2665"/>
      <c r="R14" s="2665"/>
    </row>
    <row r="15" spans="1:28">
      <c r="A15" s="326"/>
      <c r="B15" s="2634"/>
      <c r="C15" s="2635" t="s">
        <v>2939</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2940</v>
      </c>
      <c r="B16" s="3196"/>
      <c r="C16" s="3197"/>
      <c r="D16" s="3198"/>
      <c r="E16" s="2639" t="s">
        <v>2941</v>
      </c>
      <c r="F16" s="3199"/>
      <c r="G16" s="3200"/>
      <c r="H16" s="3200"/>
      <c r="I16" s="3201"/>
      <c r="J16" s="2665"/>
      <c r="K16" s="2842"/>
      <c r="L16" s="2677"/>
      <c r="M16" s="2677"/>
      <c r="N16" s="2733"/>
      <c r="O16" s="2677"/>
      <c r="P16" s="2733"/>
      <c r="Q16" s="2665"/>
      <c r="R16" s="2665"/>
    </row>
    <row r="17" spans="1:28">
      <c r="A17" s="319" t="s">
        <v>2942</v>
      </c>
      <c r="B17" s="308" t="s">
        <v>2943</v>
      </c>
      <c r="C17" s="11">
        <f>'数据-汇总表'!E3</f>
        <v>994.5</v>
      </c>
      <c r="D17" s="2545" t="s">
        <v>2944</v>
      </c>
      <c r="E17" s="3202" t="s">
        <v>2945</v>
      </c>
      <c r="F17" s="3203"/>
      <c r="G17" s="3203"/>
      <c r="H17" s="3203"/>
      <c r="I17" s="3204"/>
      <c r="J17" s="2665"/>
      <c r="K17" s="2843"/>
      <c r="L17" s="2677"/>
      <c r="M17" s="2677"/>
      <c r="N17" s="2733"/>
      <c r="O17" s="2677"/>
      <c r="P17" s="2733"/>
      <c r="Q17" s="2665"/>
      <c r="R17" s="2665"/>
      <c r="S17" s="2665"/>
      <c r="T17" s="2665"/>
      <c r="U17" s="2665"/>
      <c r="V17" s="2665"/>
    </row>
    <row r="18" spans="1:28" ht="24.6" thickBot="1">
      <c r="A18" s="2640" t="s">
        <v>2946</v>
      </c>
      <c r="B18" s="1250" t="s">
        <v>2947</v>
      </c>
      <c r="C18" s="2641">
        <f>'数据-汇总表'!D3</f>
        <v>0</v>
      </c>
      <c r="D18" s="1252" t="s">
        <v>2948</v>
      </c>
      <c r="E18" s="3205" t="s">
        <v>2949</v>
      </c>
      <c r="F18" s="3206"/>
      <c r="G18" s="3206"/>
      <c r="H18" s="3206"/>
      <c r="I18" s="3207"/>
      <c r="J18" s="2665"/>
      <c r="K18" s="2843"/>
      <c r="L18" s="2677"/>
      <c r="M18" s="2677"/>
      <c r="N18" s="2733"/>
      <c r="O18" s="2677"/>
      <c r="P18" s="2733"/>
      <c r="Q18" s="2665"/>
      <c r="R18" s="2665"/>
      <c r="S18" s="2665"/>
      <c r="T18" s="2665"/>
      <c r="U18" s="2665"/>
      <c r="V18" s="2665"/>
    </row>
    <row r="19" spans="1:28" ht="37.200000000000003" thickTop="1" thickBot="1">
      <c r="A19" s="333" t="s">
        <v>1741</v>
      </c>
      <c r="B19" s="313" t="s">
        <v>2950</v>
      </c>
      <c r="C19" s="1748"/>
      <c r="D19" s="1749" t="s">
        <v>2951</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2952</v>
      </c>
      <c r="B20" s="3192" t="s">
        <v>2953</v>
      </c>
      <c r="C20" s="3193"/>
      <c r="D20" s="3194" t="s">
        <v>2954</v>
      </c>
      <c r="E20" s="3195"/>
      <c r="F20" s="2872" t="s">
        <v>1742</v>
      </c>
      <c r="G20" s="2889"/>
      <c r="H20" s="2889"/>
      <c r="I20" s="2889"/>
      <c r="J20" s="2665"/>
      <c r="K20" s="319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7"/>
      <c r="B21" s="2858" t="s">
        <v>2956</v>
      </c>
      <c r="C21" s="2859" t="s">
        <v>1743</v>
      </c>
      <c r="D21" s="1753" t="s">
        <v>2957</v>
      </c>
      <c r="E21" s="2860" t="s">
        <v>1743</v>
      </c>
      <c r="F21" s="2873"/>
      <c r="G21" s="2889"/>
      <c r="H21" s="2889"/>
      <c r="I21" s="2889"/>
      <c r="J21" s="2665"/>
      <c r="K21" s="31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36.6" thickBot="1">
      <c r="A22" s="2857"/>
      <c r="B22" s="2861" t="s">
        <v>2958</v>
      </c>
      <c r="C22" s="2859" t="s">
        <v>1744</v>
      </c>
      <c r="D22" s="2888"/>
      <c r="E22" s="2888"/>
      <c r="F22" s="2888"/>
      <c r="G22" s="2889"/>
      <c r="H22" s="2889"/>
      <c r="I22" s="2889"/>
      <c r="J22" s="2665"/>
      <c r="K22" s="31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8"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8" thickTop="1">
      <c r="A27" s="3209" t="s">
        <v>2961</v>
      </c>
      <c r="B27" s="326" t="s">
        <v>2962</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209"/>
      <c r="B28" s="308" t="s">
        <v>2963</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209"/>
      <c r="B29" s="308" t="s">
        <v>2964</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210"/>
      <c r="B30" s="308" t="s">
        <v>2965</v>
      </c>
      <c r="C30" s="3211"/>
      <c r="D30" s="3212"/>
      <c r="E30" s="2889"/>
      <c r="F30" s="2889"/>
      <c r="G30" s="2889"/>
      <c r="H30" s="2889"/>
      <c r="I30" s="2889"/>
      <c r="J30" s="2665"/>
      <c r="K30" s="2840"/>
      <c r="L30" s="2837"/>
      <c r="M30" s="2837"/>
      <c r="N30" s="2665"/>
      <c r="O30" s="2676"/>
      <c r="P30" s="2665"/>
      <c r="Q30" s="2665"/>
      <c r="R30" s="2665"/>
      <c r="S30" s="2665"/>
      <c r="T30" s="2665"/>
      <c r="U30" s="2665"/>
      <c r="V30" s="2665"/>
    </row>
    <row r="31" spans="1:28">
      <c r="A31" s="3213" t="s">
        <v>2966</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14"/>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14"/>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2967</v>
      </c>
      <c r="B34" s="2214"/>
      <c r="C34" s="2214"/>
      <c r="D34" s="2214"/>
      <c r="E34" s="2214"/>
      <c r="F34" s="2214"/>
      <c r="G34" s="2214"/>
      <c r="H34" s="2214"/>
      <c r="I34" s="2889"/>
      <c r="J34" s="2665"/>
      <c r="K34" s="2653">
        <f>COUNTIF(B34:H34,"——")</f>
        <v>0</v>
      </c>
      <c r="L34" s="329" t="s">
        <v>2968</v>
      </c>
      <c r="M34" s="329" t="s">
        <v>2969</v>
      </c>
      <c r="N34" s="329" t="s">
        <v>2970</v>
      </c>
      <c r="O34" s="329" t="s">
        <v>2971</v>
      </c>
      <c r="P34" s="329" t="s">
        <v>2972</v>
      </c>
      <c r="Q34" s="329" t="s">
        <v>2973</v>
      </c>
      <c r="R34" s="329" t="s">
        <v>2974</v>
      </c>
      <c r="S34" s="3208" t="s">
        <v>2975</v>
      </c>
      <c r="T34" s="2654" t="str">
        <f>NUMBERSTRING(7-K34,1)&amp;"通"</f>
        <v>七通</v>
      </c>
      <c r="U34" s="2665"/>
      <c r="V34" s="2665"/>
    </row>
    <row r="35" spans="1:30" ht="26.4">
      <c r="A35" s="2655"/>
      <c r="B35" s="3215" t="s">
        <v>2976</v>
      </c>
      <c r="C35" s="3215"/>
      <c r="D35" s="3215"/>
      <c r="E35" s="3215"/>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08"/>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5"/>
      <c r="G36" s="2889"/>
      <c r="H36" s="2889"/>
      <c r="I36" s="2889"/>
      <c r="J36" s="2665"/>
      <c r="K36" s="2840"/>
      <c r="L36" s="2837"/>
      <c r="M36" s="2837"/>
      <c r="N36" s="2665"/>
      <c r="O36" s="2676"/>
      <c r="P36" s="2665"/>
      <c r="Q36" s="2665"/>
      <c r="R36" s="2665"/>
      <c r="S36" s="2665"/>
      <c r="T36" s="2665"/>
      <c r="U36" s="2665"/>
      <c r="V36" s="2665"/>
    </row>
    <row r="37" spans="1:30">
      <c r="A37" s="2855" t="s">
        <v>2977</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8" thickBot="1">
      <c r="A38" s="2856" t="s">
        <v>2978</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4" thickTop="1" thickBot="1">
      <c r="A39" s="2659" t="s">
        <v>2979</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2980</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2">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c r="B3" s="14">
        <f>IF(C3="否",G5-AT5,G5)</f>
        <v>994.5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1757</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1777</v>
      </c>
      <c r="I9" s="1788" t="s">
        <v>3203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3.2">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3204</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46.8">
      <c r="A3" s="3216"/>
      <c r="B3" s="3216"/>
      <c r="C3" s="3216"/>
      <c r="D3" s="3217"/>
      <c r="E3" s="321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4"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1816</v>
      </c>
      <c r="B1" s="1301"/>
      <c r="C1" s="1301"/>
      <c r="D1" s="1301"/>
      <c r="E1" s="1301"/>
      <c r="F1" s="1301"/>
      <c r="G1" s="1301"/>
      <c r="H1" s="1301"/>
      <c r="I1" s="1301"/>
      <c r="J1" s="1301"/>
      <c r="K1" s="1301"/>
      <c r="L1" s="1301"/>
      <c r="M1" s="1301"/>
      <c r="N1" s="1301"/>
      <c r="O1" s="1301"/>
      <c r="P1" s="1301"/>
    </row>
    <row r="2" spans="1:16" ht="14.4">
      <c r="A2" s="3227" t="s">
        <v>1817</v>
      </c>
      <c r="B2" s="3227"/>
      <c r="C2" s="3227"/>
      <c r="D2" s="904" t="s">
        <v>1793</v>
      </c>
      <c r="E2" s="1824" t="s">
        <v>1794</v>
      </c>
      <c r="F2" s="2884"/>
      <c r="G2" s="2875"/>
      <c r="H2" s="2876"/>
      <c r="I2" s="2548" t="s">
        <v>1818</v>
      </c>
      <c r="J2" s="2884"/>
      <c r="K2" s="2884"/>
      <c r="L2" s="2884"/>
      <c r="M2" s="2884"/>
      <c r="N2" s="2886"/>
      <c r="O2" s="2884"/>
      <c r="P2" s="2884"/>
    </row>
    <row r="3" spans="1:16" ht="15" thickBot="1">
      <c r="A3" s="3228" t="s">
        <v>1791</v>
      </c>
      <c r="B3" s="3228"/>
      <c r="C3" s="3228"/>
      <c r="D3" s="46">
        <f>'数据-基础表'!AY6</f>
        <v>0</v>
      </c>
      <c r="E3" s="46">
        <f>'数据-基础表'!AZ5</f>
        <v>994.5</v>
      </c>
      <c r="F3" s="2884"/>
      <c r="G3" s="1307"/>
      <c r="H3" s="1157" t="s">
        <v>1792</v>
      </c>
      <c r="I3" s="964" t="e">
        <f>ROUND('数据-基础表'!B3/'数据-基础表'!A3,2)</f>
        <v>#DIV/0!</v>
      </c>
      <c r="J3" s="2884"/>
      <c r="K3" s="2884"/>
      <c r="L3" s="2884"/>
      <c r="M3" s="2884"/>
      <c r="N3" s="2886"/>
      <c r="O3" s="2884"/>
      <c r="P3" s="2884"/>
    </row>
    <row r="4" spans="1:16" ht="14.4">
      <c r="A4" s="3229"/>
      <c r="B4" s="3230"/>
      <c r="C4" s="3231"/>
      <c r="D4" s="1826" t="s">
        <v>1793</v>
      </c>
      <c r="E4" s="1827" t="s">
        <v>1794</v>
      </c>
      <c r="F4" s="2884"/>
      <c r="G4" s="2877" t="s">
        <v>1819</v>
      </c>
      <c r="H4" s="1157" t="s">
        <v>1799</v>
      </c>
      <c r="I4" s="964" t="e">
        <f>ROUND(SUMIF('数据-基础表'!I9:AS9,"地上",'数据-基础表'!I5:AS5)/'数据-基础表'!A3,2)</f>
        <v>#DIV/0!</v>
      </c>
      <c r="J4" s="2884"/>
      <c r="K4" s="2884"/>
      <c r="L4" s="2884"/>
      <c r="M4" s="2884"/>
      <c r="N4" s="2886"/>
      <c r="O4" s="2884"/>
      <c r="P4" s="2884"/>
    </row>
    <row r="5" spans="1:16" ht="14.4">
      <c r="A5" s="47" t="s">
        <v>1795</v>
      </c>
      <c r="B5" s="3232" t="s">
        <v>1796</v>
      </c>
      <c r="C5" s="3232"/>
      <c r="D5" s="48">
        <f>ROUND($D$3*E5/$E$3,2)</f>
        <v>0</v>
      </c>
      <c r="E5" s="49">
        <f>SUMIF('数据-基础表'!$11:$11,"住宅",'数据-基础表'!$5:$5)</f>
        <v>0</v>
      </c>
      <c r="F5" s="2884"/>
      <c r="G5" s="1307"/>
      <c r="H5" s="1157" t="s">
        <v>1792</v>
      </c>
      <c r="I5" s="964" t="e">
        <f>ROUND(E31/D31,2)</f>
        <v>#DIV/0!</v>
      </c>
      <c r="J5" s="2884"/>
      <c r="K5" s="2884"/>
      <c r="L5" s="2884"/>
      <c r="M5" s="2884"/>
      <c r="N5" s="2884"/>
      <c r="O5" s="2884"/>
      <c r="P5" s="2884"/>
    </row>
    <row r="6" spans="1:16" ht="15" thickBot="1">
      <c r="A6" s="1829"/>
      <c r="B6" s="3232" t="s">
        <v>1797</v>
      </c>
      <c r="C6" s="3232"/>
      <c r="D6" s="48">
        <f>ROUND($D$3*E6/$E$3,2)</f>
        <v>0</v>
      </c>
      <c r="E6" s="49">
        <f>E3-E5</f>
        <v>994.5</v>
      </c>
      <c r="F6" s="2884"/>
      <c r="G6" s="2878" t="s">
        <v>1798</v>
      </c>
      <c r="H6" s="1308" t="s">
        <v>1799</v>
      </c>
      <c r="I6" s="2879" t="e">
        <f>ROUND(F31/D31,2)</f>
        <v>#DIV/0!</v>
      </c>
      <c r="J6" s="2884"/>
      <c r="K6" s="2884"/>
      <c r="L6" s="2884"/>
      <c r="M6" s="2884"/>
      <c r="N6" s="2884"/>
      <c r="O6" s="2884"/>
      <c r="P6" s="2884"/>
    </row>
    <row r="7" spans="1:16" ht="15" thickBot="1">
      <c r="A7" s="3224"/>
      <c r="B7" s="3225"/>
      <c r="C7" s="3226"/>
      <c r="D7" s="1826" t="s">
        <v>1793</v>
      </c>
      <c r="E7" s="1830" t="s">
        <v>1800</v>
      </c>
      <c r="F7" s="2884"/>
      <c r="G7" s="2880" t="s">
        <v>1801</v>
      </c>
      <c r="H7" s="2881"/>
      <c r="I7" s="2882"/>
      <c r="J7" s="2884"/>
      <c r="K7" s="2884"/>
      <c r="L7" s="2884"/>
      <c r="M7" s="2884"/>
      <c r="N7" s="2884"/>
      <c r="O7" s="2884"/>
      <c r="P7" s="2884"/>
    </row>
    <row r="8" spans="1:16" ht="14.4">
      <c r="A8" s="47" t="s">
        <v>1802</v>
      </c>
      <c r="B8" s="50" t="s">
        <v>1803</v>
      </c>
      <c r="C8" s="48" t="s">
        <v>1804</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ht="14.4">
      <c r="A9" s="1831"/>
      <c r="B9" s="1832"/>
      <c r="C9" s="48" t="s">
        <v>1805</v>
      </c>
      <c r="D9" s="48">
        <f t="shared" si="0"/>
        <v>0</v>
      </c>
      <c r="E9" s="52">
        <v>0</v>
      </c>
      <c r="F9" s="2884"/>
      <c r="G9" s="2885"/>
      <c r="H9" s="2885"/>
      <c r="I9" s="2884"/>
      <c r="J9" s="2884"/>
      <c r="K9" s="2884"/>
      <c r="L9" s="2884"/>
      <c r="M9" s="2884"/>
      <c r="N9" s="2884"/>
      <c r="O9" s="2884"/>
      <c r="P9" s="2884"/>
    </row>
    <row r="10" spans="1:16" ht="14.4">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ht="14.4">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ht="14.4">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ht="14.4">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ht="14.4">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 thickBot="1">
      <c r="A16" s="1829"/>
      <c r="B16" s="1832"/>
      <c r="C16" s="50" t="s">
        <v>1809</v>
      </c>
      <c r="D16" s="50">
        <f>SUM(D8:D15)</f>
        <v>0</v>
      </c>
      <c r="E16" s="53">
        <f>SUM(E8:E15)</f>
        <v>994.5</v>
      </c>
      <c r="F16" s="2884"/>
      <c r="G16" s="2885"/>
      <c r="H16" s="1833" t="s">
        <v>1821</v>
      </c>
      <c r="I16" s="1834"/>
      <c r="J16" s="1301"/>
      <c r="K16" s="3221" t="s">
        <v>1821</v>
      </c>
      <c r="L16" s="3222"/>
      <c r="M16" s="3222"/>
      <c r="N16" s="3222"/>
      <c r="O16" s="3222"/>
      <c r="P16" s="3223"/>
    </row>
    <row r="17" spans="1:19" ht="14.4">
      <c r="A17" s="1835" t="s">
        <v>1822</v>
      </c>
      <c r="B17" s="1836" t="s">
        <v>1823</v>
      </c>
      <c r="C17" s="1837" t="s">
        <v>1824</v>
      </c>
      <c r="D17" s="1838" t="s">
        <v>1812</v>
      </c>
      <c r="E17" s="1839" t="s">
        <v>1813</v>
      </c>
      <c r="F17" s="1840"/>
      <c r="G17" s="1841"/>
      <c r="H17" s="1842" t="s">
        <v>1825</v>
      </c>
      <c r="I17" s="1843" t="s">
        <v>1810</v>
      </c>
      <c r="J17" s="1301"/>
      <c r="K17" s="3218" t="s">
        <v>1826</v>
      </c>
      <c r="L17" s="3219"/>
      <c r="M17" s="3220"/>
      <c r="N17" s="3218" t="s">
        <v>1827</v>
      </c>
      <c r="O17" s="3219"/>
      <c r="P17" s="3220"/>
      <c r="R17" s="1825" t="s">
        <v>1828</v>
      </c>
      <c r="S17" s="60"/>
    </row>
    <row r="18" spans="1:19" ht="14.4">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ht="14.4">
      <c r="A19" s="1852"/>
      <c r="B19" s="50" t="s">
        <v>1811</v>
      </c>
      <c r="C19" s="3136" t="s">
        <v>3205</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ht="14.4">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ht="14.4">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1840</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ht="14.4">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ht="14.4">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4.4">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 thickBot="1">
      <c r="A31" s="1862"/>
      <c r="B31" s="1863"/>
      <c r="C31" s="944" t="s">
        <v>1844</v>
      </c>
      <c r="D31" s="685">
        <f>D27+D30</f>
        <v>0</v>
      </c>
      <c r="E31" s="685">
        <f>E27+E30</f>
        <v>994.5</v>
      </c>
      <c r="F31" s="686">
        <f>F27+F30</f>
        <v>994.5</v>
      </c>
      <c r="G31" s="687">
        <f>G27+G30</f>
        <v>0</v>
      </c>
      <c r="H31" s="2884"/>
      <c r="I31" s="2884"/>
      <c r="J31" s="2884"/>
      <c r="K31" s="2884"/>
      <c r="L31" s="2884"/>
      <c r="M31" s="2884"/>
      <c r="N31" s="2884"/>
      <c r="O31" s="2884"/>
      <c r="P31" s="2884"/>
    </row>
    <row r="32" spans="1:19" ht="14.4">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 thickBot="1">
      <c r="A2" s="1869" t="s">
        <v>1847</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3210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商业</v>
      </c>
      <c r="B6" s="1899" t="str">
        <f>IF(A6=0,"","经营性")</f>
        <v>经营性</v>
      </c>
      <c r="C6" s="1900"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3190</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4">
      <c r="A19" s="1908"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4">
      <c r="A20" s="1909" t="s">
        <v>1898</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4">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4">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4">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4.4"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8.8">
      <c r="A27" s="1913" t="s">
        <v>1906</v>
      </c>
      <c r="B27" s="112">
        <v>160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0.04</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4">
      <c r="A37" s="1917"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4">
      <c r="A38" s="1915"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4">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8.2" thickBot="1">
      <c r="A40" s="3044" t="s">
        <v>3211</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4">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4">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4">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4">
      <c r="A44" s="1920" t="s">
        <v>1922</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4">
      <c r="A45" s="1920"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4">
      <c r="A46" s="1920"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4">
      <c r="A48" s="1922"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4">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4">
      <c r="A52" s="1923" t="s">
        <v>1930</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8.8">
      <c r="A53" s="1915" t="s">
        <v>1931</v>
      </c>
      <c r="B53" s="1924"/>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4">
      <c r="A54" s="1925"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4">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4">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4">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4">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4">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4">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4">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4">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872" customWidth="1"/>
    <col min="2" max="2" width="24.44140625" style="1757" customWidth="1"/>
    <col min="3" max="3" width="24.44140625" style="2734" customWidth="1"/>
    <col min="4" max="4" width="2.6640625" style="2734" customWidth="1"/>
    <col min="5" max="5" width="5.88671875" style="2734" customWidth="1"/>
    <col min="6" max="6" width="27" style="1757" customWidth="1"/>
    <col min="7" max="7" width="27" style="2735" customWidth="1"/>
    <col min="8" max="8" width="11.88671875" style="2715" customWidth="1"/>
    <col min="9" max="9" width="16.77734375" style="2716" customWidth="1"/>
    <col min="10" max="10" width="2.6640625" style="2715" customWidth="1"/>
    <col min="11" max="11" width="11.88671875" style="2715" customWidth="1"/>
    <col min="12" max="12" width="16.77734375" style="2716" customWidth="1"/>
    <col min="13" max="13" width="2.6640625" style="2715" customWidth="1"/>
    <col min="14" max="14" width="11.88671875" style="2715" customWidth="1"/>
    <col min="15" max="15" width="16.77734375" style="2716" customWidth="1"/>
    <col min="16" max="16" width="2.6640625" style="2715" customWidth="1"/>
    <col min="17" max="17" width="11.88671875" style="2715" customWidth="1"/>
    <col min="18" max="18" width="16.77734375" style="2717" customWidth="1"/>
    <col min="19" max="29" width="9" style="907"/>
    <col min="30" max="16384" width="9" style="1872"/>
  </cols>
  <sheetData>
    <row r="1" spans="1:29" s="2683" customFormat="1" ht="18" thickBot="1">
      <c r="A1" s="3233" t="s">
        <v>3030</v>
      </c>
      <c r="B1" s="3234"/>
      <c r="C1" s="3234"/>
      <c r="D1" s="3234"/>
      <c r="E1" s="3234"/>
      <c r="F1" s="3234"/>
      <c r="G1" s="323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3026</v>
      </c>
      <c r="D2" s="2687"/>
      <c r="E2" s="2684"/>
      <c r="F2" s="2688"/>
      <c r="G2" s="2686" t="s">
        <v>3027</v>
      </c>
      <c r="H2" s="907"/>
      <c r="I2" s="907"/>
      <c r="J2" s="907"/>
      <c r="K2" s="907"/>
      <c r="L2" s="907"/>
      <c r="M2" s="907"/>
      <c r="N2" s="907"/>
      <c r="O2" s="907"/>
      <c r="P2" s="907"/>
      <c r="Q2" s="907"/>
      <c r="R2" s="907"/>
    </row>
    <row r="3" spans="1:29" ht="51" hidden="1" thickBot="1">
      <c r="A3" s="2667" t="s">
        <v>3028</v>
      </c>
      <c r="B3" s="2689" t="s">
        <v>2999</v>
      </c>
      <c r="C3" s="3529" t="s">
        <v>3283</v>
      </c>
      <c r="D3" s="2690"/>
      <c r="E3" s="2668" t="s">
        <v>3028</v>
      </c>
      <c r="F3" s="2691" t="s">
        <v>3000</v>
      </c>
      <c r="G3" s="2692" t="s">
        <v>3029</v>
      </c>
      <c r="H3" s="907"/>
      <c r="I3" s="907"/>
      <c r="J3" s="907"/>
      <c r="K3" s="907"/>
      <c r="L3" s="907"/>
      <c r="M3" s="907"/>
      <c r="N3" s="907"/>
      <c r="O3" s="907"/>
      <c r="P3" s="907"/>
      <c r="Q3" s="907"/>
      <c r="R3" s="907"/>
    </row>
    <row r="4" spans="1:29" ht="51" thickBot="1">
      <c r="A4" s="2668"/>
      <c r="B4" s="329" t="s">
        <v>3001</v>
      </c>
      <c r="C4" s="3529" t="s">
        <v>3283</v>
      </c>
      <c r="D4" s="2690"/>
      <c r="E4" s="2694"/>
      <c r="F4" s="1557" t="s">
        <v>3002</v>
      </c>
      <c r="G4" s="2695" t="s">
        <v>3003</v>
      </c>
      <c r="H4" s="907"/>
      <c r="I4" s="907"/>
      <c r="J4" s="907"/>
      <c r="K4" s="907"/>
      <c r="L4" s="907"/>
      <c r="M4" s="907"/>
      <c r="N4" s="907"/>
      <c r="O4" s="907"/>
      <c r="P4" s="907"/>
      <c r="Q4" s="907"/>
      <c r="R4" s="907"/>
    </row>
    <row r="5" spans="1:29" ht="37.200000000000003" hidden="1">
      <c r="A5" s="2668"/>
      <c r="B5" s="329" t="s">
        <v>3004</v>
      </c>
      <c r="C5" s="2693" t="s">
        <v>3005</v>
      </c>
      <c r="D5" s="2690"/>
      <c r="E5" s="2694"/>
      <c r="F5" s="329" t="s">
        <v>3006</v>
      </c>
      <c r="G5" s="2695" t="s">
        <v>3007</v>
      </c>
      <c r="H5" s="907"/>
      <c r="I5" s="907"/>
      <c r="J5" s="907"/>
      <c r="K5" s="907"/>
      <c r="L5" s="907"/>
      <c r="M5" s="907"/>
      <c r="N5" s="907"/>
      <c r="O5" s="907"/>
      <c r="P5" s="907"/>
      <c r="Q5" s="907"/>
      <c r="R5" s="907"/>
    </row>
    <row r="6" spans="1:29" ht="63">
      <c r="A6" s="2668"/>
      <c r="B6" s="329" t="s">
        <v>3008</v>
      </c>
      <c r="C6" s="3530" t="s">
        <v>3285</v>
      </c>
      <c r="D6" s="2690"/>
      <c r="E6" s="2694"/>
      <c r="F6" s="329" t="s">
        <v>3009</v>
      </c>
      <c r="G6" s="2695" t="s">
        <v>3010</v>
      </c>
      <c r="H6" s="907"/>
      <c r="I6" s="907"/>
      <c r="J6" s="907"/>
      <c r="K6" s="907"/>
      <c r="L6" s="907"/>
      <c r="M6" s="907"/>
      <c r="N6" s="907"/>
      <c r="O6" s="907"/>
      <c r="P6" s="907"/>
      <c r="Q6" s="907"/>
      <c r="R6" s="907"/>
    </row>
    <row r="7" spans="1:29" ht="173.4" thickBot="1">
      <c r="A7" s="2668"/>
      <c r="B7" s="329" t="s">
        <v>3006</v>
      </c>
      <c r="C7" s="3532" t="s">
        <v>3287</v>
      </c>
      <c r="D7" s="2696"/>
      <c r="E7" s="2697"/>
      <c r="F7" s="2698" t="s">
        <v>3011</v>
      </c>
      <c r="G7" s="2699" t="s">
        <v>3012</v>
      </c>
      <c r="H7" s="907"/>
      <c r="I7" s="907"/>
      <c r="J7" s="907"/>
      <c r="K7" s="907"/>
      <c r="L7" s="907"/>
      <c r="M7" s="907"/>
      <c r="N7" s="907"/>
      <c r="O7" s="907"/>
      <c r="P7" s="907"/>
      <c r="Q7" s="907"/>
      <c r="R7" s="907"/>
    </row>
    <row r="8" spans="1:29" ht="25.2">
      <c r="A8" s="2668"/>
      <c r="B8" s="329" t="s">
        <v>3009</v>
      </c>
      <c r="C8" s="3532" t="s">
        <v>3284</v>
      </c>
      <c r="D8" s="2696"/>
      <c r="E8" s="2696"/>
      <c r="F8" s="2700"/>
      <c r="G8" s="2700"/>
      <c r="H8" s="907"/>
      <c r="I8" s="907"/>
      <c r="J8" s="907"/>
      <c r="K8" s="907"/>
      <c r="L8" s="907"/>
      <c r="M8" s="907"/>
      <c r="N8" s="907"/>
      <c r="O8" s="907"/>
      <c r="P8" s="907"/>
      <c r="Q8" s="907"/>
      <c r="R8" s="907"/>
    </row>
    <row r="9" spans="1:29" ht="90">
      <c r="A9" s="2668"/>
      <c r="B9" s="329" t="s">
        <v>3013</v>
      </c>
      <c r="C9" s="3531" t="s">
        <v>3288</v>
      </c>
      <c r="D9" s="2690"/>
      <c r="E9" s="2696"/>
      <c r="F9" s="2700"/>
      <c r="G9" s="2700"/>
      <c r="H9" s="907"/>
      <c r="I9" s="907"/>
      <c r="J9" s="907"/>
      <c r="K9" s="907"/>
      <c r="L9" s="907"/>
      <c r="M9" s="907"/>
      <c r="N9" s="907"/>
      <c r="O9" s="907"/>
      <c r="P9" s="907"/>
      <c r="Q9" s="907"/>
      <c r="R9" s="907"/>
    </row>
    <row r="10" spans="1:29" s="2705" customFormat="1" ht="24.6" thickBot="1">
      <c r="A10" s="2669"/>
      <c r="B10" s="2701" t="s">
        <v>3014</v>
      </c>
      <c r="C10" s="3533" t="s">
        <v>3286</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7.399999999999999">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 thickBot="1">
      <c r="A13" s="2714" t="s">
        <v>3031</v>
      </c>
      <c r="B13" s="2708"/>
      <c r="C13" s="2708"/>
      <c r="D13" s="2706"/>
      <c r="E13" s="2708"/>
      <c r="F13" s="2708"/>
      <c r="G13" s="2708"/>
    </row>
    <row r="14" spans="1:29" ht="14.4" thickBot="1">
      <c r="A14" s="2718"/>
      <c r="B14" s="2718"/>
      <c r="C14" s="2719" t="s">
        <v>3015</v>
      </c>
      <c r="D14" s="2690"/>
      <c r="E14" s="2720"/>
      <c r="F14" s="2720"/>
      <c r="G14" s="2686" t="s">
        <v>3016</v>
      </c>
    </row>
    <row r="15" spans="1:29" ht="52.8">
      <c r="A15" s="2670" t="s">
        <v>3017</v>
      </c>
      <c r="B15" s="2721" t="s">
        <v>2999</v>
      </c>
      <c r="C15" s="2722" t="str">
        <f>C3</f>
        <v>估价对象周边有光耀东方广场、西单商场（万方店）、北京长安商场等项目，商业繁华程度较好。</v>
      </c>
      <c r="D15" s="2690"/>
      <c r="E15" s="2671" t="s">
        <v>3018</v>
      </c>
      <c r="F15" s="2721" t="s">
        <v>3019</v>
      </c>
      <c r="G15" s="2723" t="str">
        <f>G3</f>
        <v>估价对象位于XX开发区，园区建设成熟度XX，产业集聚程度XX</v>
      </c>
    </row>
    <row r="16" spans="1:29" ht="39.6">
      <c r="A16" s="2672"/>
      <c r="B16" s="2724" t="s">
        <v>3001</v>
      </c>
      <c r="C16" s="2725" t="str">
        <f>C4</f>
        <v>估价对象周边有光耀东方广场、西单商场（万方店）、北京长安商场等项目，商业繁华程度较好。</v>
      </c>
      <c r="D16" s="2690"/>
      <c r="E16" s="2673"/>
      <c r="F16" s="2726" t="s">
        <v>3002</v>
      </c>
      <c r="G16" s="2727" t="str">
        <f>G4</f>
        <v>估价对象周边道路状况、公共交通通达情况、停车便捷程度，综合评价交通便捷度较好</v>
      </c>
    </row>
    <row r="17" spans="1:18" ht="39.6">
      <c r="A17" s="2672"/>
      <c r="B17" s="2724" t="s">
        <v>3004</v>
      </c>
      <c r="C17" s="2725" t="str">
        <f>C5</f>
        <v>估价对象位于XX商圈，周边办公楼项目较多，入驻率高，办公集聚程度较好</v>
      </c>
      <c r="D17" s="2696"/>
      <c r="E17" s="2673"/>
      <c r="F17" s="2726" t="s">
        <v>3020</v>
      </c>
      <c r="G17" s="2728"/>
    </row>
    <row r="18" spans="1:18" ht="52.8">
      <c r="A18" s="2672"/>
      <c r="B18" s="2726" t="s">
        <v>3008</v>
      </c>
      <c r="C18" s="2727" t="str">
        <f>C6</f>
        <v>距地铁1、9号线军事博物馆站约400米，距地铁1号线木樨地约900米；周边有1路、21路、65路、85路、78路等多条公交线路经过，交通便捷度好。</v>
      </c>
      <c r="D18" s="2696"/>
      <c r="E18" s="2673"/>
      <c r="F18" s="2726" t="s">
        <v>3011</v>
      </c>
      <c r="G18" s="2727" t="str">
        <f>G7</f>
        <v>该园区内是否有污染型企业，绿化情况，卫生条件，整体环境状况判断</v>
      </c>
    </row>
    <row r="19" spans="1:18" ht="26.4">
      <c r="A19" s="2672"/>
      <c r="B19" s="2726" t="s">
        <v>3021</v>
      </c>
      <c r="C19" s="2728"/>
      <c r="D19" s="2690"/>
      <c r="E19" s="2673"/>
      <c r="F19" s="329" t="s">
        <v>3006</v>
      </c>
      <c r="G19" s="2727" t="str">
        <f>G5</f>
        <v>估价对象所在区域公共配套设施齐备情况</v>
      </c>
    </row>
    <row r="20" spans="1:18" ht="26.4">
      <c r="A20" s="2672"/>
      <c r="B20" s="2726" t="s">
        <v>3022</v>
      </c>
      <c r="C20" s="2725" t="str">
        <f>C9</f>
        <v>自然环境：紫竹院公园、玉渊潭公园、玲珑公园等自然景观；
人文环境：中国人民军事博物馆等人文场所；
综合评价环境状况好。</v>
      </c>
      <c r="D20" s="2696"/>
      <c r="E20" s="2673"/>
      <c r="F20" s="329" t="s">
        <v>3009</v>
      </c>
      <c r="G20" s="2727" t="str">
        <f>G6</f>
        <v>估价对象所在区域基础设施水平</v>
      </c>
    </row>
    <row r="21" spans="1:18" ht="26.4">
      <c r="A21" s="2672"/>
      <c r="B21" s="329" t="s">
        <v>3006</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3023</v>
      </c>
      <c r="G21" s="2729"/>
    </row>
    <row r="22" spans="1:18" ht="13.5" customHeight="1">
      <c r="A22" s="2672"/>
      <c r="B22" s="329" t="s">
        <v>3009</v>
      </c>
      <c r="C22" s="2727" t="str">
        <f>C8</f>
        <v>估价对象所在区域基础设施水平-七通</v>
      </c>
      <c r="D22" s="2690"/>
      <c r="E22" s="2673"/>
      <c r="F22" s="2726" t="s">
        <v>3014</v>
      </c>
      <c r="G22" s="2728"/>
    </row>
    <row r="23" spans="1:18" s="907" customFormat="1" ht="14.4" thickBot="1">
      <c r="A23" s="2672"/>
      <c r="B23" s="2726" t="s">
        <v>3023</v>
      </c>
      <c r="C23" s="2729"/>
      <c r="D23" s="1927"/>
      <c r="E23" s="2674"/>
      <c r="F23" s="2730" t="s">
        <v>3024</v>
      </c>
      <c r="G23" s="2731"/>
      <c r="H23" s="2715"/>
      <c r="I23" s="2716"/>
      <c r="J23" s="2715"/>
      <c r="K23" s="2715"/>
      <c r="L23" s="2716"/>
      <c r="M23" s="2715"/>
      <c r="N23" s="2715"/>
      <c r="O23" s="2716"/>
      <c r="P23" s="2715"/>
      <c r="Q23" s="2715"/>
      <c r="R23" s="2717"/>
    </row>
    <row r="24" spans="1:18" s="907" customFormat="1" ht="14.4" thickBot="1">
      <c r="A24" s="2675"/>
      <c r="B24" s="2730" t="s">
        <v>3025</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44" sqref="H44"/>
    </sheetView>
  </sheetViews>
  <sheetFormatPr defaultColWidth="9" defaultRowHeight="14.4"/>
  <cols>
    <col min="1" max="1" width="25" style="2737" customWidth="1"/>
    <col min="2" max="9" width="15.77734375" style="2737" customWidth="1"/>
    <col min="10" max="16384" width="9" style="2737"/>
  </cols>
  <sheetData>
    <row r="1" spans="1:11" ht="16.2">
      <c r="A1" s="2736" t="s">
        <v>1331</v>
      </c>
      <c r="B1" s="2736">
        <f>SUM(B14:B23)</f>
        <v>994.5</v>
      </c>
      <c r="C1" s="2913"/>
      <c r="D1" s="2913"/>
      <c r="E1" s="2913"/>
      <c r="F1" s="2913"/>
      <c r="G1" s="2914"/>
      <c r="H1" s="2915"/>
      <c r="I1" s="2915"/>
      <c r="J1" s="2915"/>
      <c r="K1" s="2915"/>
    </row>
    <row r="2" spans="1:11" ht="16.2">
      <c r="A2" s="2736" t="s">
        <v>1319</v>
      </c>
      <c r="B2" s="2736">
        <f>SUM(C14:C23)</f>
        <v>0</v>
      </c>
      <c r="C2" s="2913"/>
      <c r="D2" s="2913"/>
      <c r="E2" s="2913"/>
      <c r="F2" s="2913"/>
      <c r="G2" s="2914"/>
      <c r="H2" s="2915"/>
      <c r="I2" s="2915"/>
      <c r="J2" s="2915"/>
      <c r="K2" s="2915"/>
    </row>
    <row r="3" spans="1:11" ht="15.6">
      <c r="A3" s="2736" t="s">
        <v>1328</v>
      </c>
      <c r="B3" s="2738">
        <f>项目基本情况!D3</f>
        <v>44341</v>
      </c>
      <c r="C3" s="2913"/>
      <c r="D3" s="2913"/>
      <c r="E3" s="2913"/>
      <c r="F3" s="2913"/>
      <c r="G3" s="2914"/>
      <c r="H3" s="2915"/>
      <c r="I3" s="2915"/>
      <c r="J3" s="2915"/>
      <c r="K3" s="2915"/>
    </row>
    <row r="4" spans="1:11" ht="31.2">
      <c r="A4" s="2736" t="s">
        <v>1327</v>
      </c>
      <c r="B4" s="2736" t="s">
        <v>1326</v>
      </c>
      <c r="C4" s="2736" t="s">
        <v>1325</v>
      </c>
      <c r="D4" s="2736" t="s">
        <v>1324</v>
      </c>
      <c r="E4" s="2913"/>
      <c r="F4" s="2914"/>
      <c r="G4" s="2914"/>
      <c r="H4" s="2915"/>
      <c r="I4" s="2915"/>
      <c r="J4" s="2915"/>
      <c r="K4" s="2915"/>
    </row>
    <row r="5" spans="1:11" ht="15.6">
      <c r="A5" s="2736" t="s">
        <v>1323</v>
      </c>
      <c r="B5" s="2736" t="e">
        <f ca="1">SUM(D14:D23)</f>
        <v>#REF!</v>
      </c>
      <c r="C5" s="2736" t="e">
        <f ca="1">ROUND(B5*10000/$B$1,0)</f>
        <v>#REF!</v>
      </c>
      <c r="D5" s="2736" t="e">
        <f ca="1">ROUND(B5*10000/$B$2,0)</f>
        <v>#REF!</v>
      </c>
      <c r="E5" s="2913"/>
      <c r="F5" s="2914"/>
      <c r="G5" s="2914"/>
      <c r="H5" s="2915"/>
      <c r="I5" s="2915"/>
      <c r="J5" s="2915"/>
      <c r="K5" s="2915"/>
    </row>
    <row r="6" spans="1:11" ht="15.6">
      <c r="A6" s="2736" t="s">
        <v>1322</v>
      </c>
      <c r="B6" s="2736" t="e">
        <f ca="1">SUM(G14:G23)</f>
        <v>#REF!</v>
      </c>
      <c r="C6" s="2736" t="e">
        <f ca="1">ROUND(B6*10000/$B$1,0)</f>
        <v>#REF!</v>
      </c>
      <c r="D6" s="2736" t="e">
        <f ca="1">ROUND(B6*10000/$B$2,0)</f>
        <v>#REF!</v>
      </c>
      <c r="E6" s="2913"/>
      <c r="F6" s="2914"/>
      <c r="G6" s="2914"/>
      <c r="H6" s="2915"/>
      <c r="I6" s="2915"/>
      <c r="J6" s="2915"/>
      <c r="K6" s="2915"/>
    </row>
    <row r="7" spans="1:11" ht="15.6">
      <c r="A7" s="2736" t="s">
        <v>1330</v>
      </c>
      <c r="B7" s="2736">
        <f>SUM(H14:H23)</f>
        <v>0</v>
      </c>
      <c r="C7" s="2736">
        <f>ROUND(B7*10000/$B$1,0)</f>
        <v>0</v>
      </c>
      <c r="D7" s="2736" t="e">
        <f>ROUND(B7*10000/$B$2,0)</f>
        <v>#DIV/0!</v>
      </c>
      <c r="E7" s="2913"/>
      <c r="F7" s="2914"/>
      <c r="G7" s="2914"/>
      <c r="H7" s="2915"/>
      <c r="I7" s="2915"/>
      <c r="J7" s="2915"/>
      <c r="K7" s="2915"/>
    </row>
    <row r="8" spans="1:11" ht="15.6">
      <c r="A8" s="2736" t="s">
        <v>1252</v>
      </c>
      <c r="B8" s="2736">
        <f>SUM(I14:I23)</f>
        <v>0</v>
      </c>
      <c r="C8" s="2736">
        <f>ROUND(B8*10000/$B$1,0)</f>
        <v>0</v>
      </c>
      <c r="D8" s="2736" t="e">
        <f>ROUND(B8*10000/$B$2,0)</f>
        <v>#DIV/0!</v>
      </c>
      <c r="E8" s="2913"/>
      <c r="F8" s="2914"/>
      <c r="G8" s="2914"/>
      <c r="H8" s="2915"/>
      <c r="I8" s="2915"/>
      <c r="J8" s="2915"/>
      <c r="K8" s="2915"/>
    </row>
    <row r="9" spans="1:11" ht="15.6">
      <c r="A9" s="2736" t="s">
        <v>1321</v>
      </c>
      <c r="B9" s="2744"/>
      <c r="C9" s="2913"/>
      <c r="D9" s="2913"/>
      <c r="E9" s="2913"/>
      <c r="F9" s="2914"/>
      <c r="G9" s="2914"/>
      <c r="H9" s="2915"/>
      <c r="I9" s="2915"/>
      <c r="J9" s="2915"/>
      <c r="K9" s="2915"/>
    </row>
    <row r="10" spans="1:11" ht="15.6">
      <c r="A10" s="2736" t="s">
        <v>1320</v>
      </c>
      <c r="B10" s="2744"/>
      <c r="C10" s="2913"/>
      <c r="D10" s="2913"/>
      <c r="E10" s="2913"/>
      <c r="F10" s="2914"/>
      <c r="G10" s="2914"/>
      <c r="H10" s="2915"/>
      <c r="I10" s="2915"/>
      <c r="J10" s="2915"/>
      <c r="K10" s="2915"/>
    </row>
    <row r="11" spans="1:11" ht="15.6">
      <c r="A11" s="2736" t="s">
        <v>1336</v>
      </c>
      <c r="B11" s="2744"/>
      <c r="C11" s="2913"/>
      <c r="D11" s="2913"/>
      <c r="E11" s="2913"/>
      <c r="F11" s="2914"/>
      <c r="G11" s="2914"/>
      <c r="H11" s="2915"/>
      <c r="I11" s="2915"/>
      <c r="J11" s="2915"/>
      <c r="K11" s="2915"/>
    </row>
    <row r="12" spans="1:11" ht="15.6">
      <c r="A12" s="2913"/>
      <c r="B12" s="2913"/>
      <c r="C12" s="2913"/>
      <c r="D12" s="2913"/>
      <c r="E12" s="2913"/>
      <c r="F12" s="2914"/>
      <c r="G12" s="2914"/>
      <c r="H12" s="2915"/>
      <c r="I12" s="2915"/>
      <c r="J12" s="2915"/>
      <c r="K12" s="2915"/>
    </row>
    <row r="13" spans="1:11" ht="31.8">
      <c r="A13" s="2739" t="s">
        <v>1335</v>
      </c>
      <c r="B13" s="2740" t="s">
        <v>1332</v>
      </c>
      <c r="C13" s="2740" t="s">
        <v>1334</v>
      </c>
      <c r="D13" s="2740" t="s">
        <v>1333</v>
      </c>
      <c r="E13" s="2736" t="s">
        <v>1325</v>
      </c>
      <c r="F13" s="2736" t="s">
        <v>1324</v>
      </c>
      <c r="G13" s="2740" t="s">
        <v>1318</v>
      </c>
      <c r="H13" s="2740" t="s">
        <v>1329</v>
      </c>
      <c r="I13" s="2740" t="s">
        <v>1317</v>
      </c>
      <c r="J13" s="2914"/>
      <c r="K13" s="2915"/>
    </row>
    <row r="14" spans="1:11" ht="15.6">
      <c r="A14" s="2741" t="s">
        <v>1316</v>
      </c>
      <c r="B14" s="2742">
        <f>结果表!B118</f>
        <v>994.5</v>
      </c>
      <c r="C14" s="2742">
        <f>结果表!C118</f>
        <v>0</v>
      </c>
      <c r="D14" s="2742" t="e">
        <f ca="1">结果表!H118</f>
        <v>#REF!</v>
      </c>
      <c r="E14" s="2742" t="e">
        <f ca="1">ROUND(D14*10000/B14,0)</f>
        <v>#REF!</v>
      </c>
      <c r="F14" s="2742" t="e">
        <f ca="1">ROUND(D14*10000/C14,0)</f>
        <v>#REF!</v>
      </c>
      <c r="G14" s="2742" t="e">
        <f ca="1">结果表!D122</f>
        <v>#REF!</v>
      </c>
      <c r="H14" s="2742" t="str">
        <f>结果表!D124</f>
        <v>——</v>
      </c>
      <c r="I14" s="2742" t="str">
        <f>结果表!D126</f>
        <v>——</v>
      </c>
      <c r="J14" s="2914"/>
      <c r="K14" s="2915"/>
    </row>
    <row r="15" spans="1:11" ht="15.6">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5.6">
      <c r="A16" s="2741" t="s">
        <v>1314</v>
      </c>
      <c r="B16" s="2743"/>
      <c r="C16" s="2743"/>
      <c r="D16" s="2743"/>
      <c r="E16" s="2742" t="e">
        <f t="shared" si="0"/>
        <v>#DIV/0!</v>
      </c>
      <c r="F16" s="2742" t="e">
        <f t="shared" si="1"/>
        <v>#DIV/0!</v>
      </c>
      <c r="G16" s="1500"/>
      <c r="H16" s="1500"/>
      <c r="I16" s="2743"/>
      <c r="J16" s="2915"/>
      <c r="K16" s="2915"/>
    </row>
    <row r="17" spans="1:11" ht="15.6">
      <c r="A17" s="2741" t="s">
        <v>1313</v>
      </c>
      <c r="B17" s="2743"/>
      <c r="C17" s="2743"/>
      <c r="D17" s="2743"/>
      <c r="E17" s="2742" t="e">
        <f t="shared" si="0"/>
        <v>#DIV/0!</v>
      </c>
      <c r="F17" s="2742" t="e">
        <f t="shared" si="1"/>
        <v>#DIV/0!</v>
      </c>
      <c r="G17" s="1500"/>
      <c r="H17" s="1500"/>
      <c r="I17" s="2743"/>
      <c r="J17" s="2915"/>
      <c r="K17" s="2915"/>
    </row>
    <row r="18" spans="1:11" ht="15.6">
      <c r="A18" s="2741" t="s">
        <v>1312</v>
      </c>
      <c r="B18" s="2743"/>
      <c r="C18" s="2743"/>
      <c r="D18" s="2743"/>
      <c r="E18" s="2742" t="e">
        <f t="shared" si="0"/>
        <v>#DIV/0!</v>
      </c>
      <c r="F18" s="2742" t="e">
        <f t="shared" si="1"/>
        <v>#DIV/0!</v>
      </c>
      <c r="G18" s="2743"/>
      <c r="H18" s="2743"/>
      <c r="I18" s="2743"/>
      <c r="J18" s="2915"/>
      <c r="K18" s="2915"/>
    </row>
    <row r="19" spans="1:11" ht="15.6">
      <c r="A19" s="2741" t="s">
        <v>1311</v>
      </c>
      <c r="B19" s="2743"/>
      <c r="C19" s="2743"/>
      <c r="D19" s="2743"/>
      <c r="E19" s="2742" t="e">
        <f t="shared" si="0"/>
        <v>#DIV/0!</v>
      </c>
      <c r="F19" s="2742" t="e">
        <f t="shared" si="1"/>
        <v>#DIV/0!</v>
      </c>
      <c r="G19" s="2743"/>
      <c r="H19" s="2743"/>
      <c r="I19" s="2743"/>
      <c r="J19" s="2915"/>
      <c r="K19" s="2915"/>
    </row>
    <row r="20" spans="1:11" ht="15.6">
      <c r="A20" s="2741" t="s">
        <v>1310</v>
      </c>
      <c r="B20" s="2743"/>
      <c r="C20" s="2743"/>
      <c r="D20" s="2743"/>
      <c r="E20" s="2742" t="e">
        <f t="shared" si="0"/>
        <v>#DIV/0!</v>
      </c>
      <c r="F20" s="2742" t="e">
        <f t="shared" si="1"/>
        <v>#DIV/0!</v>
      </c>
      <c r="G20" s="2743"/>
      <c r="H20" s="2743"/>
      <c r="I20" s="2743"/>
      <c r="J20" s="2915"/>
      <c r="K20" s="2915"/>
    </row>
    <row r="21" spans="1:11" ht="15.6">
      <c r="A21" s="2741" t="s">
        <v>1309</v>
      </c>
      <c r="B21" s="2743"/>
      <c r="C21" s="2743"/>
      <c r="D21" s="2743"/>
      <c r="E21" s="2742" t="e">
        <f t="shared" si="0"/>
        <v>#DIV/0!</v>
      </c>
      <c r="F21" s="2742" t="e">
        <f t="shared" si="1"/>
        <v>#DIV/0!</v>
      </c>
      <c r="G21" s="2743"/>
      <c r="H21" s="2743"/>
      <c r="I21" s="2743"/>
      <c r="J21" s="2915"/>
      <c r="K21" s="2915"/>
    </row>
    <row r="22" spans="1:11" ht="15.6">
      <c r="A22" s="2741" t="s">
        <v>1308</v>
      </c>
      <c r="B22" s="2743"/>
      <c r="C22" s="2743"/>
      <c r="D22" s="2743"/>
      <c r="E22" s="2742" t="e">
        <f t="shared" si="0"/>
        <v>#DIV/0!</v>
      </c>
      <c r="F22" s="2742" t="e">
        <f t="shared" si="1"/>
        <v>#DIV/0!</v>
      </c>
      <c r="G22" s="2743"/>
      <c r="H22" s="2743"/>
      <c r="I22" s="2743"/>
      <c r="J22" s="2915"/>
      <c r="K22" s="2915"/>
    </row>
    <row r="23" spans="1:11" ht="15.6">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305" t="str">
        <f>项目基本情况!S2</f>
        <v>北京市房地产</v>
      </c>
      <c r="B2" s="3306"/>
      <c r="C2" s="3306"/>
      <c r="D2" s="3306"/>
      <c r="E2" s="3306"/>
      <c r="F2" s="3306"/>
      <c r="G2" s="3306"/>
      <c r="H2" s="3306"/>
      <c r="I2" s="3307"/>
    </row>
    <row r="3" spans="1:12" ht="13.2">
      <c r="A3" s="3309" t="s">
        <v>1950</v>
      </c>
      <c r="B3" s="3310"/>
      <c r="C3" s="3310"/>
      <c r="D3" s="3310"/>
      <c r="E3" s="3310"/>
      <c r="F3" s="3310"/>
      <c r="G3" s="3310"/>
      <c r="H3" s="3310"/>
      <c r="I3" s="3310"/>
    </row>
    <row r="4" spans="1:12" ht="14.4">
      <c r="A4" s="1940" t="s">
        <v>1951</v>
      </c>
      <c r="B4" s="1941" t="s">
        <v>1952</v>
      </c>
      <c r="C4" s="1942"/>
      <c r="D4" s="1942"/>
      <c r="E4" s="3314" t="s">
        <v>1953</v>
      </c>
      <c r="F4" s="3315"/>
      <c r="G4" s="3315"/>
      <c r="H4" s="3315"/>
      <c r="I4" s="331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0" t="s">
        <v>1954</v>
      </c>
      <c r="B5" s="3308">
        <v>25</v>
      </c>
      <c r="C5" s="3311"/>
      <c r="D5" s="3299"/>
      <c r="E5" s="136" t="s">
        <v>1955</v>
      </c>
      <c r="F5" s="1943"/>
      <c r="G5" s="1943"/>
      <c r="H5" s="1943"/>
      <c r="I5" s="1557"/>
    </row>
    <row r="6" spans="1:12" ht="13.2">
      <c r="A6" s="3250"/>
      <c r="B6" s="3308"/>
      <c r="C6" s="3313"/>
      <c r="D6" s="3299"/>
      <c r="E6" s="136" t="s">
        <v>1956</v>
      </c>
      <c r="F6" s="1943"/>
      <c r="G6" s="1943"/>
      <c r="H6" s="1943"/>
      <c r="I6" s="1557"/>
    </row>
    <row r="7" spans="1:12" ht="13.2">
      <c r="A7" s="3250"/>
      <c r="B7" s="3308"/>
      <c r="C7" s="3312"/>
      <c r="D7" s="3299"/>
      <c r="E7" s="136" t="s">
        <v>1957</v>
      </c>
      <c r="F7" s="1943"/>
      <c r="G7" s="1943"/>
      <c r="H7" s="1943"/>
      <c r="I7" s="1557"/>
    </row>
    <row r="8" spans="1:12" ht="13.2">
      <c r="A8" s="3250" t="s">
        <v>1958</v>
      </c>
      <c r="B8" s="3308">
        <v>15</v>
      </c>
      <c r="C8" s="3311"/>
      <c r="D8" s="3299"/>
      <c r="E8" s="136" t="s">
        <v>1959</v>
      </c>
      <c r="F8" s="1943"/>
      <c r="G8" s="1943"/>
      <c r="H8" s="1943"/>
      <c r="I8" s="1557"/>
    </row>
    <row r="9" spans="1:12" ht="13.2">
      <c r="A9" s="3250"/>
      <c r="B9" s="3308"/>
      <c r="C9" s="3312"/>
      <c r="D9" s="3299"/>
      <c r="E9" s="136" t="s">
        <v>1960</v>
      </c>
      <c r="F9" s="1943"/>
      <c r="G9" s="1943"/>
      <c r="H9" s="1943"/>
      <c r="I9" s="1557"/>
    </row>
    <row r="10" spans="1:12" ht="13.2">
      <c r="A10" s="3250" t="s">
        <v>1961</v>
      </c>
      <c r="B10" s="3308">
        <v>15</v>
      </c>
      <c r="C10" s="3311"/>
      <c r="D10" s="3299"/>
      <c r="E10" s="136" t="s">
        <v>1962</v>
      </c>
      <c r="F10" s="1943"/>
      <c r="G10" s="1943"/>
      <c r="H10" s="1943"/>
      <c r="I10" s="1557"/>
    </row>
    <row r="11" spans="1:12" ht="13.2">
      <c r="A11" s="3250"/>
      <c r="B11" s="3308"/>
      <c r="C11" s="3312"/>
      <c r="D11" s="3299"/>
      <c r="E11" s="136" t="s">
        <v>1963</v>
      </c>
      <c r="F11" s="1943"/>
      <c r="G11" s="1943"/>
      <c r="H11" s="1943"/>
      <c r="I11" s="1557"/>
    </row>
    <row r="12" spans="1:12" ht="13.2">
      <c r="A12" s="3250" t="s">
        <v>1964</v>
      </c>
      <c r="B12" s="3308">
        <v>15</v>
      </c>
      <c r="C12" s="3311"/>
      <c r="D12" s="3299"/>
      <c r="E12" s="136" t="s">
        <v>1965</v>
      </c>
      <c r="F12" s="1943"/>
      <c r="G12" s="1943"/>
      <c r="H12" s="1943"/>
      <c r="I12" s="1557"/>
    </row>
    <row r="13" spans="1:12" ht="13.2">
      <c r="A13" s="3250"/>
      <c r="B13" s="3308"/>
      <c r="C13" s="3312"/>
      <c r="D13" s="3299"/>
      <c r="E13" s="136" t="s">
        <v>1966</v>
      </c>
      <c r="F13" s="1943"/>
      <c r="G13" s="1943"/>
      <c r="H13" s="1943"/>
      <c r="I13" s="1557"/>
    </row>
    <row r="14" spans="1:12" ht="13.2">
      <c r="A14" s="3250" t="s">
        <v>1967</v>
      </c>
      <c r="B14" s="3308">
        <v>30</v>
      </c>
      <c r="C14" s="3311"/>
      <c r="D14" s="3299"/>
      <c r="E14" s="136" t="s">
        <v>1968</v>
      </c>
      <c r="F14" s="1943"/>
      <c r="G14" s="1943"/>
      <c r="H14" s="1943"/>
      <c r="I14" s="1557"/>
    </row>
    <row r="15" spans="1:12" ht="13.2">
      <c r="A15" s="3250"/>
      <c r="B15" s="3308"/>
      <c r="C15" s="3313"/>
      <c r="D15" s="3299"/>
      <c r="E15" s="136" t="s">
        <v>1969</v>
      </c>
      <c r="F15" s="1943"/>
      <c r="G15" s="1943"/>
      <c r="H15" s="1943"/>
      <c r="I15" s="1557"/>
    </row>
    <row r="16" spans="1:12" ht="13.2">
      <c r="A16" s="3250"/>
      <c r="B16" s="3308"/>
      <c r="C16" s="3312"/>
      <c r="D16" s="3299"/>
      <c r="E16" s="136" t="s">
        <v>1970</v>
      </c>
      <c r="F16" s="1943"/>
      <c r="G16" s="1943"/>
      <c r="H16" s="1943"/>
      <c r="I16" s="1557"/>
    </row>
    <row r="17" spans="1:36" ht="14.4">
      <c r="A17" s="1944" t="s">
        <v>1971</v>
      </c>
      <c r="B17" s="60"/>
      <c r="C17" s="137">
        <f>SUM(C5:C16)</f>
        <v>0</v>
      </c>
      <c r="D17" s="137">
        <f>SUM(D5:D16)</f>
        <v>0</v>
      </c>
      <c r="E17" s="134"/>
      <c r="F17" s="134"/>
      <c r="G17" s="134"/>
      <c r="H17" s="134"/>
      <c r="I17" s="134"/>
      <c r="K17" s="308"/>
      <c r="L17" s="308" t="s">
        <v>1972</v>
      </c>
      <c r="M17" s="308" t="s">
        <v>1973</v>
      </c>
    </row>
    <row r="18" spans="1:36" ht="31.95" customHeight="1" thickBot="1">
      <c r="A18" s="1945" t="s">
        <v>1974</v>
      </c>
      <c r="B18" s="1946"/>
      <c r="C18" s="138" t="e">
        <f>ROUND(C17/SUM(C17:D17),2)</f>
        <v>#DIV/0!</v>
      </c>
      <c r="D18" s="138" t="e">
        <f>1-C18</f>
        <v>#DIV/0!</v>
      </c>
      <c r="E18" s="3330" t="s">
        <v>2874</v>
      </c>
      <c r="F18" s="3331"/>
      <c r="G18" s="3331"/>
      <c r="H18" s="3331"/>
      <c r="I18" s="3331"/>
      <c r="K18" s="308" t="s">
        <v>1975</v>
      </c>
      <c r="L18" s="308">
        <f>IF(C1="",'数据-汇总表'!E3,SUMIF(项目类型,C1,'数据-汇总表'!E17:E26)+SUMIF(项目类型,C1,'数据-汇总表'!I17:I26))</f>
        <v>994.5</v>
      </c>
      <c r="M18" s="308">
        <f>IF(C1="",'数据-汇总表'!E3,SUMIF(项目类型,C1,'数据-汇总表'!E17:E26))</f>
        <v>994.5</v>
      </c>
    </row>
    <row r="19" spans="1:36" ht="14.4">
      <c r="A19" s="1947" t="s">
        <v>1976</v>
      </c>
      <c r="B19" s="1948" t="s">
        <v>1977</v>
      </c>
      <c r="C19" s="139" t="e">
        <f ca="1">SUMIF(INDIRECT("'"&amp;C4&amp;"'"&amp;"!A:A"),结果表!B19,INDIRECT("'"&amp;C4&amp;"'"&amp;"!B:B"))</f>
        <v>#REF!</v>
      </c>
      <c r="D19" s="140" t="e">
        <f ca="1">SUMIF(INDIRECT("'"&amp;D4&amp;"'"&amp;"!A:A"),结果表!B19,INDIRECT("'"&amp;D4&amp;"'"&amp;"!B:B"))</f>
        <v>#REF!</v>
      </c>
      <c r="E19" s="1947" t="s">
        <v>1978</v>
      </c>
      <c r="F19" s="1948" t="s">
        <v>1977</v>
      </c>
      <c r="G19" s="141" t="e">
        <f ca="1">ROUND(C19*$C$18+D19*$D$18,0)</f>
        <v>#REF!</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4.4">
      <c r="A20" s="1950"/>
      <c r="B20" s="1157" t="s">
        <v>1981</v>
      </c>
      <c r="C20" s="142" t="e">
        <f ca="1">SUMIF(INDIRECT("'"&amp;C4&amp;"'"&amp;"!A:A"),结果表!B20,INDIRECT("'"&amp;C4&amp;"'"&amp;"!B:B"))</f>
        <v>#REF!</v>
      </c>
      <c r="D20" s="143" t="e">
        <f ca="1">SUMIF(INDIRECT("'"&amp;D4&amp;"'"&amp;"!A:A"),结果表!B20,INDIRECT("'"&amp;D4&amp;"'"&amp;"!B:B"))</f>
        <v>#REF!</v>
      </c>
      <c r="E20" s="1950"/>
      <c r="F20" s="1157" t="s">
        <v>1981</v>
      </c>
      <c r="G20" s="144" t="e">
        <f ca="1">ROUND(C20*$C$18+D20*$D$18,0)</f>
        <v>#REF!</v>
      </c>
      <c r="H20" s="917" t="s">
        <v>1982</v>
      </c>
      <c r="I20" s="134"/>
    </row>
    <row r="21" spans="1:36" ht="15" customHeight="1" thickBot="1">
      <c r="A21" s="937"/>
      <c r="B21" s="1951" t="s">
        <v>1983</v>
      </c>
      <c r="C21" s="728" t="e">
        <f ca="1">ROUND(C19*10000/L19,0)</f>
        <v>#REF!</v>
      </c>
      <c r="D21" s="729" t="e">
        <f ca="1">ROUND(D19*10000/L19,0)</f>
        <v>#REF!</v>
      </c>
      <c r="E21" s="937"/>
      <c r="F21" s="1951" t="s">
        <v>1983</v>
      </c>
      <c r="G21" s="145" t="e">
        <f ca="1">ROUND(G19*10000/L19,0)</f>
        <v>#REF!</v>
      </c>
      <c r="H21" s="1952" t="s">
        <v>1982</v>
      </c>
      <c r="I21" s="134"/>
    </row>
    <row r="22" spans="1:36" ht="15" thickBot="1">
      <c r="A22" s="1874" t="s">
        <v>1984</v>
      </c>
      <c r="B22" s="1953"/>
      <c r="C22" s="1954"/>
      <c r="D22" s="730" t="e">
        <f ca="1">IF(C19&lt;D19,D19/C19-1,C19/D19-1)</f>
        <v>#REF!</v>
      </c>
      <c r="E22" s="134"/>
      <c r="F22" s="134"/>
      <c r="G22" s="134"/>
      <c r="H22" s="134"/>
      <c r="I22" s="134"/>
    </row>
    <row r="23" spans="1:36" ht="13.8" thickBot="1">
      <c r="A23" s="1933"/>
      <c r="B23" s="1933"/>
      <c r="C23" s="1933"/>
      <c r="D23" s="1933"/>
      <c r="E23" s="134"/>
      <c r="F23" s="134"/>
      <c r="G23" s="134"/>
      <c r="H23" s="134"/>
      <c r="I23" s="134"/>
    </row>
    <row r="24" spans="1:36" ht="14.4">
      <c r="A24" s="3323" t="s">
        <v>1985</v>
      </c>
      <c r="B24" s="1948" t="s">
        <v>1977</v>
      </c>
      <c r="C24" s="141">
        <f>IF(B30=0,0,D30)</f>
        <v>0</v>
      </c>
      <c r="D24" s="1955"/>
      <c r="E24" s="134"/>
      <c r="F24" s="134"/>
      <c r="G24" s="134"/>
      <c r="H24" s="134"/>
      <c r="I24" s="134"/>
    </row>
    <row r="25" spans="1:36" ht="14.4">
      <c r="A25" s="332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t="e">
        <f ca="1">IF(D32="总价",G19-C24,G20-C25)</f>
        <v>#REF!</v>
      </c>
      <c r="D32" s="1961"/>
      <c r="E32" s="134"/>
      <c r="F32" s="134"/>
      <c r="G32" s="134"/>
      <c r="H32" s="134"/>
      <c r="I32" s="134"/>
    </row>
    <row r="33" spans="1:15" ht="14.4">
      <c r="A33" s="894" t="s">
        <v>1992</v>
      </c>
      <c r="B33" s="1962"/>
      <c r="C33" s="1963"/>
      <c r="D33" s="1964"/>
      <c r="E33" s="1965" t="s">
        <v>1993</v>
      </c>
      <c r="F33" s="1966" t="str">
        <f>IF(D32="楼面单价","取值（单价）","取值（总价）")</f>
        <v>取值（总价）</v>
      </c>
      <c r="G33" s="134"/>
      <c r="H33" s="134"/>
      <c r="I33" s="134"/>
    </row>
    <row r="34" spans="1:15" ht="14.4">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 thickBot="1">
      <c r="A36" s="3300" t="s">
        <v>1998</v>
      </c>
      <c r="B36" s="1973" t="s">
        <v>1999</v>
      </c>
      <c r="C36" s="150"/>
      <c r="D36" s="1974"/>
      <c r="E36" s="1975"/>
      <c r="F36" s="1976"/>
      <c r="G36" s="134"/>
      <c r="H36" s="134"/>
      <c r="I36" s="134"/>
    </row>
    <row r="37" spans="1:15" ht="15" thickBot="1">
      <c r="A37" s="3301"/>
      <c r="B37" s="1860" t="s">
        <v>2000</v>
      </c>
      <c r="C37" s="152"/>
      <c r="D37" s="1301"/>
      <c r="E37" s="1301"/>
      <c r="F37" s="1976"/>
      <c r="G37" s="134"/>
      <c r="H37" s="134"/>
      <c r="I37" s="134"/>
    </row>
    <row r="38" spans="1:15" ht="15" thickBot="1">
      <c r="A38" s="3302"/>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20" t="s">
        <v>2012</v>
      </c>
      <c r="B45" s="3321"/>
      <c r="C45" s="3322"/>
      <c r="D45" s="160" t="e">
        <f ca="1">ROUND(H101*F45,0)</f>
        <v>#REF!</v>
      </c>
      <c r="E45" s="161" t="s">
        <v>2013</v>
      </c>
      <c r="F45" s="162">
        <v>1</v>
      </c>
      <c r="G45" s="163" t="s">
        <v>2014</v>
      </c>
      <c r="H45" s="134"/>
      <c r="I45" s="134"/>
      <c r="J45" s="3237" t="s">
        <v>2015</v>
      </c>
      <c r="K45" s="3237"/>
      <c r="L45" s="3237"/>
      <c r="M45" s="3237"/>
      <c r="N45" s="3237"/>
      <c r="O45" s="3237"/>
    </row>
    <row r="46" spans="1:15" ht="14.25" customHeight="1">
      <c r="A46" s="3317" t="s">
        <v>2016</v>
      </c>
      <c r="B46" s="3318"/>
      <c r="C46" s="3318"/>
      <c r="D46" s="3318"/>
      <c r="E46" s="3318"/>
      <c r="F46" s="3318"/>
      <c r="G46" s="3319"/>
      <c r="H46" s="1992"/>
      <c r="I46" s="164"/>
      <c r="J46" s="2747">
        <v>1</v>
      </c>
      <c r="K46" s="3238" t="s">
        <v>2017</v>
      </c>
      <c r="L46" s="3238"/>
      <c r="M46" s="3239"/>
      <c r="N46" s="3239"/>
      <c r="O46" s="3239"/>
    </row>
    <row r="47" spans="1:15" ht="12" customHeight="1">
      <c r="A47" s="165" t="s">
        <v>2018</v>
      </c>
      <c r="B47" s="166"/>
      <c r="C47" s="167"/>
      <c r="D47" s="1247" t="s">
        <v>2019</v>
      </c>
      <c r="E47" s="308" t="s">
        <v>2020</v>
      </c>
      <c r="F47" s="168" t="s">
        <v>2021</v>
      </c>
      <c r="G47" s="2770" t="s">
        <v>2022</v>
      </c>
      <c r="H47" s="2771"/>
      <c r="I47" s="164"/>
      <c r="J47" s="2747">
        <v>2</v>
      </c>
      <c r="K47" s="3238" t="s">
        <v>2023</v>
      </c>
      <c r="L47" s="3238"/>
      <c r="M47" s="3240">
        <f>'数据-取费表'!B2</f>
        <v>44341</v>
      </c>
      <c r="N47" s="3240"/>
      <c r="O47" s="3240"/>
    </row>
    <row r="48" spans="1:15" ht="26.4">
      <c r="A48" s="3303" t="s">
        <v>2024</v>
      </c>
      <c r="B48" s="3304"/>
      <c r="C48" s="3304"/>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38" t="s">
        <v>2026</v>
      </c>
      <c r="L48" s="3238"/>
      <c r="M48" s="3241" t="e">
        <f ca="1">H101</f>
        <v>#REF!</v>
      </c>
      <c r="N48" s="3241"/>
      <c r="O48" s="3241"/>
    </row>
    <row r="49" spans="1:35" ht="25.5" customHeight="1">
      <c r="A49" s="2556" t="s">
        <v>2027</v>
      </c>
      <c r="B49" s="3286" t="s">
        <v>2028</v>
      </c>
      <c r="C49" s="3286"/>
      <c r="D49" s="1775">
        <v>0</v>
      </c>
      <c r="E49" s="330" t="s">
        <v>2029</v>
      </c>
      <c r="F49" s="2650" t="s">
        <v>34</v>
      </c>
      <c r="G49" s="3269"/>
      <c r="H49" s="2528" t="s">
        <v>2877</v>
      </c>
      <c r="I49" s="2529"/>
      <c r="J49" s="2747">
        <v>4</v>
      </c>
      <c r="K49" s="3238" t="str">
        <f>IF(项目基本情况!E8="房地产抵押价值","房地产抵押价值","抵押担保权已注销时的房地产抵押价值")</f>
        <v>抵押担保权已注销时的房地产抵押价值</v>
      </c>
      <c r="L49" s="3238"/>
      <c r="M49" s="3241" t="str">
        <f>IF(项目基本情况!E8="房地产抵押价值",H107,H109)</f>
        <v>——</v>
      </c>
      <c r="N49" s="3241"/>
      <c r="O49" s="3241"/>
    </row>
    <row r="50" spans="1:35" ht="25.5" customHeight="1">
      <c r="A50" s="2775"/>
      <c r="B50" s="3286" t="s">
        <v>2030</v>
      </c>
      <c r="C50" s="3286"/>
      <c r="D50" s="2776"/>
      <c r="E50" s="338"/>
      <c r="F50" s="2650"/>
      <c r="G50" s="3270"/>
      <c r="H50" s="2530" t="s">
        <v>2878</v>
      </c>
      <c r="I50" s="2529"/>
      <c r="J50" s="3237" t="s">
        <v>2031</v>
      </c>
      <c r="K50" s="3237"/>
      <c r="L50" s="3237"/>
      <c r="M50" s="3237"/>
      <c r="N50" s="3237"/>
      <c r="O50" s="3237"/>
    </row>
    <row r="51" spans="1:35" ht="20.399999999999999" customHeight="1">
      <c r="A51" s="2777"/>
      <c r="B51" s="3286" t="s">
        <v>2032</v>
      </c>
      <c r="C51" s="3286"/>
      <c r="D51" s="1247"/>
      <c r="E51" s="333"/>
      <c r="F51" s="2650"/>
      <c r="G51" s="3271"/>
      <c r="H51" s="2530" t="s">
        <v>2879</v>
      </c>
      <c r="I51" s="2529"/>
      <c r="J51" s="2748" t="s">
        <v>2033</v>
      </c>
      <c r="K51" s="3238" t="s">
        <v>2034</v>
      </c>
      <c r="L51" s="3238"/>
      <c r="M51" s="2748" t="s">
        <v>2035</v>
      </c>
      <c r="N51" s="2748" t="s">
        <v>2036</v>
      </c>
      <c r="O51" s="2748" t="s">
        <v>2037</v>
      </c>
    </row>
    <row r="52" spans="1:35" ht="24" customHeight="1">
      <c r="A52" s="2558" t="s">
        <v>2038</v>
      </c>
      <c r="B52" s="3286" t="s">
        <v>2039</v>
      </c>
      <c r="C52" s="3286"/>
      <c r="D52" s="1247" t="e">
        <f ca="1">ROUND(D45*'数据-取费表'!B41/(1+'数据-取费表'!C42),0)</f>
        <v>#REF!</v>
      </c>
      <c r="E52" s="2557" t="s">
        <v>2040</v>
      </c>
      <c r="F52" s="2778">
        <f>'数据-取费表'!B41</f>
        <v>5.6000000000000001E-2</v>
      </c>
      <c r="G52" s="2779"/>
      <c r="H52" s="2768"/>
      <c r="I52" s="1993"/>
      <c r="J52" s="2747">
        <v>1</v>
      </c>
      <c r="K52" s="3263" t="s">
        <v>2041</v>
      </c>
      <c r="L52" s="3263"/>
      <c r="M52" s="2749" t="b">
        <f>D48</f>
        <v>0</v>
      </c>
      <c r="N52" s="2747" t="str">
        <f>E48</f>
        <v>销售额×税（费）率</v>
      </c>
      <c r="O52" s="2750">
        <f>F48</f>
        <v>5.6000000000000001E-2</v>
      </c>
    </row>
    <row r="53" spans="1:35" ht="12" customHeight="1">
      <c r="A53" s="2558" t="s">
        <v>2042</v>
      </c>
      <c r="B53" s="3287" t="s">
        <v>3035</v>
      </c>
      <c r="C53" s="3288"/>
      <c r="D53" s="1247" t="e">
        <f ca="1">ROUND(D45*'数据-取费表'!B41/(1+'数据-取费表'!C42),0)</f>
        <v>#REF!</v>
      </c>
      <c r="E53" s="2557" t="s">
        <v>2040</v>
      </c>
      <c r="F53" s="2778">
        <f>'数据-取费表'!B41</f>
        <v>5.6000000000000001E-2</v>
      </c>
      <c r="G53" s="2779"/>
      <c r="H53" s="2768"/>
      <c r="I53" s="1993"/>
      <c r="J53" s="2747">
        <v>2</v>
      </c>
      <c r="K53" s="3263" t="s">
        <v>2043</v>
      </c>
      <c r="L53" s="3263"/>
      <c r="M53" s="2749" t="e">
        <f t="shared" ref="M53:O54" ca="1" si="0">D55</f>
        <v>#REF!</v>
      </c>
      <c r="N53" s="2747" t="str">
        <f t="shared" si="0"/>
        <v>销售额×税（费）率</v>
      </c>
      <c r="O53" s="2750" t="str">
        <f t="shared" si="0"/>
        <v>免征</v>
      </c>
    </row>
    <row r="54" spans="1:35" ht="12" customHeight="1">
      <c r="A54" s="2558" t="s">
        <v>2044</v>
      </c>
      <c r="B54" s="3287" t="s">
        <v>3036</v>
      </c>
      <c r="C54" s="3288"/>
      <c r="D54" s="1247" t="e">
        <f ca="1">C68</f>
        <v>#REF!</v>
      </c>
      <c r="E54" s="333" t="s">
        <v>2045</v>
      </c>
      <c r="F54" s="2778">
        <f>'数据-取费表'!B41</f>
        <v>5.6000000000000001E-2</v>
      </c>
      <c r="G54" s="2779"/>
      <c r="H54" s="2780"/>
      <c r="I54" s="1993"/>
      <c r="J54" s="2747">
        <v>3</v>
      </c>
      <c r="K54" s="3263" t="s">
        <v>2046</v>
      </c>
      <c r="L54" s="3263"/>
      <c r="M54" s="2749" t="e">
        <f t="shared" ca="1" si="0"/>
        <v>#REF!</v>
      </c>
      <c r="N54" s="2747" t="str">
        <f t="shared" si="0"/>
        <v>增值额×税（费）率</v>
      </c>
      <c r="O54" s="2751" t="str">
        <f t="shared" si="0"/>
        <v>免征</v>
      </c>
    </row>
    <row r="55" spans="1:35" ht="24" customHeight="1">
      <c r="A55" s="3326" t="s">
        <v>2047</v>
      </c>
      <c r="B55" s="3304"/>
      <c r="C55" s="3304"/>
      <c r="D55" s="2547" t="e">
        <f ca="1">IF(H55="个人住宅",0,ROUND(D45*I55,0))</f>
        <v>#REF!</v>
      </c>
      <c r="E55" s="2557" t="s">
        <v>2048</v>
      </c>
      <c r="F55" s="2778" t="str">
        <f>IF(H55="正常",I55,"免征")</f>
        <v>免征</v>
      </c>
      <c r="G55" s="2779"/>
      <c r="H55" s="2774"/>
      <c r="I55" s="170">
        <f>'数据-取费表'!B49</f>
        <v>5.0000000000000001E-4</v>
      </c>
      <c r="J55" s="2747">
        <f>IF(H59="非个人房产","",4)</f>
        <v>4</v>
      </c>
      <c r="K55" s="3263" t="str">
        <f>IF(H59="非个人房产","——","个人所得税")</f>
        <v>个人所得税</v>
      </c>
      <c r="L55" s="3263"/>
      <c r="M55" s="2752" t="e">
        <f ca="1">D59</f>
        <v>#REF!</v>
      </c>
      <c r="N55" s="2228" t="str">
        <f>E59</f>
        <v>差额计税</v>
      </c>
      <c r="O55" s="2753">
        <f>F59</f>
        <v>0.01</v>
      </c>
    </row>
    <row r="56" spans="1:35" ht="25.2">
      <c r="A56" s="3326" t="s">
        <v>2049</v>
      </c>
      <c r="B56" s="3304"/>
      <c r="C56" s="3304"/>
      <c r="D56" s="2547" t="e">
        <f ca="1">IF(H56="个人住宅",D57,D58)</f>
        <v>#REF!</v>
      </c>
      <c r="E56" s="2557" t="s">
        <v>2050</v>
      </c>
      <c r="F56" s="2778" t="str">
        <f>IF(H56="正常",F58,"免征")</f>
        <v>免征</v>
      </c>
      <c r="G56" s="2781" t="s">
        <v>2051</v>
      </c>
      <c r="H56" s="2782"/>
      <c r="I56" s="1994"/>
      <c r="J56" s="2747" t="str">
        <f>IF(项目基本情况!K6="上海银行",IF(J55="",4,J55+1),"")</f>
        <v/>
      </c>
      <c r="K56" s="3244" t="str">
        <f>IF(项目基本情况!K6="上海银行","其他处置费用","")</f>
        <v/>
      </c>
      <c r="L56" s="3245"/>
      <c r="M56" s="2749" t="str">
        <f>IF(项目基本情况!K6="上海银行",M69,"")</f>
        <v/>
      </c>
      <c r="N56" s="3244" t="str">
        <f>IF(项目基本情况!K6="上海银行","包含处置中涉及的律师、诉讼、拍卖、评估等费用","")</f>
        <v/>
      </c>
      <c r="O56" s="3247"/>
    </row>
    <row r="57" spans="1:35" ht="13.2">
      <c r="A57" s="2558" t="s">
        <v>2027</v>
      </c>
      <c r="B57" s="3287" t="s">
        <v>2052</v>
      </c>
      <c r="C57" s="3288"/>
      <c r="D57" s="1775">
        <v>0</v>
      </c>
      <c r="E57" s="330" t="s">
        <v>2029</v>
      </c>
      <c r="F57" s="308"/>
      <c r="G57" s="2779"/>
      <c r="H57" s="2783"/>
      <c r="I57" s="1994"/>
      <c r="J57" s="3263">
        <f>IF(AND(J55="",J56=""),4,IF(项目基本情况!K6="上海银行",结果表!J56+1,结果表!J55+1))</f>
        <v>5</v>
      </c>
      <c r="K57" s="3263" t="s">
        <v>2053</v>
      </c>
      <c r="L57" s="2754" t="s">
        <v>2054</v>
      </c>
      <c r="M57" s="2755"/>
      <c r="N57" s="2756">
        <f ca="1">SUMIF(M52:M56,"&lt;9e307")</f>
        <v>0</v>
      </c>
      <c r="O57" s="2757"/>
      <c r="P57" s="2917" t="e">
        <f ca="1">N57/M49</f>
        <v>#VALUE!</v>
      </c>
    </row>
    <row r="58" spans="1:35" ht="25.2">
      <c r="A58" s="2558" t="s">
        <v>2038</v>
      </c>
      <c r="B58" s="3287" t="s">
        <v>2055</v>
      </c>
      <c r="C58" s="3286"/>
      <c r="D58" s="2547" t="e">
        <f ca="1">IF(H58="转让取得",C81,C97)</f>
        <v>#REF!</v>
      </c>
      <c r="E58" s="2557" t="s">
        <v>2050</v>
      </c>
      <c r="F58" s="308" t="s">
        <v>34</v>
      </c>
      <c r="G58" s="2779"/>
      <c r="H58" s="2782"/>
      <c r="I58" s="1994"/>
      <c r="J58" s="3263"/>
      <c r="K58" s="3263"/>
      <c r="L58" s="2754" t="s">
        <v>2056</v>
      </c>
      <c r="M58" s="2758"/>
      <c r="N58" s="2759" t="str">
        <f ca="1">NUMBERSTRING(INT(N57*10000),2)&amp;"元整"</f>
        <v>零元整</v>
      </c>
      <c r="O58" s="2760"/>
    </row>
    <row r="59" spans="1:35" ht="24.6" thickBot="1">
      <c r="A59" s="3267" t="s">
        <v>2057</v>
      </c>
      <c r="B59" s="3268"/>
      <c r="C59" s="3268"/>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65">
        <f>J57+1</f>
        <v>6</v>
      </c>
      <c r="K59" s="3263" t="s">
        <v>2058</v>
      </c>
      <c r="L59" s="2747" t="s">
        <v>2054</v>
      </c>
      <c r="M59" s="2761"/>
      <c r="N59" s="2762" t="e">
        <f ca="1">M49-N57</f>
        <v>#VALUE!</v>
      </c>
      <c r="O59" s="2763"/>
    </row>
    <row r="60" spans="1:35" ht="12" customHeight="1">
      <c r="A60" s="1995"/>
      <c r="B60" s="1933"/>
      <c r="C60" s="1933"/>
      <c r="D60" s="1933"/>
      <c r="E60" s="1763"/>
      <c r="F60" s="1994"/>
      <c r="G60" s="1994"/>
      <c r="H60" s="1996"/>
      <c r="I60" s="134"/>
      <c r="J60" s="3266"/>
      <c r="K60" s="3263"/>
      <c r="L60" s="2754" t="s">
        <v>2056</v>
      </c>
      <c r="M60" s="2758"/>
      <c r="N60" s="2759" t="e">
        <f ca="1">NUMBERSTRING(INT(N59*10000),2)&amp;"元整"</f>
        <v>#VALUE!</v>
      </c>
      <c r="O60" s="2760"/>
    </row>
    <row r="61" spans="1:35" ht="13.8" thickBot="1">
      <c r="A61" s="3325" t="s">
        <v>2059</v>
      </c>
      <c r="B61" s="3325"/>
      <c r="C61" s="3325"/>
      <c r="D61" s="3325"/>
      <c r="E61" s="3325"/>
      <c r="F61" s="1994"/>
      <c r="G61" s="1994"/>
      <c r="H61" s="1996"/>
      <c r="I61" s="134"/>
      <c r="J61" s="2747">
        <f>J59+1</f>
        <v>7</v>
      </c>
      <c r="K61" s="3263" t="s">
        <v>2060</v>
      </c>
      <c r="L61" s="3263"/>
      <c r="M61" s="2764"/>
      <c r="N61" s="2765" t="e">
        <f ca="1">ROUND(N59*10000/'数据-汇总表'!E3,0)</f>
        <v>#VALUE!</v>
      </c>
      <c r="O61" s="2766"/>
    </row>
    <row r="62" spans="1:35" ht="13.2">
      <c r="A62" s="3282" t="s">
        <v>2061</v>
      </c>
      <c r="B62" s="3283"/>
      <c r="C62" s="2209"/>
      <c r="D62" s="2209" t="s">
        <v>2062</v>
      </c>
      <c r="E62" s="171" t="s">
        <v>2063</v>
      </c>
      <c r="F62" s="1994"/>
      <c r="G62" s="1994"/>
      <c r="H62" s="1996"/>
      <c r="I62" s="134"/>
    </row>
    <row r="63" spans="1:35" ht="13.2">
      <c r="A63" s="178" t="s">
        <v>775</v>
      </c>
      <c r="B63" s="172" t="s">
        <v>2064</v>
      </c>
      <c r="C63" s="2788" t="e">
        <f ca="1">ROUND((C64+C65)/(1+'数据-取费表'!C42),0)</f>
        <v>#REF!</v>
      </c>
      <c r="D63" s="172"/>
      <c r="E63" s="173"/>
      <c r="F63" s="1994"/>
      <c r="G63" s="1994"/>
      <c r="H63" s="1996"/>
      <c r="I63" s="134"/>
      <c r="J63" s="3246"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t="e">
        <f ca="1">D45</f>
        <v>#REF!</v>
      </c>
      <c r="D64" s="175" t="s">
        <v>32</v>
      </c>
      <c r="E64" s="177"/>
      <c r="F64" s="1994"/>
      <c r="G64" s="1994"/>
      <c r="H64" s="1996"/>
      <c r="I64" s="134"/>
      <c r="J64" s="3246"/>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38"/>
      <c r="AI64" s="1939"/>
    </row>
    <row r="65" spans="1:35" ht="14.25" customHeight="1">
      <c r="A65" s="174" t="s">
        <v>771</v>
      </c>
      <c r="B65" s="175" t="s">
        <v>2070</v>
      </c>
      <c r="C65" s="2790"/>
      <c r="D65" s="175"/>
      <c r="E65" s="177"/>
      <c r="F65" s="1994"/>
      <c r="G65" s="1994"/>
      <c r="H65" s="1996"/>
      <c r="I65" s="134"/>
      <c r="J65" s="3246"/>
      <c r="K65" s="1501" t="s">
        <v>2071</v>
      </c>
      <c r="L65" s="1501" t="e">
        <f>IF(M49&gt;1000,M49*0.1%,IF(AND(M49&gt;500,M49&lt;=1000),M49*0.5%,IF(AND(M49&gt;50,M49&lt;=500),M49*1%,IF(AND(M49&gt;1,M49&lt;=50),M49*1.5%))))</f>
        <v>#VALUE!</v>
      </c>
      <c r="M65" s="308" t="e">
        <f t="shared" si="1"/>
        <v>#VALUE!</v>
      </c>
      <c r="N65" s="2768" t="s">
        <v>2069</v>
      </c>
      <c r="Z65" s="1938"/>
      <c r="AI65" s="1939"/>
    </row>
    <row r="66" spans="1:35" ht="14.25" customHeight="1">
      <c r="A66" s="178" t="s">
        <v>772</v>
      </c>
      <c r="B66" s="179" t="s">
        <v>2072</v>
      </c>
      <c r="C66" s="2791"/>
      <c r="D66" s="179" t="s">
        <v>32</v>
      </c>
      <c r="E66" s="1509" t="s">
        <v>1337</v>
      </c>
      <c r="F66" s="1994"/>
      <c r="G66" s="1994"/>
      <c r="H66" s="1996"/>
      <c r="I66" s="134"/>
      <c r="J66" s="3246"/>
      <c r="K66" s="1501" t="s">
        <v>2073</v>
      </c>
      <c r="L66" s="1501" t="e">
        <f>M49*0.5%</f>
        <v>#VALUE!</v>
      </c>
      <c r="M66" s="308" t="e">
        <f>IF(L66&gt;0.5,0.5,ROUND(L66,0))</f>
        <v>#VALUE!</v>
      </c>
      <c r="N66" s="2768" t="s">
        <v>2074</v>
      </c>
      <c r="Z66" s="1938"/>
      <c r="AI66" s="1939"/>
    </row>
    <row r="67" spans="1:35" ht="14.25" customHeight="1">
      <c r="A67" s="178" t="s">
        <v>773</v>
      </c>
      <c r="B67" s="179" t="s">
        <v>2075</v>
      </c>
      <c r="C67" s="2792" t="e">
        <f ca="1">C63-C66</f>
        <v>#REF!</v>
      </c>
      <c r="D67" s="175" t="s">
        <v>32</v>
      </c>
      <c r="E67" s="177"/>
      <c r="F67" s="1994"/>
      <c r="G67" s="1994"/>
      <c r="H67" s="1996"/>
      <c r="I67" s="134"/>
      <c r="J67" s="3246"/>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t="e">
        <f ca="1">IF(C67&lt;=0,0,ROUND(C67*D68,0))</f>
        <v>#REF!</v>
      </c>
      <c r="D68" s="2794">
        <f>'数据-取费表'!B41</f>
        <v>5.6000000000000001E-2</v>
      </c>
      <c r="E68" s="184"/>
      <c r="F68" s="1994"/>
      <c r="G68" s="1994"/>
      <c r="H68" s="1996"/>
      <c r="I68" s="134"/>
      <c r="J68" s="3246"/>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46"/>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90" t="s">
        <v>2080</v>
      </c>
      <c r="B70" s="3291"/>
      <c r="C70" s="3291"/>
      <c r="D70" s="3291"/>
      <c r="E70" s="3291"/>
      <c r="F70" s="3291"/>
      <c r="G70" s="3291"/>
      <c r="H70" s="3291"/>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282" t="s">
        <v>2061</v>
      </c>
      <c r="B71" s="3283"/>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287" t="s">
        <v>2088</v>
      </c>
      <c r="F76" s="3286"/>
      <c r="G76" s="3286"/>
      <c r="H76" s="328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t="e">
        <f ca="1">ROUND(D45*D78/(1+'数据-取费表'!C42),0)</f>
        <v>#REF!</v>
      </c>
      <c r="D78" s="2801">
        <f>'数据-取费表'!B43</f>
        <v>6.000000000000001E-3</v>
      </c>
      <c r="E78" s="3279" t="s">
        <v>2092</v>
      </c>
      <c r="F78" s="3280"/>
      <c r="G78" s="3280"/>
      <c r="H78" s="328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90" t="s">
        <v>2096</v>
      </c>
      <c r="B83" s="3291"/>
      <c r="C83" s="3291"/>
      <c r="D83" s="3291"/>
      <c r="E83" s="3291"/>
      <c r="F83" s="3291"/>
      <c r="G83" s="3291"/>
      <c r="H83" s="329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282" t="s">
        <v>2061</v>
      </c>
      <c r="B84" s="328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6"/>
      <c r="D88" s="2801"/>
      <c r="E88" s="199" t="s">
        <v>2099</v>
      </c>
      <c r="F88" s="2550"/>
      <c r="G88" s="200" t="s">
        <v>2100</v>
      </c>
      <c r="H88" s="2010"/>
      <c r="I88" s="2007"/>
      <c r="J88" s="2745"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6"/>
      <c r="D90" s="2801"/>
      <c r="E90" s="199" t="str">
        <f>IF(H88="-","土地取得成本中已包含该笔费用"," ")</f>
        <v xml:space="preserve"> </v>
      </c>
      <c r="F90" s="2550"/>
      <c r="G90" s="3248" t="s">
        <v>2872</v>
      </c>
      <c r="H90" s="3249"/>
      <c r="I90" s="2007"/>
      <c r="J90" s="2745"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279" t="s">
        <v>2105</v>
      </c>
      <c r="F91" s="3280"/>
      <c r="G91" s="328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279" t="s">
        <v>2108</v>
      </c>
      <c r="F92" s="3280"/>
      <c r="G92" s="3280"/>
      <c r="H92" s="3281"/>
      <c r="I92" s="2007"/>
      <c r="J92" s="2746"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t="e">
        <f ca="1">ROUND(D45*D93/(1+'数据-取费表'!C42),0)</f>
        <v>#REF!</v>
      </c>
      <c r="D93" s="2801">
        <f>'数据-取费表'!B43</f>
        <v>6.000000000000001E-3</v>
      </c>
      <c r="E93" s="3279" t="s">
        <v>2092</v>
      </c>
      <c r="F93" s="3280"/>
      <c r="G93" s="3280"/>
      <c r="H93" s="328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327" t="s">
        <v>2112</v>
      </c>
      <c r="F94" s="3328"/>
      <c r="G94" s="3328"/>
      <c r="H94" s="332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29" t="s">
        <v>2114</v>
      </c>
      <c r="B100" s="3230"/>
      <c r="C100" s="3230"/>
      <c r="D100" s="3264"/>
      <c r="E100" s="3230" t="s">
        <v>2115</v>
      </c>
      <c r="F100" s="3230"/>
      <c r="G100" s="3230"/>
      <c r="H100" s="3264"/>
      <c r="I100" s="134"/>
    </row>
    <row r="101" spans="1:35" ht="18.75" customHeight="1">
      <c r="A101" s="3272" t="s">
        <v>2116</v>
      </c>
      <c r="B101" s="3273"/>
      <c r="C101" s="2809">
        <f>C4</f>
        <v>0</v>
      </c>
      <c r="D101" s="2810">
        <f>D4</f>
        <v>0</v>
      </c>
      <c r="E101" s="3242" t="s">
        <v>2117</v>
      </c>
      <c r="F101" s="3243"/>
      <c r="G101" s="2013" t="s">
        <v>2118</v>
      </c>
      <c r="H101" s="2819" t="e">
        <f ca="1">H118</f>
        <v>#REF!</v>
      </c>
      <c r="I101" s="134"/>
    </row>
    <row r="102" spans="1:35" ht="18.75" customHeight="1">
      <c r="A102" s="3274" t="s">
        <v>2119</v>
      </c>
      <c r="B102" s="2808" t="s">
        <v>2118</v>
      </c>
      <c r="C102" s="2809" t="e">
        <f ca="1">C19</f>
        <v>#REF!</v>
      </c>
      <c r="D102" s="2810" t="e">
        <f ca="1">D19</f>
        <v>#REF!</v>
      </c>
      <c r="E102" s="3242"/>
      <c r="F102" s="3243"/>
      <c r="G102" s="2013" t="s">
        <v>2120</v>
      </c>
      <c r="H102" s="2779" t="e">
        <f ca="1">I118</f>
        <v>#REF!</v>
      </c>
      <c r="I102" s="134"/>
    </row>
    <row r="103" spans="1:35" ht="42.75" customHeight="1">
      <c r="A103" s="3274"/>
      <c r="B103" s="2808" t="s">
        <v>2120</v>
      </c>
      <c r="C103" s="2811" t="e">
        <f ca="1">C20</f>
        <v>#REF!</v>
      </c>
      <c r="D103" s="2812" t="e">
        <f ca="1">D20</f>
        <v>#REF!</v>
      </c>
      <c r="E103" s="3235" t="s">
        <v>2121</v>
      </c>
      <c r="F103" s="3236"/>
      <c r="G103" s="2014" t="s">
        <v>2122</v>
      </c>
      <c r="H103" s="2819">
        <f>IF(D36="正常操作",H104+H105+H106,H105+H106)</f>
        <v>0</v>
      </c>
      <c r="I103" s="134"/>
    </row>
    <row r="104" spans="1:35" ht="18.75" customHeight="1">
      <c r="A104" s="3274" t="s">
        <v>2123</v>
      </c>
      <c r="B104" s="2813" t="s">
        <v>2118</v>
      </c>
      <c r="C104" s="2814" t="e">
        <f ca="1">H118</f>
        <v>#REF!</v>
      </c>
      <c r="D104" s="2815"/>
      <c r="E104" s="1860" t="s">
        <v>2124</v>
      </c>
      <c r="F104" s="1851"/>
      <c r="G104" s="2014" t="s">
        <v>2122</v>
      </c>
      <c r="H104" s="2820">
        <f>IF(D36="同一抵押权人同一抵押物续贷",C36&amp;"（续贷，未扣减，详见特别提示）",C36)</f>
        <v>0</v>
      </c>
      <c r="I104" s="134"/>
    </row>
    <row r="105" spans="1:35" ht="18.75" customHeight="1" thickBot="1">
      <c r="A105" s="3284"/>
      <c r="B105" s="2816" t="s">
        <v>2120</v>
      </c>
      <c r="C105" s="2817" t="e">
        <f ca="1">I118</f>
        <v>#REF!</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275" t="str">
        <f>IF(项目基本情况!E8="已注销","——","3.房地产抵押价值")</f>
        <v>3.房地产抵押价值</v>
      </c>
      <c r="F107" s="3243"/>
      <c r="G107" s="2013" t="s">
        <v>2118</v>
      </c>
      <c r="H107" s="2819" t="e">
        <f ca="1">IF(E107="——","——",H101-H103)</f>
        <v>#REF!</v>
      </c>
      <c r="I107" s="134"/>
    </row>
    <row r="108" spans="1:35" ht="18.75" customHeight="1">
      <c r="A108" s="134"/>
      <c r="B108" s="134"/>
      <c r="C108" s="134"/>
      <c r="D108" s="134"/>
      <c r="E108" s="3275"/>
      <c r="F108" s="3243"/>
      <c r="G108" s="2013" t="s">
        <v>2120</v>
      </c>
      <c r="H108" s="2779" t="e">
        <f ca="1">ROUND(H107*10000/'数据-汇总表'!E3,0)</f>
        <v>#REF!</v>
      </c>
      <c r="I108" s="134"/>
    </row>
    <row r="109" spans="1:35" ht="18.75" customHeight="1">
      <c r="A109" s="134"/>
      <c r="B109" s="134"/>
      <c r="C109" s="134"/>
      <c r="D109" s="134"/>
      <c r="E109" s="3275" t="str">
        <f>IF(项目基本情况!E8="已注销及未注销","4.抵押担保权已注销时的房地产抵押价值",IF(项目基本情况!E8="已注销","3.抵押担保权已注销时的房地产抵押价值","——"))</f>
        <v>——</v>
      </c>
      <c r="F109" s="3243"/>
      <c r="G109" s="2013" t="s">
        <v>2118</v>
      </c>
      <c r="H109" s="2822" t="str">
        <f>IF(E109="——","——",H101-H105-H106)</f>
        <v>——</v>
      </c>
      <c r="I109" s="134"/>
    </row>
    <row r="110" spans="1:35" ht="18.75" customHeight="1">
      <c r="A110" s="134"/>
      <c r="B110" s="134"/>
      <c r="C110" s="134"/>
      <c r="D110" s="134"/>
      <c r="E110" s="3275"/>
      <c r="F110" s="3243"/>
      <c r="G110" s="2013" t="s">
        <v>2120</v>
      </c>
      <c r="H110" s="2779" t="str">
        <f>IF(H109="——","——",ROUND(H109*10000/'数据-汇总表'!E3,0))</f>
        <v>——</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62"/>
      <c r="G111" s="2013" t="s">
        <v>2118</v>
      </c>
      <c r="H111" s="2819" t="str">
        <f>IF(E111="——","——",N59)</f>
        <v>——</v>
      </c>
      <c r="I111" s="134"/>
    </row>
    <row r="112" spans="1:35" ht="18.75" customHeight="1" thickBot="1">
      <c r="A112" s="134"/>
      <c r="B112" s="134"/>
      <c r="C112" s="134"/>
      <c r="D112" s="134"/>
      <c r="E112" s="3277"/>
      <c r="F112" s="3278"/>
      <c r="G112" s="2016" t="s">
        <v>2120</v>
      </c>
      <c r="H112" s="2823" t="str">
        <f>IF(E111="——","——",N61)</f>
        <v>——</v>
      </c>
      <c r="I112" s="134"/>
    </row>
    <row r="113" spans="1:27" ht="18.75" customHeight="1">
      <c r="A113" s="134"/>
      <c r="B113" s="134"/>
      <c r="C113" s="134"/>
      <c r="D113" s="134"/>
      <c r="E113" s="3285" t="s">
        <v>2126</v>
      </c>
      <c r="F113" s="3285"/>
      <c r="G113" s="3285"/>
      <c r="H113" s="3285"/>
      <c r="I113" s="134"/>
    </row>
    <row r="114" spans="1:27" ht="3.75" customHeight="1">
      <c r="A114" s="1933"/>
      <c r="B114" s="1933"/>
      <c r="C114" s="1933"/>
      <c r="D114" s="1933"/>
      <c r="E114" s="1995"/>
      <c r="F114" s="1995"/>
      <c r="G114" s="1995"/>
      <c r="H114" s="1995"/>
      <c r="I114" s="1933"/>
    </row>
    <row r="115" spans="1:27" ht="18.75" customHeight="1">
      <c r="A115" s="3296" t="s">
        <v>2128</v>
      </c>
      <c r="B115" s="3297"/>
      <c r="C115" s="3297"/>
      <c r="D115" s="3297"/>
      <c r="E115" s="3297"/>
      <c r="F115" s="3297"/>
      <c r="G115" s="3297"/>
      <c r="H115" s="3297"/>
      <c r="I115" s="3298"/>
    </row>
    <row r="116" spans="1:27" ht="27" customHeight="1">
      <c r="A116" s="3250" t="s">
        <v>2129</v>
      </c>
      <c r="B116" s="3254" t="s">
        <v>2130</v>
      </c>
      <c r="C116" s="3254" t="s">
        <v>2131</v>
      </c>
      <c r="D116" s="3260" t="s">
        <v>2132</v>
      </c>
      <c r="E116" s="3261"/>
      <c r="F116" s="3292" t="s">
        <v>2133</v>
      </c>
      <c r="G116" s="3292"/>
      <c r="H116" s="3250" t="s">
        <v>2134</v>
      </c>
      <c r="I116" s="3250"/>
    </row>
    <row r="117" spans="1:27" ht="18.75" customHeight="1">
      <c r="A117" s="3250"/>
      <c r="B117" s="3255"/>
      <c r="C117" s="325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0" t="s">
        <v>2138</v>
      </c>
      <c r="B119" s="3250"/>
      <c r="C119" s="3250"/>
      <c r="D119" s="3256" t="e">
        <f ca="1">NUMBERSTRING(INT(D118*10000),2)&amp;"元整"</f>
        <v>#REF!</v>
      </c>
      <c r="E119" s="3257"/>
      <c r="F119" s="3256" t="e">
        <f ca="1">NUMBERSTRING(INT(F118*10000),2)&amp;"元整"</f>
        <v>#REF!</v>
      </c>
      <c r="G119" s="3257"/>
      <c r="H119" s="3256" t="e">
        <f ca="1">NUMBERSTRING(INT(H118*10000),2)&amp;"元整"</f>
        <v>#REF!</v>
      </c>
      <c r="I119" s="3257"/>
    </row>
    <row r="120" spans="1:27" ht="18.75" customHeight="1">
      <c r="A120" s="3251" t="str">
        <f>IF(项目基本情况!B9="房地产市场价值","",MID(E103,3,LEN(E103)-2))</f>
        <v/>
      </c>
      <c r="B120" s="3252"/>
      <c r="C120" s="3253"/>
      <c r="D120" s="3251">
        <f>H103</f>
        <v>0</v>
      </c>
      <c r="E120" s="3252"/>
      <c r="F120" s="3252"/>
      <c r="G120" s="3252"/>
      <c r="H120" s="3252"/>
      <c r="I120" s="3253"/>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93" t="s">
        <v>2138</v>
      </c>
      <c r="B121" s="3294"/>
      <c r="C121" s="3295"/>
      <c r="D121" s="3256" t="str">
        <f>IF(D120=0,"零元整",NUMBERSTRING(INT(D120*10000),2)&amp;"元整")</f>
        <v>零元整</v>
      </c>
      <c r="E121" s="3258"/>
      <c r="F121" s="3258"/>
      <c r="G121" s="3258"/>
      <c r="H121" s="3258"/>
      <c r="I121" s="3257"/>
      <c r="AA121" s="734"/>
    </row>
    <row r="122" spans="1:27" ht="18.75" customHeight="1">
      <c r="A122" s="3262" t="str">
        <f>IF(项目基本情况!B9="房地产市场价值","",MID(E107,3,LEN(E107)-2))</f>
        <v/>
      </c>
      <c r="B122" s="3262"/>
      <c r="C122" s="3262"/>
      <c r="D122" s="3251" t="e">
        <f ca="1">H107</f>
        <v>#REF!</v>
      </c>
      <c r="E122" s="3252"/>
      <c r="F122" s="3252"/>
      <c r="G122" s="3252"/>
      <c r="H122" s="3252"/>
      <c r="I122" s="3253"/>
      <c r="AA122" s="734"/>
    </row>
    <row r="123" spans="1:27" ht="18.75" customHeight="1">
      <c r="A123" s="3250" t="s">
        <v>2138</v>
      </c>
      <c r="B123" s="3250"/>
      <c r="C123" s="3250"/>
      <c r="D123" s="3256" t="e">
        <f ca="1">NUMBERSTRING(INT(D122*10000),2)&amp;"元整"</f>
        <v>#REF!</v>
      </c>
      <c r="E123" s="3258"/>
      <c r="F123" s="3258"/>
      <c r="G123" s="3258"/>
      <c r="H123" s="3258"/>
      <c r="I123" s="3257"/>
      <c r="AA123" s="734"/>
    </row>
    <row r="124" spans="1:27" ht="18.75" customHeight="1">
      <c r="A124" s="3262" t="str">
        <f>IF(项目基本情况!B9="房地产市场价值","",MID(E109,3,LEN(E109)-2))</f>
        <v/>
      </c>
      <c r="B124" s="3262"/>
      <c r="C124" s="3262"/>
      <c r="D124" s="3251" t="str">
        <f>H109</f>
        <v>——</v>
      </c>
      <c r="E124" s="3252"/>
      <c r="F124" s="3252"/>
      <c r="G124" s="3252"/>
      <c r="H124" s="3252"/>
      <c r="I124" s="3253"/>
      <c r="AA124" s="734"/>
    </row>
    <row r="125" spans="1:27" ht="18.75" customHeight="1">
      <c r="A125" s="3250" t="s">
        <v>2138</v>
      </c>
      <c r="B125" s="3250"/>
      <c r="C125" s="3250"/>
      <c r="D125" s="3256" t="e">
        <f>NUMBERSTRING(INT(D124*10000),2)&amp;"元整"</f>
        <v>#VALUE!</v>
      </c>
      <c r="E125" s="3258"/>
      <c r="F125" s="3258"/>
      <c r="G125" s="3258"/>
      <c r="H125" s="3258"/>
      <c r="I125" s="3257"/>
      <c r="AA125" s="734"/>
    </row>
    <row r="126" spans="1:27" ht="18.75" customHeight="1">
      <c r="A126" s="3262" t="str">
        <f>IF(项目基本情况!B9="房地产市场价值","",MID(E111,3,LEN(E111)-2))</f>
        <v/>
      </c>
      <c r="B126" s="3262"/>
      <c r="C126" s="3262"/>
      <c r="D126" s="3251" t="str">
        <f>H111</f>
        <v>——</v>
      </c>
      <c r="E126" s="3252"/>
      <c r="F126" s="3252"/>
      <c r="G126" s="3252"/>
      <c r="H126" s="3252"/>
      <c r="I126" s="3253"/>
      <c r="AA126" s="734"/>
    </row>
    <row r="127" spans="1:27" ht="18.75" customHeight="1">
      <c r="A127" s="3250" t="s">
        <v>2138</v>
      </c>
      <c r="B127" s="3250"/>
      <c r="C127" s="3250"/>
      <c r="D127" s="3256" t="e">
        <f>NUMBERSTRING(INT(D126*10000),2)&amp;"元整"</f>
        <v>#VALUE!</v>
      </c>
      <c r="E127" s="3258"/>
      <c r="F127" s="3258"/>
      <c r="G127" s="3258"/>
      <c r="H127" s="3258"/>
      <c r="I127" s="3257"/>
      <c r="AA127" s="734"/>
    </row>
    <row r="128" spans="1:27" ht="21.75" customHeight="1">
      <c r="A128" s="3259" t="s">
        <v>2139</v>
      </c>
      <c r="B128" s="3259"/>
      <c r="C128" s="3259"/>
      <c r="D128" s="3259"/>
      <c r="E128" s="3259"/>
      <c r="F128" s="3259"/>
      <c r="G128" s="3259"/>
      <c r="H128" s="3259"/>
      <c r="I128" s="325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45"/>
  <sheetViews>
    <sheetView tabSelected="1" topLeftCell="A25" workbookViewId="0">
      <selection activeCell="H37" sqref="H37"/>
    </sheetView>
  </sheetViews>
  <sheetFormatPr defaultRowHeight="14.4"/>
  <cols>
    <col min="1" max="1" width="6.33203125" style="3068" customWidth="1"/>
    <col min="2" max="2" width="19.33203125" style="3132" customWidth="1"/>
    <col min="3" max="3" width="7" style="3133" customWidth="1"/>
    <col min="4" max="4" width="3.21875" style="3133" customWidth="1"/>
    <col min="5" max="5" width="7.33203125" style="3133" customWidth="1"/>
    <col min="6" max="6" width="3.44140625" style="3133" customWidth="1"/>
    <col min="7" max="7" width="19.33203125" style="3134" customWidth="1"/>
    <col min="8" max="8" width="19.44140625" style="3068" customWidth="1"/>
    <col min="9" max="9" width="8.6640625" style="3068" customWidth="1"/>
    <col min="10" max="10" width="10.44140625" style="3065" customWidth="1"/>
    <col min="11" max="11" width="4.88671875" style="3096" customWidth="1"/>
    <col min="12" max="12" width="16.33203125" style="3096" customWidth="1"/>
    <col min="13" max="16" width="8.109375" style="3068" customWidth="1"/>
    <col min="17" max="256" width="9" style="3068"/>
    <col min="257" max="257" width="6.33203125" style="3068" customWidth="1"/>
    <col min="258" max="258" width="19.33203125" style="3068" customWidth="1"/>
    <col min="259" max="259" width="7" style="3068" customWidth="1"/>
    <col min="260" max="260" width="3.21875" style="3068" customWidth="1"/>
    <col min="261" max="261" width="7.33203125" style="3068" customWidth="1"/>
    <col min="262" max="262" width="3.44140625" style="3068" customWidth="1"/>
    <col min="263" max="263" width="19.33203125" style="3068" customWidth="1"/>
    <col min="264" max="264" width="19.44140625" style="3068" customWidth="1"/>
    <col min="265" max="265" width="8.6640625" style="3068" customWidth="1"/>
    <col min="266" max="266" width="10.44140625" style="3068" customWidth="1"/>
    <col min="267" max="267" width="4.88671875" style="3068" customWidth="1"/>
    <col min="268" max="268" width="16.33203125" style="3068" customWidth="1"/>
    <col min="269" max="272" width="8.109375" style="3068" customWidth="1"/>
    <col min="273" max="512" width="9" style="3068"/>
    <col min="513" max="513" width="6.33203125" style="3068" customWidth="1"/>
    <col min="514" max="514" width="19.33203125" style="3068" customWidth="1"/>
    <col min="515" max="515" width="7" style="3068" customWidth="1"/>
    <col min="516" max="516" width="3.21875" style="3068" customWidth="1"/>
    <col min="517" max="517" width="7.33203125" style="3068" customWidth="1"/>
    <col min="518" max="518" width="3.44140625" style="3068" customWidth="1"/>
    <col min="519" max="519" width="19.33203125" style="3068" customWidth="1"/>
    <col min="520" max="520" width="19.44140625" style="3068" customWidth="1"/>
    <col min="521" max="521" width="8.6640625" style="3068" customWidth="1"/>
    <col min="522" max="522" width="10.44140625" style="3068" customWidth="1"/>
    <col min="523" max="523" width="4.88671875" style="3068" customWidth="1"/>
    <col min="524" max="524" width="16.33203125" style="3068" customWidth="1"/>
    <col min="525" max="528" width="8.109375" style="3068" customWidth="1"/>
    <col min="529" max="768" width="9" style="3068"/>
    <col min="769" max="769" width="6.33203125" style="3068" customWidth="1"/>
    <col min="770" max="770" width="19.33203125" style="3068" customWidth="1"/>
    <col min="771" max="771" width="7" style="3068" customWidth="1"/>
    <col min="772" max="772" width="3.21875" style="3068" customWidth="1"/>
    <col min="773" max="773" width="7.33203125" style="3068" customWidth="1"/>
    <col min="774" max="774" width="3.44140625" style="3068" customWidth="1"/>
    <col min="775" max="775" width="19.33203125" style="3068" customWidth="1"/>
    <col min="776" max="776" width="19.44140625" style="3068" customWidth="1"/>
    <col min="777" max="777" width="8.6640625" style="3068" customWidth="1"/>
    <col min="778" max="778" width="10.44140625" style="3068" customWidth="1"/>
    <col min="779" max="779" width="4.88671875" style="3068" customWidth="1"/>
    <col min="780" max="780" width="16.33203125" style="3068" customWidth="1"/>
    <col min="781" max="784" width="8.109375" style="3068" customWidth="1"/>
    <col min="785" max="1024" width="9" style="3068"/>
    <col min="1025" max="1025" width="6.33203125" style="3068" customWidth="1"/>
    <col min="1026" max="1026" width="19.33203125" style="3068" customWidth="1"/>
    <col min="1027" max="1027" width="7" style="3068" customWidth="1"/>
    <col min="1028" max="1028" width="3.21875" style="3068" customWidth="1"/>
    <col min="1029" max="1029" width="7.33203125" style="3068" customWidth="1"/>
    <col min="1030" max="1030" width="3.44140625" style="3068" customWidth="1"/>
    <col min="1031" max="1031" width="19.33203125" style="3068" customWidth="1"/>
    <col min="1032" max="1032" width="19.44140625" style="3068" customWidth="1"/>
    <col min="1033" max="1033" width="8.6640625" style="3068" customWidth="1"/>
    <col min="1034" max="1034" width="10.44140625" style="3068" customWidth="1"/>
    <col min="1035" max="1035" width="4.88671875" style="3068" customWidth="1"/>
    <col min="1036" max="1036" width="16.33203125" style="3068" customWidth="1"/>
    <col min="1037" max="1040" width="8.109375" style="3068" customWidth="1"/>
    <col min="1041" max="1280" width="9" style="3068"/>
    <col min="1281" max="1281" width="6.33203125" style="3068" customWidth="1"/>
    <col min="1282" max="1282" width="19.33203125" style="3068" customWidth="1"/>
    <col min="1283" max="1283" width="7" style="3068" customWidth="1"/>
    <col min="1284" max="1284" width="3.21875" style="3068" customWidth="1"/>
    <col min="1285" max="1285" width="7.33203125" style="3068" customWidth="1"/>
    <col min="1286" max="1286" width="3.44140625" style="3068" customWidth="1"/>
    <col min="1287" max="1287" width="19.33203125" style="3068" customWidth="1"/>
    <col min="1288" max="1288" width="19.44140625" style="3068" customWidth="1"/>
    <col min="1289" max="1289" width="8.6640625" style="3068" customWidth="1"/>
    <col min="1290" max="1290" width="10.44140625" style="3068" customWidth="1"/>
    <col min="1291" max="1291" width="4.88671875" style="3068" customWidth="1"/>
    <col min="1292" max="1292" width="16.33203125" style="3068" customWidth="1"/>
    <col min="1293" max="1296" width="8.109375" style="3068" customWidth="1"/>
    <col min="1297" max="1536" width="9" style="3068"/>
    <col min="1537" max="1537" width="6.33203125" style="3068" customWidth="1"/>
    <col min="1538" max="1538" width="19.33203125" style="3068" customWidth="1"/>
    <col min="1539" max="1539" width="7" style="3068" customWidth="1"/>
    <col min="1540" max="1540" width="3.21875" style="3068" customWidth="1"/>
    <col min="1541" max="1541" width="7.33203125" style="3068" customWidth="1"/>
    <col min="1542" max="1542" width="3.44140625" style="3068" customWidth="1"/>
    <col min="1543" max="1543" width="19.33203125" style="3068" customWidth="1"/>
    <col min="1544" max="1544" width="19.44140625" style="3068" customWidth="1"/>
    <col min="1545" max="1545" width="8.6640625" style="3068" customWidth="1"/>
    <col min="1546" max="1546" width="10.44140625" style="3068" customWidth="1"/>
    <col min="1547" max="1547" width="4.88671875" style="3068" customWidth="1"/>
    <col min="1548" max="1548" width="16.33203125" style="3068" customWidth="1"/>
    <col min="1549" max="1552" width="8.109375" style="3068" customWidth="1"/>
    <col min="1553" max="1792" width="9" style="3068"/>
    <col min="1793" max="1793" width="6.33203125" style="3068" customWidth="1"/>
    <col min="1794" max="1794" width="19.33203125" style="3068" customWidth="1"/>
    <col min="1795" max="1795" width="7" style="3068" customWidth="1"/>
    <col min="1796" max="1796" width="3.21875" style="3068" customWidth="1"/>
    <col min="1797" max="1797" width="7.33203125" style="3068" customWidth="1"/>
    <col min="1798" max="1798" width="3.44140625" style="3068" customWidth="1"/>
    <col min="1799" max="1799" width="19.33203125" style="3068" customWidth="1"/>
    <col min="1800" max="1800" width="19.44140625" style="3068" customWidth="1"/>
    <col min="1801" max="1801" width="8.6640625" style="3068" customWidth="1"/>
    <col min="1802" max="1802" width="10.44140625" style="3068" customWidth="1"/>
    <col min="1803" max="1803" width="4.88671875" style="3068" customWidth="1"/>
    <col min="1804" max="1804" width="16.33203125" style="3068" customWidth="1"/>
    <col min="1805" max="1808" width="8.109375" style="3068" customWidth="1"/>
    <col min="1809" max="2048" width="9" style="3068"/>
    <col min="2049" max="2049" width="6.33203125" style="3068" customWidth="1"/>
    <col min="2050" max="2050" width="19.33203125" style="3068" customWidth="1"/>
    <col min="2051" max="2051" width="7" style="3068" customWidth="1"/>
    <col min="2052" max="2052" width="3.21875" style="3068" customWidth="1"/>
    <col min="2053" max="2053" width="7.33203125" style="3068" customWidth="1"/>
    <col min="2054" max="2054" width="3.44140625" style="3068" customWidth="1"/>
    <col min="2055" max="2055" width="19.33203125" style="3068" customWidth="1"/>
    <col min="2056" max="2056" width="19.44140625" style="3068" customWidth="1"/>
    <col min="2057" max="2057" width="8.6640625" style="3068" customWidth="1"/>
    <col min="2058" max="2058" width="10.44140625" style="3068" customWidth="1"/>
    <col min="2059" max="2059" width="4.88671875" style="3068" customWidth="1"/>
    <col min="2060" max="2060" width="16.33203125" style="3068" customWidth="1"/>
    <col min="2061" max="2064" width="8.109375" style="3068" customWidth="1"/>
    <col min="2065" max="2304" width="9" style="3068"/>
    <col min="2305" max="2305" width="6.33203125" style="3068" customWidth="1"/>
    <col min="2306" max="2306" width="19.33203125" style="3068" customWidth="1"/>
    <col min="2307" max="2307" width="7" style="3068" customWidth="1"/>
    <col min="2308" max="2308" width="3.21875" style="3068" customWidth="1"/>
    <col min="2309" max="2309" width="7.33203125" style="3068" customWidth="1"/>
    <col min="2310" max="2310" width="3.44140625" style="3068" customWidth="1"/>
    <col min="2311" max="2311" width="19.33203125" style="3068" customWidth="1"/>
    <col min="2312" max="2312" width="19.44140625" style="3068" customWidth="1"/>
    <col min="2313" max="2313" width="8.6640625" style="3068" customWidth="1"/>
    <col min="2314" max="2314" width="10.44140625" style="3068" customWidth="1"/>
    <col min="2315" max="2315" width="4.88671875" style="3068" customWidth="1"/>
    <col min="2316" max="2316" width="16.33203125" style="3068" customWidth="1"/>
    <col min="2317" max="2320" width="8.109375" style="3068" customWidth="1"/>
    <col min="2321" max="2560" width="9" style="3068"/>
    <col min="2561" max="2561" width="6.33203125" style="3068" customWidth="1"/>
    <col min="2562" max="2562" width="19.33203125" style="3068" customWidth="1"/>
    <col min="2563" max="2563" width="7" style="3068" customWidth="1"/>
    <col min="2564" max="2564" width="3.21875" style="3068" customWidth="1"/>
    <col min="2565" max="2565" width="7.33203125" style="3068" customWidth="1"/>
    <col min="2566" max="2566" width="3.44140625" style="3068" customWidth="1"/>
    <col min="2567" max="2567" width="19.33203125" style="3068" customWidth="1"/>
    <col min="2568" max="2568" width="19.44140625" style="3068" customWidth="1"/>
    <col min="2569" max="2569" width="8.6640625" style="3068" customWidth="1"/>
    <col min="2570" max="2570" width="10.44140625" style="3068" customWidth="1"/>
    <col min="2571" max="2571" width="4.88671875" style="3068" customWidth="1"/>
    <col min="2572" max="2572" width="16.33203125" style="3068" customWidth="1"/>
    <col min="2573" max="2576" width="8.109375" style="3068" customWidth="1"/>
    <col min="2577" max="2816" width="9" style="3068"/>
    <col min="2817" max="2817" width="6.33203125" style="3068" customWidth="1"/>
    <col min="2818" max="2818" width="19.33203125" style="3068" customWidth="1"/>
    <col min="2819" max="2819" width="7" style="3068" customWidth="1"/>
    <col min="2820" max="2820" width="3.21875" style="3068" customWidth="1"/>
    <col min="2821" max="2821" width="7.33203125" style="3068" customWidth="1"/>
    <col min="2822" max="2822" width="3.44140625" style="3068" customWidth="1"/>
    <col min="2823" max="2823" width="19.33203125" style="3068" customWidth="1"/>
    <col min="2824" max="2824" width="19.44140625" style="3068" customWidth="1"/>
    <col min="2825" max="2825" width="8.6640625" style="3068" customWidth="1"/>
    <col min="2826" max="2826" width="10.44140625" style="3068" customWidth="1"/>
    <col min="2827" max="2827" width="4.88671875" style="3068" customWidth="1"/>
    <col min="2828" max="2828" width="16.33203125" style="3068" customWidth="1"/>
    <col min="2829" max="2832" width="8.109375" style="3068" customWidth="1"/>
    <col min="2833" max="3072" width="9" style="3068"/>
    <col min="3073" max="3073" width="6.33203125" style="3068" customWidth="1"/>
    <col min="3074" max="3074" width="19.33203125" style="3068" customWidth="1"/>
    <col min="3075" max="3075" width="7" style="3068" customWidth="1"/>
    <col min="3076" max="3076" width="3.21875" style="3068" customWidth="1"/>
    <col min="3077" max="3077" width="7.33203125" style="3068" customWidth="1"/>
    <col min="3078" max="3078" width="3.44140625" style="3068" customWidth="1"/>
    <col min="3079" max="3079" width="19.33203125" style="3068" customWidth="1"/>
    <col min="3080" max="3080" width="19.44140625" style="3068" customWidth="1"/>
    <col min="3081" max="3081" width="8.6640625" style="3068" customWidth="1"/>
    <col min="3082" max="3082" width="10.44140625" style="3068" customWidth="1"/>
    <col min="3083" max="3083" width="4.88671875" style="3068" customWidth="1"/>
    <col min="3084" max="3084" width="16.33203125" style="3068" customWidth="1"/>
    <col min="3085" max="3088" width="8.109375" style="3068" customWidth="1"/>
    <col min="3089" max="3328" width="9" style="3068"/>
    <col min="3329" max="3329" width="6.33203125" style="3068" customWidth="1"/>
    <col min="3330" max="3330" width="19.33203125" style="3068" customWidth="1"/>
    <col min="3331" max="3331" width="7" style="3068" customWidth="1"/>
    <col min="3332" max="3332" width="3.21875" style="3068" customWidth="1"/>
    <col min="3333" max="3333" width="7.33203125" style="3068" customWidth="1"/>
    <col min="3334" max="3334" width="3.44140625" style="3068" customWidth="1"/>
    <col min="3335" max="3335" width="19.33203125" style="3068" customWidth="1"/>
    <col min="3336" max="3336" width="19.44140625" style="3068" customWidth="1"/>
    <col min="3337" max="3337" width="8.6640625" style="3068" customWidth="1"/>
    <col min="3338" max="3338" width="10.44140625" style="3068" customWidth="1"/>
    <col min="3339" max="3339" width="4.88671875" style="3068" customWidth="1"/>
    <col min="3340" max="3340" width="16.33203125" style="3068" customWidth="1"/>
    <col min="3341" max="3344" width="8.109375" style="3068" customWidth="1"/>
    <col min="3345" max="3584" width="9" style="3068"/>
    <col min="3585" max="3585" width="6.33203125" style="3068" customWidth="1"/>
    <col min="3586" max="3586" width="19.33203125" style="3068" customWidth="1"/>
    <col min="3587" max="3587" width="7" style="3068" customWidth="1"/>
    <col min="3588" max="3588" width="3.21875" style="3068" customWidth="1"/>
    <col min="3589" max="3589" width="7.33203125" style="3068" customWidth="1"/>
    <col min="3590" max="3590" width="3.44140625" style="3068" customWidth="1"/>
    <col min="3591" max="3591" width="19.33203125" style="3068" customWidth="1"/>
    <col min="3592" max="3592" width="19.44140625" style="3068" customWidth="1"/>
    <col min="3593" max="3593" width="8.6640625" style="3068" customWidth="1"/>
    <col min="3594" max="3594" width="10.44140625" style="3068" customWidth="1"/>
    <col min="3595" max="3595" width="4.88671875" style="3068" customWidth="1"/>
    <col min="3596" max="3596" width="16.33203125" style="3068" customWidth="1"/>
    <col min="3597" max="3600" width="8.109375" style="3068" customWidth="1"/>
    <col min="3601" max="3840" width="9" style="3068"/>
    <col min="3841" max="3841" width="6.33203125" style="3068" customWidth="1"/>
    <col min="3842" max="3842" width="19.33203125" style="3068" customWidth="1"/>
    <col min="3843" max="3843" width="7" style="3068" customWidth="1"/>
    <col min="3844" max="3844" width="3.21875" style="3068" customWidth="1"/>
    <col min="3845" max="3845" width="7.33203125" style="3068" customWidth="1"/>
    <col min="3846" max="3846" width="3.44140625" style="3068" customWidth="1"/>
    <col min="3847" max="3847" width="19.33203125" style="3068" customWidth="1"/>
    <col min="3848" max="3848" width="19.44140625" style="3068" customWidth="1"/>
    <col min="3849" max="3849" width="8.6640625" style="3068" customWidth="1"/>
    <col min="3850" max="3850" width="10.44140625" style="3068" customWidth="1"/>
    <col min="3851" max="3851" width="4.88671875" style="3068" customWidth="1"/>
    <col min="3852" max="3852" width="16.33203125" style="3068" customWidth="1"/>
    <col min="3853" max="3856" width="8.109375" style="3068" customWidth="1"/>
    <col min="3857" max="4096" width="9" style="3068"/>
    <col min="4097" max="4097" width="6.33203125" style="3068" customWidth="1"/>
    <col min="4098" max="4098" width="19.33203125" style="3068" customWidth="1"/>
    <col min="4099" max="4099" width="7" style="3068" customWidth="1"/>
    <col min="4100" max="4100" width="3.21875" style="3068" customWidth="1"/>
    <col min="4101" max="4101" width="7.33203125" style="3068" customWidth="1"/>
    <col min="4102" max="4102" width="3.44140625" style="3068" customWidth="1"/>
    <col min="4103" max="4103" width="19.33203125" style="3068" customWidth="1"/>
    <col min="4104" max="4104" width="19.44140625" style="3068" customWidth="1"/>
    <col min="4105" max="4105" width="8.6640625" style="3068" customWidth="1"/>
    <col min="4106" max="4106" width="10.44140625" style="3068" customWidth="1"/>
    <col min="4107" max="4107" width="4.88671875" style="3068" customWidth="1"/>
    <col min="4108" max="4108" width="16.33203125" style="3068" customWidth="1"/>
    <col min="4109" max="4112" width="8.109375" style="3068" customWidth="1"/>
    <col min="4113" max="4352" width="9" style="3068"/>
    <col min="4353" max="4353" width="6.33203125" style="3068" customWidth="1"/>
    <col min="4354" max="4354" width="19.33203125" style="3068" customWidth="1"/>
    <col min="4355" max="4355" width="7" style="3068" customWidth="1"/>
    <col min="4356" max="4356" width="3.21875" style="3068" customWidth="1"/>
    <col min="4357" max="4357" width="7.33203125" style="3068" customWidth="1"/>
    <col min="4358" max="4358" width="3.44140625" style="3068" customWidth="1"/>
    <col min="4359" max="4359" width="19.33203125" style="3068" customWidth="1"/>
    <col min="4360" max="4360" width="19.44140625" style="3068" customWidth="1"/>
    <col min="4361" max="4361" width="8.6640625" style="3068" customWidth="1"/>
    <col min="4362" max="4362" width="10.44140625" style="3068" customWidth="1"/>
    <col min="4363" max="4363" width="4.88671875" style="3068" customWidth="1"/>
    <col min="4364" max="4364" width="16.33203125" style="3068" customWidth="1"/>
    <col min="4365" max="4368" width="8.109375" style="3068" customWidth="1"/>
    <col min="4369" max="4608" width="9" style="3068"/>
    <col min="4609" max="4609" width="6.33203125" style="3068" customWidth="1"/>
    <col min="4610" max="4610" width="19.33203125" style="3068" customWidth="1"/>
    <col min="4611" max="4611" width="7" style="3068" customWidth="1"/>
    <col min="4612" max="4612" width="3.21875" style="3068" customWidth="1"/>
    <col min="4613" max="4613" width="7.33203125" style="3068" customWidth="1"/>
    <col min="4614" max="4614" width="3.44140625" style="3068" customWidth="1"/>
    <col min="4615" max="4615" width="19.33203125" style="3068" customWidth="1"/>
    <col min="4616" max="4616" width="19.44140625" style="3068" customWidth="1"/>
    <col min="4617" max="4617" width="8.6640625" style="3068" customWidth="1"/>
    <col min="4618" max="4618" width="10.44140625" style="3068" customWidth="1"/>
    <col min="4619" max="4619" width="4.88671875" style="3068" customWidth="1"/>
    <col min="4620" max="4620" width="16.33203125" style="3068" customWidth="1"/>
    <col min="4621" max="4624" width="8.109375" style="3068" customWidth="1"/>
    <col min="4625" max="4864" width="9" style="3068"/>
    <col min="4865" max="4865" width="6.33203125" style="3068" customWidth="1"/>
    <col min="4866" max="4866" width="19.33203125" style="3068" customWidth="1"/>
    <col min="4867" max="4867" width="7" style="3068" customWidth="1"/>
    <col min="4868" max="4868" width="3.21875" style="3068" customWidth="1"/>
    <col min="4869" max="4869" width="7.33203125" style="3068" customWidth="1"/>
    <col min="4870" max="4870" width="3.44140625" style="3068" customWidth="1"/>
    <col min="4871" max="4871" width="19.33203125" style="3068" customWidth="1"/>
    <col min="4872" max="4872" width="19.44140625" style="3068" customWidth="1"/>
    <col min="4873" max="4873" width="8.6640625" style="3068" customWidth="1"/>
    <col min="4874" max="4874" width="10.44140625" style="3068" customWidth="1"/>
    <col min="4875" max="4875" width="4.88671875" style="3068" customWidth="1"/>
    <col min="4876" max="4876" width="16.33203125" style="3068" customWidth="1"/>
    <col min="4877" max="4880" width="8.109375" style="3068" customWidth="1"/>
    <col min="4881" max="5120" width="9" style="3068"/>
    <col min="5121" max="5121" width="6.33203125" style="3068" customWidth="1"/>
    <col min="5122" max="5122" width="19.33203125" style="3068" customWidth="1"/>
    <col min="5123" max="5123" width="7" style="3068" customWidth="1"/>
    <col min="5124" max="5124" width="3.21875" style="3068" customWidth="1"/>
    <col min="5125" max="5125" width="7.33203125" style="3068" customWidth="1"/>
    <col min="5126" max="5126" width="3.44140625" style="3068" customWidth="1"/>
    <col min="5127" max="5127" width="19.33203125" style="3068" customWidth="1"/>
    <col min="5128" max="5128" width="19.44140625" style="3068" customWidth="1"/>
    <col min="5129" max="5129" width="8.6640625" style="3068" customWidth="1"/>
    <col min="5130" max="5130" width="10.44140625" style="3068" customWidth="1"/>
    <col min="5131" max="5131" width="4.88671875" style="3068" customWidth="1"/>
    <col min="5132" max="5132" width="16.33203125" style="3068" customWidth="1"/>
    <col min="5133" max="5136" width="8.109375" style="3068" customWidth="1"/>
    <col min="5137" max="5376" width="9" style="3068"/>
    <col min="5377" max="5377" width="6.33203125" style="3068" customWidth="1"/>
    <col min="5378" max="5378" width="19.33203125" style="3068" customWidth="1"/>
    <col min="5379" max="5379" width="7" style="3068" customWidth="1"/>
    <col min="5380" max="5380" width="3.21875" style="3068" customWidth="1"/>
    <col min="5381" max="5381" width="7.33203125" style="3068" customWidth="1"/>
    <col min="5382" max="5382" width="3.44140625" style="3068" customWidth="1"/>
    <col min="5383" max="5383" width="19.33203125" style="3068" customWidth="1"/>
    <col min="5384" max="5384" width="19.44140625" style="3068" customWidth="1"/>
    <col min="5385" max="5385" width="8.6640625" style="3068" customWidth="1"/>
    <col min="5386" max="5386" width="10.44140625" style="3068" customWidth="1"/>
    <col min="5387" max="5387" width="4.88671875" style="3068" customWidth="1"/>
    <col min="5388" max="5388" width="16.33203125" style="3068" customWidth="1"/>
    <col min="5389" max="5392" width="8.109375" style="3068" customWidth="1"/>
    <col min="5393" max="5632" width="9" style="3068"/>
    <col min="5633" max="5633" width="6.33203125" style="3068" customWidth="1"/>
    <col min="5634" max="5634" width="19.33203125" style="3068" customWidth="1"/>
    <col min="5635" max="5635" width="7" style="3068" customWidth="1"/>
    <col min="5636" max="5636" width="3.21875" style="3068" customWidth="1"/>
    <col min="5637" max="5637" width="7.33203125" style="3068" customWidth="1"/>
    <col min="5638" max="5638" width="3.44140625" style="3068" customWidth="1"/>
    <col min="5639" max="5639" width="19.33203125" style="3068" customWidth="1"/>
    <col min="5640" max="5640" width="19.44140625" style="3068" customWidth="1"/>
    <col min="5641" max="5641" width="8.6640625" style="3068" customWidth="1"/>
    <col min="5642" max="5642" width="10.44140625" style="3068" customWidth="1"/>
    <col min="5643" max="5643" width="4.88671875" style="3068" customWidth="1"/>
    <col min="5644" max="5644" width="16.33203125" style="3068" customWidth="1"/>
    <col min="5645" max="5648" width="8.109375" style="3068" customWidth="1"/>
    <col min="5649" max="5888" width="9" style="3068"/>
    <col min="5889" max="5889" width="6.33203125" style="3068" customWidth="1"/>
    <col min="5890" max="5890" width="19.33203125" style="3068" customWidth="1"/>
    <col min="5891" max="5891" width="7" style="3068" customWidth="1"/>
    <col min="5892" max="5892" width="3.21875" style="3068" customWidth="1"/>
    <col min="5893" max="5893" width="7.33203125" style="3068" customWidth="1"/>
    <col min="5894" max="5894" width="3.44140625" style="3068" customWidth="1"/>
    <col min="5895" max="5895" width="19.33203125" style="3068" customWidth="1"/>
    <col min="5896" max="5896" width="19.44140625" style="3068" customWidth="1"/>
    <col min="5897" max="5897" width="8.6640625" style="3068" customWidth="1"/>
    <col min="5898" max="5898" width="10.44140625" style="3068" customWidth="1"/>
    <col min="5899" max="5899" width="4.88671875" style="3068" customWidth="1"/>
    <col min="5900" max="5900" width="16.33203125" style="3068" customWidth="1"/>
    <col min="5901" max="5904" width="8.109375" style="3068" customWidth="1"/>
    <col min="5905" max="6144" width="9" style="3068"/>
    <col min="6145" max="6145" width="6.33203125" style="3068" customWidth="1"/>
    <col min="6146" max="6146" width="19.33203125" style="3068" customWidth="1"/>
    <col min="6147" max="6147" width="7" style="3068" customWidth="1"/>
    <col min="6148" max="6148" width="3.21875" style="3068" customWidth="1"/>
    <col min="6149" max="6149" width="7.33203125" style="3068" customWidth="1"/>
    <col min="6150" max="6150" width="3.44140625" style="3068" customWidth="1"/>
    <col min="6151" max="6151" width="19.33203125" style="3068" customWidth="1"/>
    <col min="6152" max="6152" width="19.44140625" style="3068" customWidth="1"/>
    <col min="6153" max="6153" width="8.6640625" style="3068" customWidth="1"/>
    <col min="6154" max="6154" width="10.44140625" style="3068" customWidth="1"/>
    <col min="6155" max="6155" width="4.88671875" style="3068" customWidth="1"/>
    <col min="6156" max="6156" width="16.33203125" style="3068" customWidth="1"/>
    <col min="6157" max="6160" width="8.109375" style="3068" customWidth="1"/>
    <col min="6161" max="6400" width="9" style="3068"/>
    <col min="6401" max="6401" width="6.33203125" style="3068" customWidth="1"/>
    <col min="6402" max="6402" width="19.33203125" style="3068" customWidth="1"/>
    <col min="6403" max="6403" width="7" style="3068" customWidth="1"/>
    <col min="6404" max="6404" width="3.21875" style="3068" customWidth="1"/>
    <col min="6405" max="6405" width="7.33203125" style="3068" customWidth="1"/>
    <col min="6406" max="6406" width="3.44140625" style="3068" customWidth="1"/>
    <col min="6407" max="6407" width="19.33203125" style="3068" customWidth="1"/>
    <col min="6408" max="6408" width="19.44140625" style="3068" customWidth="1"/>
    <col min="6409" max="6409" width="8.6640625" style="3068" customWidth="1"/>
    <col min="6410" max="6410" width="10.44140625" style="3068" customWidth="1"/>
    <col min="6411" max="6411" width="4.88671875" style="3068" customWidth="1"/>
    <col min="6412" max="6412" width="16.33203125" style="3068" customWidth="1"/>
    <col min="6413" max="6416" width="8.109375" style="3068" customWidth="1"/>
    <col min="6417" max="6656" width="9" style="3068"/>
    <col min="6657" max="6657" width="6.33203125" style="3068" customWidth="1"/>
    <col min="6658" max="6658" width="19.33203125" style="3068" customWidth="1"/>
    <col min="6659" max="6659" width="7" style="3068" customWidth="1"/>
    <col min="6660" max="6660" width="3.21875" style="3068" customWidth="1"/>
    <col min="6661" max="6661" width="7.33203125" style="3068" customWidth="1"/>
    <col min="6662" max="6662" width="3.44140625" style="3068" customWidth="1"/>
    <col min="6663" max="6663" width="19.33203125" style="3068" customWidth="1"/>
    <col min="6664" max="6664" width="19.44140625" style="3068" customWidth="1"/>
    <col min="6665" max="6665" width="8.6640625" style="3068" customWidth="1"/>
    <col min="6666" max="6666" width="10.44140625" style="3068" customWidth="1"/>
    <col min="6667" max="6667" width="4.88671875" style="3068" customWidth="1"/>
    <col min="6668" max="6668" width="16.33203125" style="3068" customWidth="1"/>
    <col min="6669" max="6672" width="8.109375" style="3068" customWidth="1"/>
    <col min="6673" max="6912" width="9" style="3068"/>
    <col min="6913" max="6913" width="6.33203125" style="3068" customWidth="1"/>
    <col min="6914" max="6914" width="19.33203125" style="3068" customWidth="1"/>
    <col min="6915" max="6915" width="7" style="3068" customWidth="1"/>
    <col min="6916" max="6916" width="3.21875" style="3068" customWidth="1"/>
    <col min="6917" max="6917" width="7.33203125" style="3068" customWidth="1"/>
    <col min="6918" max="6918" width="3.44140625" style="3068" customWidth="1"/>
    <col min="6919" max="6919" width="19.33203125" style="3068" customWidth="1"/>
    <col min="6920" max="6920" width="19.44140625" style="3068" customWidth="1"/>
    <col min="6921" max="6921" width="8.6640625" style="3068" customWidth="1"/>
    <col min="6922" max="6922" width="10.44140625" style="3068" customWidth="1"/>
    <col min="6923" max="6923" width="4.88671875" style="3068" customWidth="1"/>
    <col min="6924" max="6924" width="16.33203125" style="3068" customWidth="1"/>
    <col min="6925" max="6928" width="8.109375" style="3068" customWidth="1"/>
    <col min="6929" max="7168" width="9" style="3068"/>
    <col min="7169" max="7169" width="6.33203125" style="3068" customWidth="1"/>
    <col min="7170" max="7170" width="19.33203125" style="3068" customWidth="1"/>
    <col min="7171" max="7171" width="7" style="3068" customWidth="1"/>
    <col min="7172" max="7172" width="3.21875" style="3068" customWidth="1"/>
    <col min="7173" max="7173" width="7.33203125" style="3068" customWidth="1"/>
    <col min="7174" max="7174" width="3.44140625" style="3068" customWidth="1"/>
    <col min="7175" max="7175" width="19.33203125" style="3068" customWidth="1"/>
    <col min="7176" max="7176" width="19.44140625" style="3068" customWidth="1"/>
    <col min="7177" max="7177" width="8.6640625" style="3068" customWidth="1"/>
    <col min="7178" max="7178" width="10.44140625" style="3068" customWidth="1"/>
    <col min="7179" max="7179" width="4.88671875" style="3068" customWidth="1"/>
    <col min="7180" max="7180" width="16.33203125" style="3068" customWidth="1"/>
    <col min="7181" max="7184" width="8.109375" style="3068" customWidth="1"/>
    <col min="7185" max="7424" width="9" style="3068"/>
    <col min="7425" max="7425" width="6.33203125" style="3068" customWidth="1"/>
    <col min="7426" max="7426" width="19.33203125" style="3068" customWidth="1"/>
    <col min="7427" max="7427" width="7" style="3068" customWidth="1"/>
    <col min="7428" max="7428" width="3.21875" style="3068" customWidth="1"/>
    <col min="7429" max="7429" width="7.33203125" style="3068" customWidth="1"/>
    <col min="7430" max="7430" width="3.44140625" style="3068" customWidth="1"/>
    <col min="7431" max="7431" width="19.33203125" style="3068" customWidth="1"/>
    <col min="7432" max="7432" width="19.44140625" style="3068" customWidth="1"/>
    <col min="7433" max="7433" width="8.6640625" style="3068" customWidth="1"/>
    <col min="7434" max="7434" width="10.44140625" style="3068" customWidth="1"/>
    <col min="7435" max="7435" width="4.88671875" style="3068" customWidth="1"/>
    <col min="7436" max="7436" width="16.33203125" style="3068" customWidth="1"/>
    <col min="7437" max="7440" width="8.109375" style="3068" customWidth="1"/>
    <col min="7441" max="7680" width="9" style="3068"/>
    <col min="7681" max="7681" width="6.33203125" style="3068" customWidth="1"/>
    <col min="7682" max="7682" width="19.33203125" style="3068" customWidth="1"/>
    <col min="7683" max="7683" width="7" style="3068" customWidth="1"/>
    <col min="7684" max="7684" width="3.21875" style="3068" customWidth="1"/>
    <col min="7685" max="7685" width="7.33203125" style="3068" customWidth="1"/>
    <col min="7686" max="7686" width="3.44140625" style="3068" customWidth="1"/>
    <col min="7687" max="7687" width="19.33203125" style="3068" customWidth="1"/>
    <col min="7688" max="7688" width="19.44140625" style="3068" customWidth="1"/>
    <col min="7689" max="7689" width="8.6640625" style="3068" customWidth="1"/>
    <col min="7690" max="7690" width="10.44140625" style="3068" customWidth="1"/>
    <col min="7691" max="7691" width="4.88671875" style="3068" customWidth="1"/>
    <col min="7692" max="7692" width="16.33203125" style="3068" customWidth="1"/>
    <col min="7693" max="7696" width="8.109375" style="3068" customWidth="1"/>
    <col min="7697" max="7936" width="9" style="3068"/>
    <col min="7937" max="7937" width="6.33203125" style="3068" customWidth="1"/>
    <col min="7938" max="7938" width="19.33203125" style="3068" customWidth="1"/>
    <col min="7939" max="7939" width="7" style="3068" customWidth="1"/>
    <col min="7940" max="7940" width="3.21875" style="3068" customWidth="1"/>
    <col min="7941" max="7941" width="7.33203125" style="3068" customWidth="1"/>
    <col min="7942" max="7942" width="3.44140625" style="3068" customWidth="1"/>
    <col min="7943" max="7943" width="19.33203125" style="3068" customWidth="1"/>
    <col min="7944" max="7944" width="19.44140625" style="3068" customWidth="1"/>
    <col min="7945" max="7945" width="8.6640625" style="3068" customWidth="1"/>
    <col min="7946" max="7946" width="10.44140625" style="3068" customWidth="1"/>
    <col min="7947" max="7947" width="4.88671875" style="3068" customWidth="1"/>
    <col min="7948" max="7948" width="16.33203125" style="3068" customWidth="1"/>
    <col min="7949" max="7952" width="8.109375" style="3068" customWidth="1"/>
    <col min="7953" max="8192" width="9" style="3068"/>
    <col min="8193" max="8193" width="6.33203125" style="3068" customWidth="1"/>
    <col min="8194" max="8194" width="19.33203125" style="3068" customWidth="1"/>
    <col min="8195" max="8195" width="7" style="3068" customWidth="1"/>
    <col min="8196" max="8196" width="3.21875" style="3068" customWidth="1"/>
    <col min="8197" max="8197" width="7.33203125" style="3068" customWidth="1"/>
    <col min="8198" max="8198" width="3.44140625" style="3068" customWidth="1"/>
    <col min="8199" max="8199" width="19.33203125" style="3068" customWidth="1"/>
    <col min="8200" max="8200" width="19.44140625" style="3068" customWidth="1"/>
    <col min="8201" max="8201" width="8.6640625" style="3068" customWidth="1"/>
    <col min="8202" max="8202" width="10.44140625" style="3068" customWidth="1"/>
    <col min="8203" max="8203" width="4.88671875" style="3068" customWidth="1"/>
    <col min="8204" max="8204" width="16.33203125" style="3068" customWidth="1"/>
    <col min="8205" max="8208" width="8.109375" style="3068" customWidth="1"/>
    <col min="8209" max="8448" width="9" style="3068"/>
    <col min="8449" max="8449" width="6.33203125" style="3068" customWidth="1"/>
    <col min="8450" max="8450" width="19.33203125" style="3068" customWidth="1"/>
    <col min="8451" max="8451" width="7" style="3068" customWidth="1"/>
    <col min="8452" max="8452" width="3.21875" style="3068" customWidth="1"/>
    <col min="8453" max="8453" width="7.33203125" style="3068" customWidth="1"/>
    <col min="8454" max="8454" width="3.44140625" style="3068" customWidth="1"/>
    <col min="8455" max="8455" width="19.33203125" style="3068" customWidth="1"/>
    <col min="8456" max="8456" width="19.44140625" style="3068" customWidth="1"/>
    <col min="8457" max="8457" width="8.6640625" style="3068" customWidth="1"/>
    <col min="8458" max="8458" width="10.44140625" style="3068" customWidth="1"/>
    <col min="8459" max="8459" width="4.88671875" style="3068" customWidth="1"/>
    <col min="8460" max="8460" width="16.33203125" style="3068" customWidth="1"/>
    <col min="8461" max="8464" width="8.109375" style="3068" customWidth="1"/>
    <col min="8465" max="8704" width="9" style="3068"/>
    <col min="8705" max="8705" width="6.33203125" style="3068" customWidth="1"/>
    <col min="8706" max="8706" width="19.33203125" style="3068" customWidth="1"/>
    <col min="8707" max="8707" width="7" style="3068" customWidth="1"/>
    <col min="8708" max="8708" width="3.21875" style="3068" customWidth="1"/>
    <col min="8709" max="8709" width="7.33203125" style="3068" customWidth="1"/>
    <col min="8710" max="8710" width="3.44140625" style="3068" customWidth="1"/>
    <col min="8711" max="8711" width="19.33203125" style="3068" customWidth="1"/>
    <col min="8712" max="8712" width="19.44140625" style="3068" customWidth="1"/>
    <col min="8713" max="8713" width="8.6640625" style="3068" customWidth="1"/>
    <col min="8714" max="8714" width="10.44140625" style="3068" customWidth="1"/>
    <col min="8715" max="8715" width="4.88671875" style="3068" customWidth="1"/>
    <col min="8716" max="8716" width="16.33203125" style="3068" customWidth="1"/>
    <col min="8717" max="8720" width="8.109375" style="3068" customWidth="1"/>
    <col min="8721" max="8960" width="9" style="3068"/>
    <col min="8961" max="8961" width="6.33203125" style="3068" customWidth="1"/>
    <col min="8962" max="8962" width="19.33203125" style="3068" customWidth="1"/>
    <col min="8963" max="8963" width="7" style="3068" customWidth="1"/>
    <col min="8964" max="8964" width="3.21875" style="3068" customWidth="1"/>
    <col min="8965" max="8965" width="7.33203125" style="3068" customWidth="1"/>
    <col min="8966" max="8966" width="3.44140625" style="3068" customWidth="1"/>
    <col min="8967" max="8967" width="19.33203125" style="3068" customWidth="1"/>
    <col min="8968" max="8968" width="19.44140625" style="3068" customWidth="1"/>
    <col min="8969" max="8969" width="8.6640625" style="3068" customWidth="1"/>
    <col min="8970" max="8970" width="10.44140625" style="3068" customWidth="1"/>
    <col min="8971" max="8971" width="4.88671875" style="3068" customWidth="1"/>
    <col min="8972" max="8972" width="16.33203125" style="3068" customWidth="1"/>
    <col min="8973" max="8976" width="8.109375" style="3068" customWidth="1"/>
    <col min="8977" max="9216" width="9" style="3068"/>
    <col min="9217" max="9217" width="6.33203125" style="3068" customWidth="1"/>
    <col min="9218" max="9218" width="19.33203125" style="3068" customWidth="1"/>
    <col min="9219" max="9219" width="7" style="3068" customWidth="1"/>
    <col min="9220" max="9220" width="3.21875" style="3068" customWidth="1"/>
    <col min="9221" max="9221" width="7.33203125" style="3068" customWidth="1"/>
    <col min="9222" max="9222" width="3.44140625" style="3068" customWidth="1"/>
    <col min="9223" max="9223" width="19.33203125" style="3068" customWidth="1"/>
    <col min="9224" max="9224" width="19.44140625" style="3068" customWidth="1"/>
    <col min="9225" max="9225" width="8.6640625" style="3068" customWidth="1"/>
    <col min="9226" max="9226" width="10.44140625" style="3068" customWidth="1"/>
    <col min="9227" max="9227" width="4.88671875" style="3068" customWidth="1"/>
    <col min="9228" max="9228" width="16.33203125" style="3068" customWidth="1"/>
    <col min="9229" max="9232" width="8.109375" style="3068" customWidth="1"/>
    <col min="9233" max="9472" width="9" style="3068"/>
    <col min="9473" max="9473" width="6.33203125" style="3068" customWidth="1"/>
    <col min="9474" max="9474" width="19.33203125" style="3068" customWidth="1"/>
    <col min="9475" max="9475" width="7" style="3068" customWidth="1"/>
    <col min="9476" max="9476" width="3.21875" style="3068" customWidth="1"/>
    <col min="9477" max="9477" width="7.33203125" style="3068" customWidth="1"/>
    <col min="9478" max="9478" width="3.44140625" style="3068" customWidth="1"/>
    <col min="9479" max="9479" width="19.33203125" style="3068" customWidth="1"/>
    <col min="9480" max="9480" width="19.44140625" style="3068" customWidth="1"/>
    <col min="9481" max="9481" width="8.6640625" style="3068" customWidth="1"/>
    <col min="9482" max="9482" width="10.44140625" style="3068" customWidth="1"/>
    <col min="9483" max="9483" width="4.88671875" style="3068" customWidth="1"/>
    <col min="9484" max="9484" width="16.33203125" style="3068" customWidth="1"/>
    <col min="9485" max="9488" width="8.109375" style="3068" customWidth="1"/>
    <col min="9489" max="9728" width="9" style="3068"/>
    <col min="9729" max="9729" width="6.33203125" style="3068" customWidth="1"/>
    <col min="9730" max="9730" width="19.33203125" style="3068" customWidth="1"/>
    <col min="9731" max="9731" width="7" style="3068" customWidth="1"/>
    <col min="9732" max="9732" width="3.21875" style="3068" customWidth="1"/>
    <col min="9733" max="9733" width="7.33203125" style="3068" customWidth="1"/>
    <col min="9734" max="9734" width="3.44140625" style="3068" customWidth="1"/>
    <col min="9735" max="9735" width="19.33203125" style="3068" customWidth="1"/>
    <col min="9736" max="9736" width="19.44140625" style="3068" customWidth="1"/>
    <col min="9737" max="9737" width="8.6640625" style="3068" customWidth="1"/>
    <col min="9738" max="9738" width="10.44140625" style="3068" customWidth="1"/>
    <col min="9739" max="9739" width="4.88671875" style="3068" customWidth="1"/>
    <col min="9740" max="9740" width="16.33203125" style="3068" customWidth="1"/>
    <col min="9741" max="9744" width="8.109375" style="3068" customWidth="1"/>
    <col min="9745" max="9984" width="9" style="3068"/>
    <col min="9985" max="9985" width="6.33203125" style="3068" customWidth="1"/>
    <col min="9986" max="9986" width="19.33203125" style="3068" customWidth="1"/>
    <col min="9987" max="9987" width="7" style="3068" customWidth="1"/>
    <col min="9988" max="9988" width="3.21875" style="3068" customWidth="1"/>
    <col min="9989" max="9989" width="7.33203125" style="3068" customWidth="1"/>
    <col min="9990" max="9990" width="3.44140625" style="3068" customWidth="1"/>
    <col min="9991" max="9991" width="19.33203125" style="3068" customWidth="1"/>
    <col min="9992" max="9992" width="19.44140625" style="3068" customWidth="1"/>
    <col min="9993" max="9993" width="8.6640625" style="3068" customWidth="1"/>
    <col min="9994" max="9994" width="10.44140625" style="3068" customWidth="1"/>
    <col min="9995" max="9995" width="4.88671875" style="3068" customWidth="1"/>
    <col min="9996" max="9996" width="16.33203125" style="3068" customWidth="1"/>
    <col min="9997" max="10000" width="8.109375" style="3068" customWidth="1"/>
    <col min="10001" max="10240" width="9" style="3068"/>
    <col min="10241" max="10241" width="6.33203125" style="3068" customWidth="1"/>
    <col min="10242" max="10242" width="19.33203125" style="3068" customWidth="1"/>
    <col min="10243" max="10243" width="7" style="3068" customWidth="1"/>
    <col min="10244" max="10244" width="3.21875" style="3068" customWidth="1"/>
    <col min="10245" max="10245" width="7.33203125" style="3068" customWidth="1"/>
    <col min="10246" max="10246" width="3.44140625" style="3068" customWidth="1"/>
    <col min="10247" max="10247" width="19.33203125" style="3068" customWidth="1"/>
    <col min="10248" max="10248" width="19.44140625" style="3068" customWidth="1"/>
    <col min="10249" max="10249" width="8.6640625" style="3068" customWidth="1"/>
    <col min="10250" max="10250" width="10.44140625" style="3068" customWidth="1"/>
    <col min="10251" max="10251" width="4.88671875" style="3068" customWidth="1"/>
    <col min="10252" max="10252" width="16.33203125" style="3068" customWidth="1"/>
    <col min="10253" max="10256" width="8.109375" style="3068" customWidth="1"/>
    <col min="10257" max="10496" width="9" style="3068"/>
    <col min="10497" max="10497" width="6.33203125" style="3068" customWidth="1"/>
    <col min="10498" max="10498" width="19.33203125" style="3068" customWidth="1"/>
    <col min="10499" max="10499" width="7" style="3068" customWidth="1"/>
    <col min="10500" max="10500" width="3.21875" style="3068" customWidth="1"/>
    <col min="10501" max="10501" width="7.33203125" style="3068" customWidth="1"/>
    <col min="10502" max="10502" width="3.44140625" style="3068" customWidth="1"/>
    <col min="10503" max="10503" width="19.33203125" style="3068" customWidth="1"/>
    <col min="10504" max="10504" width="19.44140625" style="3068" customWidth="1"/>
    <col min="10505" max="10505" width="8.6640625" style="3068" customWidth="1"/>
    <col min="10506" max="10506" width="10.44140625" style="3068" customWidth="1"/>
    <col min="10507" max="10507" width="4.88671875" style="3068" customWidth="1"/>
    <col min="10508" max="10508" width="16.33203125" style="3068" customWidth="1"/>
    <col min="10509" max="10512" width="8.109375" style="3068" customWidth="1"/>
    <col min="10513" max="10752" width="9" style="3068"/>
    <col min="10753" max="10753" width="6.33203125" style="3068" customWidth="1"/>
    <col min="10754" max="10754" width="19.33203125" style="3068" customWidth="1"/>
    <col min="10755" max="10755" width="7" style="3068" customWidth="1"/>
    <col min="10756" max="10756" width="3.21875" style="3068" customWidth="1"/>
    <col min="10757" max="10757" width="7.33203125" style="3068" customWidth="1"/>
    <col min="10758" max="10758" width="3.44140625" style="3068" customWidth="1"/>
    <col min="10759" max="10759" width="19.33203125" style="3068" customWidth="1"/>
    <col min="10760" max="10760" width="19.44140625" style="3068" customWidth="1"/>
    <col min="10761" max="10761" width="8.6640625" style="3068" customWidth="1"/>
    <col min="10762" max="10762" width="10.44140625" style="3068" customWidth="1"/>
    <col min="10763" max="10763" width="4.88671875" style="3068" customWidth="1"/>
    <col min="10764" max="10764" width="16.33203125" style="3068" customWidth="1"/>
    <col min="10765" max="10768" width="8.109375" style="3068" customWidth="1"/>
    <col min="10769" max="11008" width="9" style="3068"/>
    <col min="11009" max="11009" width="6.33203125" style="3068" customWidth="1"/>
    <col min="11010" max="11010" width="19.33203125" style="3068" customWidth="1"/>
    <col min="11011" max="11011" width="7" style="3068" customWidth="1"/>
    <col min="11012" max="11012" width="3.21875" style="3068" customWidth="1"/>
    <col min="11013" max="11013" width="7.33203125" style="3068" customWidth="1"/>
    <col min="11014" max="11014" width="3.44140625" style="3068" customWidth="1"/>
    <col min="11015" max="11015" width="19.33203125" style="3068" customWidth="1"/>
    <col min="11016" max="11016" width="19.44140625" style="3068" customWidth="1"/>
    <col min="11017" max="11017" width="8.6640625" style="3068" customWidth="1"/>
    <col min="11018" max="11018" width="10.44140625" style="3068" customWidth="1"/>
    <col min="11019" max="11019" width="4.88671875" style="3068" customWidth="1"/>
    <col min="11020" max="11020" width="16.33203125" style="3068" customWidth="1"/>
    <col min="11021" max="11024" width="8.109375" style="3068" customWidth="1"/>
    <col min="11025" max="11264" width="9" style="3068"/>
    <col min="11265" max="11265" width="6.33203125" style="3068" customWidth="1"/>
    <col min="11266" max="11266" width="19.33203125" style="3068" customWidth="1"/>
    <col min="11267" max="11267" width="7" style="3068" customWidth="1"/>
    <col min="11268" max="11268" width="3.21875" style="3068" customWidth="1"/>
    <col min="11269" max="11269" width="7.33203125" style="3068" customWidth="1"/>
    <col min="11270" max="11270" width="3.44140625" style="3068" customWidth="1"/>
    <col min="11271" max="11271" width="19.33203125" style="3068" customWidth="1"/>
    <col min="11272" max="11272" width="19.44140625" style="3068" customWidth="1"/>
    <col min="11273" max="11273" width="8.6640625" style="3068" customWidth="1"/>
    <col min="11274" max="11274" width="10.44140625" style="3068" customWidth="1"/>
    <col min="11275" max="11275" width="4.88671875" style="3068" customWidth="1"/>
    <col min="11276" max="11276" width="16.33203125" style="3068" customWidth="1"/>
    <col min="11277" max="11280" width="8.109375" style="3068" customWidth="1"/>
    <col min="11281" max="11520" width="9" style="3068"/>
    <col min="11521" max="11521" width="6.33203125" style="3068" customWidth="1"/>
    <col min="11522" max="11522" width="19.33203125" style="3068" customWidth="1"/>
    <col min="11523" max="11523" width="7" style="3068" customWidth="1"/>
    <col min="11524" max="11524" width="3.21875" style="3068" customWidth="1"/>
    <col min="11525" max="11525" width="7.33203125" style="3068" customWidth="1"/>
    <col min="11526" max="11526" width="3.44140625" style="3068" customWidth="1"/>
    <col min="11527" max="11527" width="19.33203125" style="3068" customWidth="1"/>
    <col min="11528" max="11528" width="19.44140625" style="3068" customWidth="1"/>
    <col min="11529" max="11529" width="8.6640625" style="3068" customWidth="1"/>
    <col min="11530" max="11530" width="10.44140625" style="3068" customWidth="1"/>
    <col min="11531" max="11531" width="4.88671875" style="3068" customWidth="1"/>
    <col min="11532" max="11532" width="16.33203125" style="3068" customWidth="1"/>
    <col min="11533" max="11536" width="8.109375" style="3068" customWidth="1"/>
    <col min="11537" max="11776" width="9" style="3068"/>
    <col min="11777" max="11777" width="6.33203125" style="3068" customWidth="1"/>
    <col min="11778" max="11778" width="19.33203125" style="3068" customWidth="1"/>
    <col min="11779" max="11779" width="7" style="3068" customWidth="1"/>
    <col min="11780" max="11780" width="3.21875" style="3068" customWidth="1"/>
    <col min="11781" max="11781" width="7.33203125" style="3068" customWidth="1"/>
    <col min="11782" max="11782" width="3.44140625" style="3068" customWidth="1"/>
    <col min="11783" max="11783" width="19.33203125" style="3068" customWidth="1"/>
    <col min="11784" max="11784" width="19.44140625" style="3068" customWidth="1"/>
    <col min="11785" max="11785" width="8.6640625" style="3068" customWidth="1"/>
    <col min="11786" max="11786" width="10.44140625" style="3068" customWidth="1"/>
    <col min="11787" max="11787" width="4.88671875" style="3068" customWidth="1"/>
    <col min="11788" max="11788" width="16.33203125" style="3068" customWidth="1"/>
    <col min="11789" max="11792" width="8.109375" style="3068" customWidth="1"/>
    <col min="11793" max="12032" width="9" style="3068"/>
    <col min="12033" max="12033" width="6.33203125" style="3068" customWidth="1"/>
    <col min="12034" max="12034" width="19.33203125" style="3068" customWidth="1"/>
    <col min="12035" max="12035" width="7" style="3068" customWidth="1"/>
    <col min="12036" max="12036" width="3.21875" style="3068" customWidth="1"/>
    <col min="12037" max="12037" width="7.33203125" style="3068" customWidth="1"/>
    <col min="12038" max="12038" width="3.44140625" style="3068" customWidth="1"/>
    <col min="12039" max="12039" width="19.33203125" style="3068" customWidth="1"/>
    <col min="12040" max="12040" width="19.44140625" style="3068" customWidth="1"/>
    <col min="12041" max="12041" width="8.6640625" style="3068" customWidth="1"/>
    <col min="12042" max="12042" width="10.44140625" style="3068" customWidth="1"/>
    <col min="12043" max="12043" width="4.88671875" style="3068" customWidth="1"/>
    <col min="12044" max="12044" width="16.33203125" style="3068" customWidth="1"/>
    <col min="12045" max="12048" width="8.109375" style="3068" customWidth="1"/>
    <col min="12049" max="12288" width="9" style="3068"/>
    <col min="12289" max="12289" width="6.33203125" style="3068" customWidth="1"/>
    <col min="12290" max="12290" width="19.33203125" style="3068" customWidth="1"/>
    <col min="12291" max="12291" width="7" style="3068" customWidth="1"/>
    <col min="12292" max="12292" width="3.21875" style="3068" customWidth="1"/>
    <col min="12293" max="12293" width="7.33203125" style="3068" customWidth="1"/>
    <col min="12294" max="12294" width="3.44140625" style="3068" customWidth="1"/>
    <col min="12295" max="12295" width="19.33203125" style="3068" customWidth="1"/>
    <col min="12296" max="12296" width="19.44140625" style="3068" customWidth="1"/>
    <col min="12297" max="12297" width="8.6640625" style="3068" customWidth="1"/>
    <col min="12298" max="12298" width="10.44140625" style="3068" customWidth="1"/>
    <col min="12299" max="12299" width="4.88671875" style="3068" customWidth="1"/>
    <col min="12300" max="12300" width="16.33203125" style="3068" customWidth="1"/>
    <col min="12301" max="12304" width="8.109375" style="3068" customWidth="1"/>
    <col min="12305" max="12544" width="9" style="3068"/>
    <col min="12545" max="12545" width="6.33203125" style="3068" customWidth="1"/>
    <col min="12546" max="12546" width="19.33203125" style="3068" customWidth="1"/>
    <col min="12547" max="12547" width="7" style="3068" customWidth="1"/>
    <col min="12548" max="12548" width="3.21875" style="3068" customWidth="1"/>
    <col min="12549" max="12549" width="7.33203125" style="3068" customWidth="1"/>
    <col min="12550" max="12550" width="3.44140625" style="3068" customWidth="1"/>
    <col min="12551" max="12551" width="19.33203125" style="3068" customWidth="1"/>
    <col min="12552" max="12552" width="19.44140625" style="3068" customWidth="1"/>
    <col min="12553" max="12553" width="8.6640625" style="3068" customWidth="1"/>
    <col min="12554" max="12554" width="10.44140625" style="3068" customWidth="1"/>
    <col min="12555" max="12555" width="4.88671875" style="3068" customWidth="1"/>
    <col min="12556" max="12556" width="16.33203125" style="3068" customWidth="1"/>
    <col min="12557" max="12560" width="8.109375" style="3068" customWidth="1"/>
    <col min="12561" max="12800" width="9" style="3068"/>
    <col min="12801" max="12801" width="6.33203125" style="3068" customWidth="1"/>
    <col min="12802" max="12802" width="19.33203125" style="3068" customWidth="1"/>
    <col min="12803" max="12803" width="7" style="3068" customWidth="1"/>
    <col min="12804" max="12804" width="3.21875" style="3068" customWidth="1"/>
    <col min="12805" max="12805" width="7.33203125" style="3068" customWidth="1"/>
    <col min="12806" max="12806" width="3.44140625" style="3068" customWidth="1"/>
    <col min="12807" max="12807" width="19.33203125" style="3068" customWidth="1"/>
    <col min="12808" max="12808" width="19.44140625" style="3068" customWidth="1"/>
    <col min="12809" max="12809" width="8.6640625" style="3068" customWidth="1"/>
    <col min="12810" max="12810" width="10.44140625" style="3068" customWidth="1"/>
    <col min="12811" max="12811" width="4.88671875" style="3068" customWidth="1"/>
    <col min="12812" max="12812" width="16.33203125" style="3068" customWidth="1"/>
    <col min="12813" max="12816" width="8.109375" style="3068" customWidth="1"/>
    <col min="12817" max="13056" width="9" style="3068"/>
    <col min="13057" max="13057" width="6.33203125" style="3068" customWidth="1"/>
    <col min="13058" max="13058" width="19.33203125" style="3068" customWidth="1"/>
    <col min="13059" max="13059" width="7" style="3068" customWidth="1"/>
    <col min="13060" max="13060" width="3.21875" style="3068" customWidth="1"/>
    <col min="13061" max="13061" width="7.33203125" style="3068" customWidth="1"/>
    <col min="13062" max="13062" width="3.44140625" style="3068" customWidth="1"/>
    <col min="13063" max="13063" width="19.33203125" style="3068" customWidth="1"/>
    <col min="13064" max="13064" width="19.44140625" style="3068" customWidth="1"/>
    <col min="13065" max="13065" width="8.6640625" style="3068" customWidth="1"/>
    <col min="13066" max="13066" width="10.44140625" style="3068" customWidth="1"/>
    <col min="13067" max="13067" width="4.88671875" style="3068" customWidth="1"/>
    <col min="13068" max="13068" width="16.33203125" style="3068" customWidth="1"/>
    <col min="13069" max="13072" width="8.109375" style="3068" customWidth="1"/>
    <col min="13073" max="13312" width="9" style="3068"/>
    <col min="13313" max="13313" width="6.33203125" style="3068" customWidth="1"/>
    <col min="13314" max="13314" width="19.33203125" style="3068" customWidth="1"/>
    <col min="13315" max="13315" width="7" style="3068" customWidth="1"/>
    <col min="13316" max="13316" width="3.21875" style="3068" customWidth="1"/>
    <col min="13317" max="13317" width="7.33203125" style="3068" customWidth="1"/>
    <col min="13318" max="13318" width="3.44140625" style="3068" customWidth="1"/>
    <col min="13319" max="13319" width="19.33203125" style="3068" customWidth="1"/>
    <col min="13320" max="13320" width="19.44140625" style="3068" customWidth="1"/>
    <col min="13321" max="13321" width="8.6640625" style="3068" customWidth="1"/>
    <col min="13322" max="13322" width="10.44140625" style="3068" customWidth="1"/>
    <col min="13323" max="13323" width="4.88671875" style="3068" customWidth="1"/>
    <col min="13324" max="13324" width="16.33203125" style="3068" customWidth="1"/>
    <col min="13325" max="13328" width="8.109375" style="3068" customWidth="1"/>
    <col min="13329" max="13568" width="9" style="3068"/>
    <col min="13569" max="13569" width="6.33203125" style="3068" customWidth="1"/>
    <col min="13570" max="13570" width="19.33203125" style="3068" customWidth="1"/>
    <col min="13571" max="13571" width="7" style="3068" customWidth="1"/>
    <col min="13572" max="13572" width="3.21875" style="3068" customWidth="1"/>
    <col min="13573" max="13573" width="7.33203125" style="3068" customWidth="1"/>
    <col min="13574" max="13574" width="3.44140625" style="3068" customWidth="1"/>
    <col min="13575" max="13575" width="19.33203125" style="3068" customWidth="1"/>
    <col min="13576" max="13576" width="19.44140625" style="3068" customWidth="1"/>
    <col min="13577" max="13577" width="8.6640625" style="3068" customWidth="1"/>
    <col min="13578" max="13578" width="10.44140625" style="3068" customWidth="1"/>
    <col min="13579" max="13579" width="4.88671875" style="3068" customWidth="1"/>
    <col min="13580" max="13580" width="16.33203125" style="3068" customWidth="1"/>
    <col min="13581" max="13584" width="8.109375" style="3068" customWidth="1"/>
    <col min="13585" max="13824" width="9" style="3068"/>
    <col min="13825" max="13825" width="6.33203125" style="3068" customWidth="1"/>
    <col min="13826" max="13826" width="19.33203125" style="3068" customWidth="1"/>
    <col min="13827" max="13827" width="7" style="3068" customWidth="1"/>
    <col min="13828" max="13828" width="3.21875" style="3068" customWidth="1"/>
    <col min="13829" max="13829" width="7.33203125" style="3068" customWidth="1"/>
    <col min="13830" max="13830" width="3.44140625" style="3068" customWidth="1"/>
    <col min="13831" max="13831" width="19.33203125" style="3068" customWidth="1"/>
    <col min="13832" max="13832" width="19.44140625" style="3068" customWidth="1"/>
    <col min="13833" max="13833" width="8.6640625" style="3068" customWidth="1"/>
    <col min="13834" max="13834" width="10.44140625" style="3068" customWidth="1"/>
    <col min="13835" max="13835" width="4.88671875" style="3068" customWidth="1"/>
    <col min="13836" max="13836" width="16.33203125" style="3068" customWidth="1"/>
    <col min="13837" max="13840" width="8.109375" style="3068" customWidth="1"/>
    <col min="13841" max="14080" width="9" style="3068"/>
    <col min="14081" max="14081" width="6.33203125" style="3068" customWidth="1"/>
    <col min="14082" max="14082" width="19.33203125" style="3068" customWidth="1"/>
    <col min="14083" max="14083" width="7" style="3068" customWidth="1"/>
    <col min="14084" max="14084" width="3.21875" style="3068" customWidth="1"/>
    <col min="14085" max="14085" width="7.33203125" style="3068" customWidth="1"/>
    <col min="14086" max="14086" width="3.44140625" style="3068" customWidth="1"/>
    <col min="14087" max="14087" width="19.33203125" style="3068" customWidth="1"/>
    <col min="14088" max="14088" width="19.44140625" style="3068" customWidth="1"/>
    <col min="14089" max="14089" width="8.6640625" style="3068" customWidth="1"/>
    <col min="14090" max="14090" width="10.44140625" style="3068" customWidth="1"/>
    <col min="14091" max="14091" width="4.88671875" style="3068" customWidth="1"/>
    <col min="14092" max="14092" width="16.33203125" style="3068" customWidth="1"/>
    <col min="14093" max="14096" width="8.109375" style="3068" customWidth="1"/>
    <col min="14097" max="14336" width="9" style="3068"/>
    <col min="14337" max="14337" width="6.33203125" style="3068" customWidth="1"/>
    <col min="14338" max="14338" width="19.33203125" style="3068" customWidth="1"/>
    <col min="14339" max="14339" width="7" style="3068" customWidth="1"/>
    <col min="14340" max="14340" width="3.21875" style="3068" customWidth="1"/>
    <col min="14341" max="14341" width="7.33203125" style="3068" customWidth="1"/>
    <col min="14342" max="14342" width="3.44140625" style="3068" customWidth="1"/>
    <col min="14343" max="14343" width="19.33203125" style="3068" customWidth="1"/>
    <col min="14344" max="14344" width="19.44140625" style="3068" customWidth="1"/>
    <col min="14345" max="14345" width="8.6640625" style="3068" customWidth="1"/>
    <col min="14346" max="14346" width="10.44140625" style="3068" customWidth="1"/>
    <col min="14347" max="14347" width="4.88671875" style="3068" customWidth="1"/>
    <col min="14348" max="14348" width="16.33203125" style="3068" customWidth="1"/>
    <col min="14349" max="14352" width="8.109375" style="3068" customWidth="1"/>
    <col min="14353" max="14592" width="9" style="3068"/>
    <col min="14593" max="14593" width="6.33203125" style="3068" customWidth="1"/>
    <col min="14594" max="14594" width="19.33203125" style="3068" customWidth="1"/>
    <col min="14595" max="14595" width="7" style="3068" customWidth="1"/>
    <col min="14596" max="14596" width="3.21875" style="3068" customWidth="1"/>
    <col min="14597" max="14597" width="7.33203125" style="3068" customWidth="1"/>
    <col min="14598" max="14598" width="3.44140625" style="3068" customWidth="1"/>
    <col min="14599" max="14599" width="19.33203125" style="3068" customWidth="1"/>
    <col min="14600" max="14600" width="19.44140625" style="3068" customWidth="1"/>
    <col min="14601" max="14601" width="8.6640625" style="3068" customWidth="1"/>
    <col min="14602" max="14602" width="10.44140625" style="3068" customWidth="1"/>
    <col min="14603" max="14603" width="4.88671875" style="3068" customWidth="1"/>
    <col min="14604" max="14604" width="16.33203125" style="3068" customWidth="1"/>
    <col min="14605" max="14608" width="8.109375" style="3068" customWidth="1"/>
    <col min="14609" max="14848" width="9" style="3068"/>
    <col min="14849" max="14849" width="6.33203125" style="3068" customWidth="1"/>
    <col min="14850" max="14850" width="19.33203125" style="3068" customWidth="1"/>
    <col min="14851" max="14851" width="7" style="3068" customWidth="1"/>
    <col min="14852" max="14852" width="3.21875" style="3068" customWidth="1"/>
    <col min="14853" max="14853" width="7.33203125" style="3068" customWidth="1"/>
    <col min="14854" max="14854" width="3.44140625" style="3068" customWidth="1"/>
    <col min="14855" max="14855" width="19.33203125" style="3068" customWidth="1"/>
    <col min="14856" max="14856" width="19.44140625" style="3068" customWidth="1"/>
    <col min="14857" max="14857" width="8.6640625" style="3068" customWidth="1"/>
    <col min="14858" max="14858" width="10.44140625" style="3068" customWidth="1"/>
    <col min="14859" max="14859" width="4.88671875" style="3068" customWidth="1"/>
    <col min="14860" max="14860" width="16.33203125" style="3068" customWidth="1"/>
    <col min="14861" max="14864" width="8.109375" style="3068" customWidth="1"/>
    <col min="14865" max="15104" width="9" style="3068"/>
    <col min="15105" max="15105" width="6.33203125" style="3068" customWidth="1"/>
    <col min="15106" max="15106" width="19.33203125" style="3068" customWidth="1"/>
    <col min="15107" max="15107" width="7" style="3068" customWidth="1"/>
    <col min="15108" max="15108" width="3.21875" style="3068" customWidth="1"/>
    <col min="15109" max="15109" width="7.33203125" style="3068" customWidth="1"/>
    <col min="15110" max="15110" width="3.44140625" style="3068" customWidth="1"/>
    <col min="15111" max="15111" width="19.33203125" style="3068" customWidth="1"/>
    <col min="15112" max="15112" width="19.44140625" style="3068" customWidth="1"/>
    <col min="15113" max="15113" width="8.6640625" style="3068" customWidth="1"/>
    <col min="15114" max="15114" width="10.44140625" style="3068" customWidth="1"/>
    <col min="15115" max="15115" width="4.88671875" style="3068" customWidth="1"/>
    <col min="15116" max="15116" width="16.33203125" style="3068" customWidth="1"/>
    <col min="15117" max="15120" width="8.109375" style="3068" customWidth="1"/>
    <col min="15121" max="15360" width="9" style="3068"/>
    <col min="15361" max="15361" width="6.33203125" style="3068" customWidth="1"/>
    <col min="15362" max="15362" width="19.33203125" style="3068" customWidth="1"/>
    <col min="15363" max="15363" width="7" style="3068" customWidth="1"/>
    <col min="15364" max="15364" width="3.21875" style="3068" customWidth="1"/>
    <col min="15365" max="15365" width="7.33203125" style="3068" customWidth="1"/>
    <col min="15366" max="15366" width="3.44140625" style="3068" customWidth="1"/>
    <col min="15367" max="15367" width="19.33203125" style="3068" customWidth="1"/>
    <col min="15368" max="15368" width="19.44140625" style="3068" customWidth="1"/>
    <col min="15369" max="15369" width="8.6640625" style="3068" customWidth="1"/>
    <col min="15370" max="15370" width="10.44140625" style="3068" customWidth="1"/>
    <col min="15371" max="15371" width="4.88671875" style="3068" customWidth="1"/>
    <col min="15372" max="15372" width="16.33203125" style="3068" customWidth="1"/>
    <col min="15373" max="15376" width="8.109375" style="3068" customWidth="1"/>
    <col min="15377" max="15616" width="9" style="3068"/>
    <col min="15617" max="15617" width="6.33203125" style="3068" customWidth="1"/>
    <col min="15618" max="15618" width="19.33203125" style="3068" customWidth="1"/>
    <col min="15619" max="15619" width="7" style="3068" customWidth="1"/>
    <col min="15620" max="15620" width="3.21875" style="3068" customWidth="1"/>
    <col min="15621" max="15621" width="7.33203125" style="3068" customWidth="1"/>
    <col min="15622" max="15622" width="3.44140625" style="3068" customWidth="1"/>
    <col min="15623" max="15623" width="19.33203125" style="3068" customWidth="1"/>
    <col min="15624" max="15624" width="19.44140625" style="3068" customWidth="1"/>
    <col min="15625" max="15625" width="8.6640625" style="3068" customWidth="1"/>
    <col min="15626" max="15626" width="10.44140625" style="3068" customWidth="1"/>
    <col min="15627" max="15627" width="4.88671875" style="3068" customWidth="1"/>
    <col min="15628" max="15628" width="16.33203125" style="3068" customWidth="1"/>
    <col min="15629" max="15632" width="8.109375" style="3068" customWidth="1"/>
    <col min="15633" max="15872" width="9" style="3068"/>
    <col min="15873" max="15873" width="6.33203125" style="3068" customWidth="1"/>
    <col min="15874" max="15874" width="19.33203125" style="3068" customWidth="1"/>
    <col min="15875" max="15875" width="7" style="3068" customWidth="1"/>
    <col min="15876" max="15876" width="3.21875" style="3068" customWidth="1"/>
    <col min="15877" max="15877" width="7.33203125" style="3068" customWidth="1"/>
    <col min="15878" max="15878" width="3.44140625" style="3068" customWidth="1"/>
    <col min="15879" max="15879" width="19.33203125" style="3068" customWidth="1"/>
    <col min="15880" max="15880" width="19.44140625" style="3068" customWidth="1"/>
    <col min="15881" max="15881" width="8.6640625" style="3068" customWidth="1"/>
    <col min="15882" max="15882" width="10.44140625" style="3068" customWidth="1"/>
    <col min="15883" max="15883" width="4.88671875" style="3068" customWidth="1"/>
    <col min="15884" max="15884" width="16.33203125" style="3068" customWidth="1"/>
    <col min="15885" max="15888" width="8.109375" style="3068" customWidth="1"/>
    <col min="15889" max="16128" width="9" style="3068"/>
    <col min="16129" max="16129" width="6.33203125" style="3068" customWidth="1"/>
    <col min="16130" max="16130" width="19.33203125" style="3068" customWidth="1"/>
    <col min="16131" max="16131" width="7" style="3068" customWidth="1"/>
    <col min="16132" max="16132" width="3.21875" style="3068" customWidth="1"/>
    <col min="16133" max="16133" width="7.33203125" style="3068" customWidth="1"/>
    <col min="16134" max="16134" width="3.44140625" style="3068" customWidth="1"/>
    <col min="16135" max="16135" width="19.33203125" style="3068" customWidth="1"/>
    <col min="16136" max="16136" width="19.44140625" style="3068" customWidth="1"/>
    <col min="16137" max="16137" width="8.6640625" style="3068" customWidth="1"/>
    <col min="16138" max="16138" width="10.44140625" style="3068" customWidth="1"/>
    <col min="16139" max="16139" width="4.88671875" style="3068" customWidth="1"/>
    <col min="16140" max="16140" width="16.33203125" style="3068" customWidth="1"/>
    <col min="16141" max="16144" width="8.109375" style="3068" customWidth="1"/>
    <col min="16145" max="16384" width="9" style="3068"/>
  </cols>
  <sheetData>
    <row r="1" spans="1:16">
      <c r="A1" s="3365" t="s">
        <v>3061</v>
      </c>
      <c r="B1" s="3365"/>
      <c r="C1" s="3365"/>
      <c r="D1" s="3365"/>
      <c r="E1" s="3365"/>
      <c r="F1" s="3365"/>
      <c r="G1" s="3365"/>
      <c r="H1" s="3365"/>
      <c r="I1" s="3365"/>
      <c r="K1" s="3366" t="s">
        <v>3062</v>
      </c>
      <c r="L1" s="3066" t="s">
        <v>3063</v>
      </c>
      <c r="M1" s="3067">
        <v>0</v>
      </c>
      <c r="N1" s="1407"/>
      <c r="O1" s="1407"/>
    </row>
    <row r="2" spans="1:16" ht="15.75" customHeight="1">
      <c r="A2" s="3069" t="s">
        <v>3064</v>
      </c>
      <c r="B2" s="3070" t="s">
        <v>3065</v>
      </c>
      <c r="C2" s="3333" t="s">
        <v>3066</v>
      </c>
      <c r="D2" s="3334"/>
      <c r="E2" s="3334"/>
      <c r="F2" s="3335"/>
      <c r="G2" s="3071" t="s">
        <v>3067</v>
      </c>
      <c r="H2" s="3349" t="s">
        <v>3068</v>
      </c>
      <c r="I2" s="3349"/>
      <c r="K2" s="3366"/>
      <c r="L2" s="3066" t="s">
        <v>3069</v>
      </c>
      <c r="M2" s="3072" t="s">
        <v>3208</v>
      </c>
      <c r="N2" s="3073">
        <v>2011</v>
      </c>
      <c r="O2" s="3073"/>
    </row>
    <row r="3" spans="1:16" ht="24">
      <c r="A3" s="3074" t="s">
        <v>3070</v>
      </c>
      <c r="B3" s="3075" t="s">
        <v>3071</v>
      </c>
      <c r="C3" s="3333">
        <f>'比较法-商业 (2)'!B2*10000</f>
        <v>61880000</v>
      </c>
      <c r="D3" s="3334"/>
      <c r="E3" s="3334"/>
      <c r="F3" s="3335"/>
      <c r="G3" s="3074" t="s">
        <v>3072</v>
      </c>
      <c r="H3" s="3076" t="s">
        <v>3073</v>
      </c>
      <c r="I3" s="3077">
        <f>'数据-基础表'!I13</f>
        <v>994.5</v>
      </c>
      <c r="K3" s="3366"/>
      <c r="L3" s="3066" t="s">
        <v>3074</v>
      </c>
      <c r="M3" s="3072" t="s">
        <v>3075</v>
      </c>
      <c r="N3" s="3073"/>
      <c r="O3" s="3078"/>
    </row>
    <row r="4" spans="1:16">
      <c r="A4" s="3336" t="s">
        <v>3076</v>
      </c>
      <c r="B4" s="3342" t="s">
        <v>3077</v>
      </c>
      <c r="C4" s="3367">
        <f>ROUND(C3*(I4-I6)/(1-((1+I6)/(1+I4))^I5),0)</f>
        <v>2718576</v>
      </c>
      <c r="D4" s="3368"/>
      <c r="E4" s="3368"/>
      <c r="F4" s="3369"/>
      <c r="G4" s="3336" t="s">
        <v>3078</v>
      </c>
      <c r="H4" s="3079" t="s">
        <v>3079</v>
      </c>
      <c r="I4" s="3080">
        <f>'数据-取费表'!J6</f>
        <v>0.06</v>
      </c>
      <c r="K4" s="3366"/>
      <c r="L4" s="3066" t="s">
        <v>3080</v>
      </c>
      <c r="M4" s="3081">
        <f>ROUND(1-(1-M1)*M2/M3,2)</f>
        <v>0.83</v>
      </c>
      <c r="N4" s="3073"/>
      <c r="O4" s="3073"/>
    </row>
    <row r="5" spans="1:16" s="3085" customFormat="1" ht="18" customHeight="1">
      <c r="A5" s="3336"/>
      <c r="B5" s="3342"/>
      <c r="C5" s="3370"/>
      <c r="D5" s="3371"/>
      <c r="E5" s="3371"/>
      <c r="F5" s="3372"/>
      <c r="G5" s="3336"/>
      <c r="H5" s="3075" t="s">
        <v>3081</v>
      </c>
      <c r="I5" s="3082">
        <f>项目基本情况!E15</f>
        <v>40</v>
      </c>
      <c r="J5" s="3083"/>
      <c r="K5" s="3366"/>
      <c r="L5" s="3066" t="s">
        <v>3082</v>
      </c>
      <c r="M5" s="3084">
        <v>0.5</v>
      </c>
      <c r="N5" s="3073"/>
      <c r="O5" s="3073"/>
    </row>
    <row r="6" spans="1:16" s="3085" customFormat="1" ht="18" customHeight="1">
      <c r="A6" s="3336"/>
      <c r="B6" s="3342"/>
      <c r="C6" s="3373"/>
      <c r="D6" s="3374"/>
      <c r="E6" s="3374"/>
      <c r="F6" s="3375"/>
      <c r="G6" s="3336"/>
      <c r="H6" s="3075" t="s">
        <v>3083</v>
      </c>
      <c r="I6" s="3080">
        <f>'数据-取费表'!V6</f>
        <v>0.03</v>
      </c>
      <c r="J6" s="3086"/>
      <c r="K6" s="3376" t="s">
        <v>3084</v>
      </c>
      <c r="L6" s="3087" t="s">
        <v>3085</v>
      </c>
      <c r="M6" s="3088" t="s">
        <v>3086</v>
      </c>
      <c r="N6" s="3088" t="s">
        <v>3087</v>
      </c>
      <c r="O6" s="3088" t="s">
        <v>3088</v>
      </c>
      <c r="P6" s="3088" t="s">
        <v>3089</v>
      </c>
    </row>
    <row r="7" spans="1:16" s="3085" customFormat="1" ht="18" customHeight="1">
      <c r="A7" s="3074" t="s">
        <v>3090</v>
      </c>
      <c r="B7" s="3075" t="s">
        <v>3091</v>
      </c>
      <c r="C7" s="3333">
        <f ca="1">ROUND(C23*I7,0)</f>
        <v>5019961</v>
      </c>
      <c r="D7" s="3334"/>
      <c r="E7" s="3334"/>
      <c r="F7" s="3335"/>
      <c r="G7" s="3071" t="s">
        <v>3092</v>
      </c>
      <c r="H7" s="3075" t="s">
        <v>3093</v>
      </c>
      <c r="I7" s="3089">
        <f>'数据-取费表'!N6</f>
        <v>0.83</v>
      </c>
      <c r="K7" s="3376"/>
      <c r="L7" s="3087" t="s">
        <v>3094</v>
      </c>
      <c r="M7" s="3088">
        <v>100</v>
      </c>
      <c r="N7" s="3088" t="s">
        <v>3095</v>
      </c>
      <c r="O7" s="3088">
        <v>90</v>
      </c>
      <c r="P7" s="3090">
        <v>0.3</v>
      </c>
    </row>
    <row r="8" spans="1:16" s="3085" customFormat="1" ht="18" customHeight="1">
      <c r="A8" s="3069" t="s">
        <v>3096</v>
      </c>
      <c r="B8" s="3075" t="s">
        <v>3097</v>
      </c>
      <c r="C8" s="3333">
        <f>ROUND(I8*I3,0)</f>
        <v>3978000</v>
      </c>
      <c r="D8" s="3334"/>
      <c r="E8" s="3334"/>
      <c r="F8" s="3335"/>
      <c r="G8" s="3071" t="s">
        <v>3098</v>
      </c>
      <c r="H8" s="3075" t="s">
        <v>3099</v>
      </c>
      <c r="I8" s="3071">
        <f>'数据-取费表'!L6</f>
        <v>4000</v>
      </c>
      <c r="J8" s="3091">
        <f>D35</f>
        <v>12.6</v>
      </c>
      <c r="K8" s="3376"/>
      <c r="L8" s="3087" t="s">
        <v>3100</v>
      </c>
      <c r="M8" s="3088">
        <v>100</v>
      </c>
      <c r="N8" s="3088" t="s">
        <v>3101</v>
      </c>
      <c r="O8" s="3088">
        <v>90</v>
      </c>
      <c r="P8" s="3090">
        <v>0.5</v>
      </c>
    </row>
    <row r="9" spans="1:16" s="3085" customFormat="1" ht="18" customHeight="1">
      <c r="A9" s="3069" t="s">
        <v>3102</v>
      </c>
      <c r="B9" s="3075" t="s">
        <v>3103</v>
      </c>
      <c r="C9" s="3333">
        <f>ROUND(C8*H9,0)</f>
        <v>159120</v>
      </c>
      <c r="D9" s="3334"/>
      <c r="E9" s="3334"/>
      <c r="F9" s="3335"/>
      <c r="G9" s="3071" t="s">
        <v>3104</v>
      </c>
      <c r="H9" s="3362">
        <f>'数据-取费表'!B33</f>
        <v>0.04</v>
      </c>
      <c r="I9" s="3362"/>
      <c r="J9" s="3091">
        <f ca="1">D36</f>
        <v>10</v>
      </c>
      <c r="K9" s="3376"/>
      <c r="L9" s="3087" t="s">
        <v>3105</v>
      </c>
      <c r="M9" s="3088">
        <v>100</v>
      </c>
      <c r="N9" s="3088" t="s">
        <v>3095</v>
      </c>
      <c r="O9" s="3088">
        <v>90</v>
      </c>
      <c r="P9" s="3090">
        <f>1-P7-P8</f>
        <v>0.19999999999999996</v>
      </c>
    </row>
    <row r="10" spans="1:16" s="3085" customFormat="1" ht="18" customHeight="1">
      <c r="A10" s="3069" t="s">
        <v>3106</v>
      </c>
      <c r="B10" s="3075" t="s">
        <v>3107</v>
      </c>
      <c r="C10" s="3333">
        <f>ROUND(C8*H10,0)</f>
        <v>0</v>
      </c>
      <c r="D10" s="3334"/>
      <c r="E10" s="3334"/>
      <c r="F10" s="3335"/>
      <c r="G10" s="3071" t="s">
        <v>3108</v>
      </c>
      <c r="H10" s="3362">
        <f>'数据-取费表'!B34</f>
        <v>0</v>
      </c>
      <c r="I10" s="3362"/>
      <c r="J10" s="3091">
        <f ca="1">D37</f>
        <v>11.3</v>
      </c>
      <c r="K10" s="3376"/>
      <c r="L10" s="3092" t="s">
        <v>3082</v>
      </c>
      <c r="M10" s="3093">
        <f>1-M5</f>
        <v>0.5</v>
      </c>
      <c r="N10" s="3088" t="s">
        <v>3109</v>
      </c>
      <c r="O10" s="3094">
        <f>ROUND((O7*P7+O8*P8+O9*P9)/100,2)</f>
        <v>0.9</v>
      </c>
      <c r="P10" s="3095"/>
    </row>
    <row r="11" spans="1:16" s="3085" customFormat="1" ht="29.25" customHeight="1">
      <c r="A11" s="3069" t="s">
        <v>3110</v>
      </c>
      <c r="B11" s="3075" t="s">
        <v>3111</v>
      </c>
      <c r="C11" s="3333">
        <f>ROUND(I11*I3,0)</f>
        <v>198900</v>
      </c>
      <c r="D11" s="3334"/>
      <c r="E11" s="3334"/>
      <c r="F11" s="3335"/>
      <c r="G11" s="3071" t="s">
        <v>3112</v>
      </c>
      <c r="H11" s="3075" t="s">
        <v>3113</v>
      </c>
      <c r="I11" s="3071">
        <f>'数据-取费表'!B28</f>
        <v>200</v>
      </c>
      <c r="J11" s="3083"/>
      <c r="K11" s="3096"/>
      <c r="L11" s="3096"/>
    </row>
    <row r="12" spans="1:16" s="3085" customFormat="1" ht="18" customHeight="1">
      <c r="A12" s="3069" t="s">
        <v>3114</v>
      </c>
      <c r="B12" s="3075" t="s">
        <v>3115</v>
      </c>
      <c r="C12" s="3333">
        <f>ROUND(C8*H12,0)</f>
        <v>59670</v>
      </c>
      <c r="D12" s="3334"/>
      <c r="E12" s="3334"/>
      <c r="F12" s="3335"/>
      <c r="G12" s="3071" t="s">
        <v>3116</v>
      </c>
      <c r="H12" s="3362">
        <v>1.4999999999999999E-2</v>
      </c>
      <c r="I12" s="3362"/>
      <c r="J12" s="3097" t="s">
        <v>3117</v>
      </c>
      <c r="L12" s="3098"/>
    </row>
    <row r="13" spans="1:16" s="3085" customFormat="1" ht="18" customHeight="1">
      <c r="A13" s="3069" t="s">
        <v>3118</v>
      </c>
      <c r="B13" s="3075" t="s">
        <v>3119</v>
      </c>
      <c r="C13" s="3333">
        <f>SUM(C8:F12)</f>
        <v>4395690</v>
      </c>
      <c r="D13" s="3334"/>
      <c r="E13" s="3334"/>
      <c r="F13" s="3335"/>
      <c r="G13" s="3349" t="s">
        <v>3120</v>
      </c>
      <c r="H13" s="3349"/>
      <c r="I13" s="3349"/>
      <c r="J13" s="3097" t="s">
        <v>3121</v>
      </c>
      <c r="L13" s="3098"/>
    </row>
    <row r="14" spans="1:16" s="3085" customFormat="1" ht="18" customHeight="1">
      <c r="A14" s="3069" t="s">
        <v>3122</v>
      </c>
      <c r="B14" s="3075" t="s">
        <v>3123</v>
      </c>
      <c r="C14" s="3333">
        <f>ROUND(C13*H14,0)</f>
        <v>87914</v>
      </c>
      <c r="D14" s="3334"/>
      <c r="E14" s="3334"/>
      <c r="F14" s="3335"/>
      <c r="G14" s="3071" t="s">
        <v>3124</v>
      </c>
      <c r="H14" s="3362">
        <f>'数据-取费表'!B37</f>
        <v>0.02</v>
      </c>
      <c r="I14" s="3362"/>
      <c r="J14" s="3083"/>
      <c r="L14" s="3098"/>
    </row>
    <row r="15" spans="1:16" s="3085" customFormat="1" ht="18" customHeight="1">
      <c r="A15" s="3069" t="s">
        <v>3125</v>
      </c>
      <c r="B15" s="3075" t="s">
        <v>3126</v>
      </c>
      <c r="C15" s="3350">
        <f>H15</f>
        <v>0.02</v>
      </c>
      <c r="D15" s="3351"/>
      <c r="E15" s="3360" t="str">
        <f>E18</f>
        <v>V</v>
      </c>
      <c r="F15" s="3361"/>
      <c r="G15" s="3071" t="s">
        <v>3127</v>
      </c>
      <c r="H15" s="3362">
        <f>'数据-取费表'!B38</f>
        <v>0.02</v>
      </c>
      <c r="I15" s="3362"/>
      <c r="J15" s="3099"/>
      <c r="K15" s="3100"/>
    </row>
    <row r="16" spans="1:16" s="3085" customFormat="1" ht="18" customHeight="1">
      <c r="A16" s="3101" t="s">
        <v>3128</v>
      </c>
      <c r="B16" s="3102" t="s">
        <v>3129</v>
      </c>
      <c r="C16" s="3103">
        <f ca="1">C17</f>
        <v>195037</v>
      </c>
      <c r="D16" s="3104" t="s">
        <v>3130</v>
      </c>
      <c r="E16" s="3105">
        <f ca="1">C18</f>
        <v>8.7000000000000001E-4</v>
      </c>
      <c r="F16" s="3106" t="str">
        <f>E18</f>
        <v>V</v>
      </c>
      <c r="G16" s="3333" t="s">
        <v>3131</v>
      </c>
      <c r="H16" s="3334"/>
      <c r="I16" s="3335"/>
      <c r="J16" s="3083"/>
      <c r="K16" s="3096"/>
    </row>
    <row r="17" spans="1:12" s="3085" customFormat="1" ht="18" customHeight="1">
      <c r="A17" s="3069" t="s">
        <v>3132</v>
      </c>
      <c r="B17" s="3075" t="s">
        <v>3133</v>
      </c>
      <c r="C17" s="3333">
        <f ca="1">ROUND((C13+C14)*I18*(I17/2),0)</f>
        <v>195037</v>
      </c>
      <c r="D17" s="3334"/>
      <c r="E17" s="3334"/>
      <c r="F17" s="3335"/>
      <c r="G17" s="3103" t="s">
        <v>3134</v>
      </c>
      <c r="H17" s="3075" t="s">
        <v>3135</v>
      </c>
      <c r="I17" s="3107">
        <f>'数据-取费表'!B20</f>
        <v>2</v>
      </c>
      <c r="J17" s="3097" t="s">
        <v>3136</v>
      </c>
      <c r="K17" s="3096"/>
      <c r="L17" s="3096"/>
    </row>
    <row r="18" spans="1:12" s="3085" customFormat="1" ht="18" customHeight="1">
      <c r="A18" s="3069" t="s">
        <v>3137</v>
      </c>
      <c r="B18" s="3075" t="s">
        <v>3138</v>
      </c>
      <c r="C18" s="3363">
        <f ca="1">H15*I18*I17/2</f>
        <v>8.7000000000000001E-4</v>
      </c>
      <c r="D18" s="3364"/>
      <c r="E18" s="3360" t="s">
        <v>3139</v>
      </c>
      <c r="F18" s="3361"/>
      <c r="G18" s="3103" t="s">
        <v>3140</v>
      </c>
      <c r="H18" s="3075" t="s">
        <v>3141</v>
      </c>
      <c r="I18" s="3108">
        <f ca="1">'数据-取费表'!B40</f>
        <v>4.3499999999999997E-2</v>
      </c>
      <c r="J18" s="3097" t="s">
        <v>3142</v>
      </c>
      <c r="K18" s="3096"/>
      <c r="L18" s="3096"/>
    </row>
    <row r="19" spans="1:12" s="3085" customFormat="1" ht="27" customHeight="1">
      <c r="A19" s="3069" t="s">
        <v>3143</v>
      </c>
      <c r="B19" s="3075" t="s">
        <v>3144</v>
      </c>
      <c r="C19" s="3103">
        <f>C20</f>
        <v>896721</v>
      </c>
      <c r="D19" s="3104" t="s">
        <v>3130</v>
      </c>
      <c r="E19" s="3104">
        <f>C21</f>
        <v>4.0000000000000001E-3</v>
      </c>
      <c r="F19" s="3106" t="str">
        <f>E21</f>
        <v>V</v>
      </c>
      <c r="G19" s="3333" t="s">
        <v>3145</v>
      </c>
      <c r="H19" s="3334"/>
      <c r="I19" s="3335"/>
      <c r="J19" s="3083"/>
      <c r="K19" s="3096"/>
      <c r="L19" s="3096"/>
    </row>
    <row r="20" spans="1:12" s="3085" customFormat="1" ht="26.25" customHeight="1">
      <c r="A20" s="3069" t="s">
        <v>3146</v>
      </c>
      <c r="B20" s="3075" t="s">
        <v>3147</v>
      </c>
      <c r="C20" s="3333">
        <f>ROUND((C13+C14)*I20,0)</f>
        <v>896721</v>
      </c>
      <c r="D20" s="3334"/>
      <c r="E20" s="3334"/>
      <c r="F20" s="3335"/>
      <c r="G20" s="3071" t="s">
        <v>3148</v>
      </c>
      <c r="H20" s="3355" t="s">
        <v>3149</v>
      </c>
      <c r="I20" s="3357">
        <f>'数据-取费表'!Q6</f>
        <v>0.2</v>
      </c>
      <c r="J20" s="3097" t="s">
        <v>3150</v>
      </c>
      <c r="K20" s="3096"/>
      <c r="L20" s="3096"/>
    </row>
    <row r="21" spans="1:12" s="3085" customFormat="1" ht="27" customHeight="1">
      <c r="A21" s="3069" t="s">
        <v>3146</v>
      </c>
      <c r="B21" s="3075" t="s">
        <v>3151</v>
      </c>
      <c r="C21" s="3358">
        <f>H15*I20</f>
        <v>4.0000000000000001E-3</v>
      </c>
      <c r="D21" s="3359"/>
      <c r="E21" s="3360" t="s">
        <v>3152</v>
      </c>
      <c r="F21" s="3361"/>
      <c r="G21" s="3071" t="s">
        <v>3153</v>
      </c>
      <c r="H21" s="3356"/>
      <c r="I21" s="3357"/>
      <c r="J21" s="3083"/>
      <c r="K21" s="3096"/>
      <c r="L21" s="3096"/>
    </row>
    <row r="22" spans="1:12" s="3085" customFormat="1" ht="18" customHeight="1">
      <c r="A22" s="3069" t="s">
        <v>3154</v>
      </c>
      <c r="B22" s="3075" t="s">
        <v>3155</v>
      </c>
      <c r="C22" s="3358">
        <f>ROUND(H22/1.05,4)</f>
        <v>5.33E-2</v>
      </c>
      <c r="D22" s="3359"/>
      <c r="E22" s="3360" t="s">
        <v>3152</v>
      </c>
      <c r="F22" s="3361"/>
      <c r="G22" s="3071" t="s">
        <v>3156</v>
      </c>
      <c r="H22" s="3362">
        <v>5.6000000000000001E-2</v>
      </c>
      <c r="I22" s="3362"/>
      <c r="J22" s="3109"/>
      <c r="K22" s="3096"/>
      <c r="L22" s="3096"/>
    </row>
    <row r="23" spans="1:12" s="3085" customFormat="1" ht="18" customHeight="1">
      <c r="A23" s="3069" t="s">
        <v>3157</v>
      </c>
      <c r="B23" s="3075" t="s">
        <v>3158</v>
      </c>
      <c r="C23" s="3333">
        <f ca="1">ROUND((C13+C14+C17+C20)/(1-H15-C18-C21-C22),0)</f>
        <v>6048146</v>
      </c>
      <c r="D23" s="3334"/>
      <c r="E23" s="3334"/>
      <c r="F23" s="3335"/>
      <c r="G23" s="3333" t="s">
        <v>3159</v>
      </c>
      <c r="H23" s="3334"/>
      <c r="I23" s="3335"/>
      <c r="J23" s="3109"/>
      <c r="K23" s="3096"/>
      <c r="L23" s="3096"/>
    </row>
    <row r="24" spans="1:12" s="3085" customFormat="1" ht="18" customHeight="1">
      <c r="A24" s="3069" t="s">
        <v>3160</v>
      </c>
      <c r="B24" s="3075" t="s">
        <v>3161</v>
      </c>
      <c r="C24" s="3110">
        <f ca="1">C26+C27</f>
        <v>98252</v>
      </c>
      <c r="D24" s="3111" t="s">
        <v>3162</v>
      </c>
      <c r="E24" s="3352">
        <f>H25+H28</f>
        <v>0.18330000000000002</v>
      </c>
      <c r="F24" s="3353"/>
      <c r="G24" s="3349" t="s">
        <v>3163</v>
      </c>
      <c r="H24" s="3349"/>
      <c r="I24" s="3349"/>
      <c r="J24" s="3109"/>
      <c r="K24" s="3096"/>
      <c r="L24" s="3096"/>
    </row>
    <row r="25" spans="1:12" s="3085" customFormat="1" ht="18" customHeight="1">
      <c r="A25" s="3069" t="s">
        <v>3164</v>
      </c>
      <c r="B25" s="3075" t="s">
        <v>3165</v>
      </c>
      <c r="C25" s="3350" t="s">
        <v>3166</v>
      </c>
      <c r="D25" s="3351"/>
      <c r="E25" s="3352">
        <f>H25</f>
        <v>0.17330000000000001</v>
      </c>
      <c r="F25" s="3353"/>
      <c r="G25" s="3071" t="s">
        <v>3167</v>
      </c>
      <c r="H25" s="3332">
        <f>ROUND(5.6%/1.05+12%,4)</f>
        <v>0.17330000000000001</v>
      </c>
      <c r="I25" s="3332"/>
      <c r="J25" s="3099"/>
      <c r="K25" s="3096"/>
      <c r="L25" s="3096"/>
    </row>
    <row r="26" spans="1:12" s="3085" customFormat="1" ht="18" customHeight="1">
      <c r="A26" s="3069" t="s">
        <v>3168</v>
      </c>
      <c r="B26" s="3075" t="s">
        <v>3169</v>
      </c>
      <c r="C26" s="3333">
        <f ca="1">ROUND(C23*H26,0)</f>
        <v>90722</v>
      </c>
      <c r="D26" s="3334"/>
      <c r="E26" s="3334"/>
      <c r="F26" s="3335"/>
      <c r="G26" s="3071" t="s">
        <v>3170</v>
      </c>
      <c r="H26" s="3332">
        <f>'数据-取费表'!AK6</f>
        <v>1.4999999999999999E-2</v>
      </c>
      <c r="I26" s="3332"/>
      <c r="J26" s="3099"/>
      <c r="K26" s="3096"/>
      <c r="L26" s="3096"/>
    </row>
    <row r="27" spans="1:12" s="3085" customFormat="1" ht="18" customHeight="1">
      <c r="A27" s="3069" t="s">
        <v>3171</v>
      </c>
      <c r="B27" s="3075" t="s">
        <v>3172</v>
      </c>
      <c r="C27" s="3333">
        <f ca="1">ROUND(C7*H27,0)</f>
        <v>7530</v>
      </c>
      <c r="D27" s="3334"/>
      <c r="E27" s="3334"/>
      <c r="F27" s="3335"/>
      <c r="G27" s="3071" t="s">
        <v>3173</v>
      </c>
      <c r="H27" s="3354">
        <f>'数据-取费表'!AL6</f>
        <v>1.5E-3</v>
      </c>
      <c r="I27" s="3354"/>
      <c r="J27" s="3083"/>
      <c r="K27" s="3096"/>
      <c r="L27" s="3096"/>
    </row>
    <row r="28" spans="1:12" s="3085" customFormat="1" ht="18" customHeight="1">
      <c r="A28" s="3069" t="s">
        <v>3174</v>
      </c>
      <c r="B28" s="3075" t="s">
        <v>3175</v>
      </c>
      <c r="C28" s="3350" t="s">
        <v>3166</v>
      </c>
      <c r="D28" s="3351"/>
      <c r="E28" s="3352">
        <f>H28</f>
        <v>0.01</v>
      </c>
      <c r="F28" s="3353"/>
      <c r="G28" s="3071" t="s">
        <v>3176</v>
      </c>
      <c r="H28" s="3332">
        <f>'数据-取费表'!AM6</f>
        <v>0.01</v>
      </c>
      <c r="I28" s="3332"/>
      <c r="J28" s="3112"/>
      <c r="K28" s="3096"/>
      <c r="L28" s="3096"/>
    </row>
    <row r="29" spans="1:12" s="3085" customFormat="1" ht="18" customHeight="1">
      <c r="A29" s="3074" t="s">
        <v>3177</v>
      </c>
      <c r="B29" s="3075" t="s">
        <v>3178</v>
      </c>
      <c r="C29" s="3333">
        <f ca="1">ROUND((C4+C24)/(1-E24),0)</f>
        <v>3449036</v>
      </c>
      <c r="D29" s="3334"/>
      <c r="E29" s="3334"/>
      <c r="F29" s="3335"/>
      <c r="G29" s="3336" t="s">
        <v>3179</v>
      </c>
      <c r="H29" s="3336"/>
      <c r="I29" s="3336"/>
      <c r="J29" s="3113" t="s">
        <v>3180</v>
      </c>
      <c r="K29" s="3096"/>
      <c r="L29" s="3096"/>
    </row>
    <row r="30" spans="1:12" s="3085" customFormat="1" ht="18" customHeight="1">
      <c r="A30" s="3336" t="s">
        <v>3181</v>
      </c>
      <c r="B30" s="3342" t="s">
        <v>3182</v>
      </c>
      <c r="C30" s="3343">
        <f ca="1">ROUND(C29/I30/I31/I3,2)</f>
        <v>10</v>
      </c>
      <c r="D30" s="3344"/>
      <c r="E30" s="3344"/>
      <c r="F30" s="3345"/>
      <c r="G30" s="3349" t="s">
        <v>3183</v>
      </c>
      <c r="H30" s="3075" t="s">
        <v>3184</v>
      </c>
      <c r="I30" s="3071">
        <v>365</v>
      </c>
      <c r="J30" s="3114"/>
      <c r="K30" s="3096"/>
      <c r="L30" s="3096"/>
    </row>
    <row r="31" spans="1:12" s="3085" customFormat="1" ht="18" customHeight="1">
      <c r="A31" s="3336"/>
      <c r="B31" s="3342"/>
      <c r="C31" s="3346"/>
      <c r="D31" s="3347"/>
      <c r="E31" s="3347"/>
      <c r="F31" s="3348"/>
      <c r="G31" s="3349"/>
      <c r="H31" s="3075" t="s">
        <v>3185</v>
      </c>
      <c r="I31" s="3115">
        <f>1-'数据-取费表'!W6</f>
        <v>0.95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38" t="s">
        <v>3186</v>
      </c>
      <c r="C33" s="3338"/>
      <c r="D33" s="3338"/>
      <c r="E33" s="3338"/>
      <c r="F33" s="3338"/>
      <c r="G33" s="3121"/>
      <c r="H33" s="3122"/>
      <c r="I33" s="3068"/>
      <c r="J33" s="3083"/>
      <c r="K33" s="3096"/>
      <c r="L33" s="3096"/>
      <c r="M33" s="3068"/>
    </row>
    <row r="34" spans="1:13" s="3085" customFormat="1" ht="18" customHeight="1">
      <c r="A34" s="3068"/>
      <c r="B34" s="3123" t="s">
        <v>3187</v>
      </c>
      <c r="C34" s="3124" t="s">
        <v>3089</v>
      </c>
      <c r="D34" s="3339" t="s">
        <v>3188</v>
      </c>
      <c r="E34" s="3339"/>
      <c r="F34" s="3339"/>
      <c r="G34" s="3121"/>
      <c r="H34" s="3122"/>
      <c r="I34" s="3068"/>
      <c r="J34" s="3109"/>
      <c r="K34" s="3068"/>
      <c r="L34" s="3068"/>
      <c r="M34" s="3068"/>
    </row>
    <row r="35" spans="1:13">
      <c r="B35" s="3123" t="s">
        <v>3189</v>
      </c>
      <c r="C35" s="3125">
        <v>0.5</v>
      </c>
      <c r="D35" s="3340">
        <f>'比较法-商业'!C49</f>
        <v>12.6</v>
      </c>
      <c r="E35" s="3340"/>
      <c r="F35" s="3340"/>
      <c r="G35" s="3121">
        <f ca="1">(D35-D36)/D36</f>
        <v>0.25999999999999995</v>
      </c>
      <c r="H35" s="3122"/>
      <c r="K35" s="3068"/>
      <c r="L35" s="3068"/>
    </row>
    <row r="36" spans="1:13" ht="20.100000000000001" customHeight="1">
      <c r="B36" s="3123" t="s">
        <v>3190</v>
      </c>
      <c r="C36" s="3125">
        <v>0.5</v>
      </c>
      <c r="D36" s="3340">
        <f ca="1">C30</f>
        <v>10</v>
      </c>
      <c r="E36" s="3340"/>
      <c r="F36" s="3340"/>
      <c r="G36" s="3121"/>
      <c r="H36" s="3122"/>
      <c r="J36" s="3068"/>
      <c r="K36" s="3068"/>
      <c r="L36" s="3068"/>
    </row>
    <row r="37" spans="1:13" ht="22.5" customHeight="1">
      <c r="B37" s="3341" t="s">
        <v>3191</v>
      </c>
      <c r="C37" s="3341"/>
      <c r="D37" s="3337">
        <f ca="1">ROUND(C35*D35+C36*D36,1)</f>
        <v>11.3</v>
      </c>
      <c r="E37" s="3337"/>
      <c r="F37" s="3337"/>
      <c r="G37" s="3121"/>
      <c r="H37" s="3122"/>
      <c r="J37" s="3068"/>
      <c r="K37" s="3068"/>
      <c r="L37" s="3068"/>
    </row>
    <row r="38" spans="1:13" ht="22.5" customHeight="1">
      <c r="B38" s="3123" t="s">
        <v>3192</v>
      </c>
      <c r="C38" s="3123">
        <f ca="1">ROUND(D37*0.9,1)</f>
        <v>10.199999999999999</v>
      </c>
      <c r="D38" s="3126" t="s">
        <v>3193</v>
      </c>
      <c r="E38" s="3337">
        <f ca="1">ROUND(D37*1.1,1)</f>
        <v>12.4</v>
      </c>
      <c r="F38" s="3337"/>
      <c r="G38" s="3121" t="s">
        <v>3194</v>
      </c>
      <c r="H38" s="3127">
        <v>12</v>
      </c>
      <c r="J38" s="3068"/>
      <c r="K38" s="3068"/>
      <c r="L38" s="3068"/>
    </row>
    <row r="39" spans="1:13" ht="18" customHeight="1">
      <c r="B39" s="3123" t="s">
        <v>3195</v>
      </c>
      <c r="C39" s="3123">
        <f ca="1">ROUND(C38+H39,1)</f>
        <v>10.199999999999999</v>
      </c>
      <c r="D39" s="3126" t="s">
        <v>3193</v>
      </c>
      <c r="E39" s="3337">
        <f ca="1">ROUND(E38+H39,1)</f>
        <v>12.4</v>
      </c>
      <c r="F39" s="3337"/>
      <c r="G39" s="3128" t="s">
        <v>3196</v>
      </c>
      <c r="H39" s="3128">
        <v>0</v>
      </c>
      <c r="J39" s="3068"/>
      <c r="K39" s="3068"/>
      <c r="L39" s="3068"/>
    </row>
    <row r="40" spans="1:13" ht="18" customHeight="1">
      <c r="B40" s="3129"/>
      <c r="C40" s="3130"/>
      <c r="D40" s="3131"/>
      <c r="E40" s="3131"/>
      <c r="F40" s="3131"/>
      <c r="G40" s="3121"/>
      <c r="H40" s="3122"/>
      <c r="J40" s="3068"/>
    </row>
    <row r="41" spans="1:13" ht="18" customHeight="1">
      <c r="B41" s="3121" t="s">
        <v>3197</v>
      </c>
      <c r="C41" s="3131"/>
      <c r="D41" s="3131"/>
      <c r="E41" s="3121" t="s">
        <v>3198</v>
      </c>
      <c r="F41" s="3131"/>
      <c r="G41" s="3121"/>
      <c r="H41" s="3121" t="s">
        <v>3199</v>
      </c>
      <c r="J41" s="3068"/>
    </row>
    <row r="42" spans="1:13" ht="29.25" customHeight="1"/>
    <row r="45" spans="1:13">
      <c r="H45" s="313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143" t="str">
        <f>项目基本情况!B1</f>
        <v>北京市房地产市场价值预评估</v>
      </c>
      <c r="C37" s="3143"/>
      <c r="D37" s="3143"/>
      <c r="E37" s="3143"/>
      <c r="F37" s="3143"/>
      <c r="G37" s="3143"/>
      <c r="H37" s="3143"/>
      <c r="I37" s="314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4"/>
      <c r="C1" s="204"/>
      <c r="D1" s="204"/>
      <c r="E1" s="204"/>
      <c r="F1" s="204"/>
      <c r="G1" s="1288">
        <f>MATCH(B1,'数据-取费表'!A6:A16,0)+5</f>
        <v>7</v>
      </c>
    </row>
    <row r="2" spans="1:9" s="206" customFormat="1" ht="18" customHeight="1">
      <c r="A2" s="207" t="s">
        <v>2148</v>
      </c>
      <c r="B2" s="208">
        <f ca="1">IF(D2="——",C52,C52-E2)</f>
        <v>530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5329</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v>
      </c>
      <c r="D19" s="958">
        <f ca="1">D9+D10</f>
        <v>994.5</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440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2212</v>
      </c>
    </row>
    <row r="35" spans="1:7" ht="13.5" customHeight="1">
      <c r="A35" s="888" t="s">
        <v>796</v>
      </c>
      <c r="B35" s="221" t="s">
        <v>2213</v>
      </c>
      <c r="C35" s="226">
        <f ca="1">ROUND(C34*F35,0)</f>
        <v>16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v>
      </c>
      <c r="D37" s="223">
        <f ca="1">D19</f>
        <v>994.5</v>
      </c>
      <c r="E37" s="255">
        <f>'数据-取费表'!B35</f>
        <v>200</v>
      </c>
      <c r="F37" s="265"/>
      <c r="G37" s="267" t="s">
        <v>2218</v>
      </c>
    </row>
    <row r="38" spans="1:7" ht="13.5" customHeight="1">
      <c r="A38" s="888" t="s">
        <v>799</v>
      </c>
      <c r="B38" s="221" t="s">
        <v>2219</v>
      </c>
      <c r="C38" s="226">
        <f ca="1">ROUND(C34*F38,0)</f>
        <v>6</v>
      </c>
      <c r="D38" s="226"/>
      <c r="E38" s="226"/>
      <c r="F38" s="265">
        <f>'数据-取费表'!B36</f>
        <v>1.4999999999999999E-2</v>
      </c>
      <c r="G38" s="225" t="s">
        <v>2214</v>
      </c>
    </row>
    <row r="39" spans="1:7" s="220" customFormat="1" ht="13.5" customHeight="1">
      <c r="A39" s="261" t="s">
        <v>2220</v>
      </c>
      <c r="B39" s="216" t="s">
        <v>2221</v>
      </c>
      <c r="C39" s="238">
        <f ca="1">ROUND(C33*F20,0)</f>
        <v>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19</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19</v>
      </c>
      <c r="D42" s="244"/>
      <c r="E42" s="244"/>
      <c r="F42" s="245"/>
      <c r="G42" s="3377" t="s">
        <v>2230</v>
      </c>
    </row>
    <row r="43" spans="1:7" ht="13.5" customHeight="1">
      <c r="A43" s="888" t="s">
        <v>792</v>
      </c>
      <c r="B43" s="221" t="s">
        <v>2231</v>
      </c>
      <c r="C43" s="244">
        <f ca="1">ROUND(IF('数据-取费表'!B22&lt;=1,C39*F22*'数据-取费表'!B21/2,C39*(POWER((1+F22),'数据-取费表'!B21/2)-1)),0)</f>
        <v>0</v>
      </c>
      <c r="D43" s="244"/>
      <c r="E43" s="244"/>
      <c r="F43" s="245"/>
      <c r="G43" s="3378"/>
    </row>
    <row r="44" spans="1:7" ht="13.5" customHeight="1">
      <c r="A44" s="888" t="s">
        <v>793</v>
      </c>
      <c r="B44" s="221" t="s">
        <v>2232</v>
      </c>
      <c r="C44" s="244">
        <f ca="1">ROUND(IF('数据-取费表'!B22&lt;=1,C40*F22*'数据-取费表'!B21/2,C40*(POWER((1+F22),'数据-取费表'!B21/2)-1)),4)</f>
        <v>8.9999999999999998E-4</v>
      </c>
      <c r="D44" s="244"/>
      <c r="E44" s="244"/>
      <c r="F44" s="245"/>
      <c r="G44" s="3379"/>
    </row>
    <row r="45" spans="1:7" s="220" customFormat="1" ht="13.5" customHeight="1">
      <c r="A45" s="261" t="s">
        <v>2233</v>
      </c>
      <c r="B45" s="250" t="s">
        <v>2199</v>
      </c>
      <c r="C45" s="251">
        <f ca="1">C46</f>
        <v>90</v>
      </c>
      <c r="D45" s="241">
        <f ca="1">C47</f>
        <v>4.0000000000000001E-3</v>
      </c>
      <c r="E45" s="242" t="s">
        <v>2225</v>
      </c>
      <c r="F45" s="2537">
        <f ca="1">F27</f>
        <v>0.2</v>
      </c>
      <c r="G45" s="253" t="s">
        <v>2234</v>
      </c>
    </row>
    <row r="46" spans="1:7" s="220" customFormat="1" ht="13.5" customHeight="1">
      <c r="A46" s="888" t="s">
        <v>791</v>
      </c>
      <c r="B46" s="254" t="s">
        <v>2235</v>
      </c>
      <c r="C46" s="255">
        <f ca="1">ROUND((C33+C39)*F27,0)</f>
        <v>90</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605</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502</v>
      </c>
      <c r="D51" s="238"/>
      <c r="E51" s="238"/>
      <c r="F51" s="270"/>
      <c r="G51" s="240" t="s">
        <v>2246</v>
      </c>
    </row>
    <row r="52" spans="1:7" s="214" customFormat="1" ht="16.8" thickBot="1">
      <c r="A52" s="271" t="s">
        <v>2247</v>
      </c>
      <c r="B52" s="272"/>
      <c r="C52" s="273">
        <f ca="1">C31+C51</f>
        <v>530</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559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5621</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198900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198900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198900</v>
      </c>
      <c r="D19" s="958">
        <f ca="1">D9+D10</f>
        <v>994.5</v>
      </c>
      <c r="E19" s="217">
        <f>'数据-取费表'!B31</f>
        <v>200</v>
      </c>
      <c r="F19" s="237"/>
      <c r="G19" s="2042"/>
    </row>
    <row r="20" spans="1:7" s="220" customFormat="1" ht="13.5" customHeight="1">
      <c r="A20" s="261" t="s">
        <v>2260</v>
      </c>
      <c r="B20" s="216" t="s">
        <v>2261</v>
      </c>
      <c r="C20" s="238">
        <f ca="1">ROUND((C5+C19)*F20,0)</f>
        <v>7956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35708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17681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17681</v>
      </c>
      <c r="D24" s="244"/>
      <c r="E24" s="244"/>
      <c r="F24" s="245"/>
      <c r="G24" s="246" t="s">
        <v>2272</v>
      </c>
    </row>
    <row r="25" spans="1:7" s="220" customFormat="1" ht="24">
      <c r="A25" s="888" t="s">
        <v>2162</v>
      </c>
      <c r="B25" s="221" t="s">
        <v>2273</v>
      </c>
      <c r="C25" s="1290">
        <f ca="1">ROUND(IF('数据-取费表'!B22&lt;=1,C20*F22*'数据-取费表'!B22/2,C20*(POWER((1+F22),'数据-取费表'!B22/2)-1)),0)</f>
        <v>346</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81151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81151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566951</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4395690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2213</v>
      </c>
      <c r="C35" s="226">
        <f ca="1">ROUND(C34*F35,0)</f>
        <v>159120</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198900</v>
      </c>
      <c r="D37" s="223">
        <f ca="1">D19</f>
        <v>994.5</v>
      </c>
      <c r="E37" s="255">
        <f>'数据-取费表'!B35</f>
        <v>200</v>
      </c>
      <c r="F37" s="265"/>
      <c r="G37" s="267"/>
    </row>
    <row r="38" spans="1:7" ht="13.5" customHeight="1">
      <c r="A38" s="888" t="s">
        <v>799</v>
      </c>
      <c r="B38" s="221" t="s">
        <v>2219</v>
      </c>
      <c r="C38" s="226">
        <f ca="1">ROUND(C34*F38,0)</f>
        <v>59670</v>
      </c>
      <c r="D38" s="226"/>
      <c r="E38" s="226"/>
      <c r="F38" s="265">
        <f>'数据-取费表'!B36</f>
        <v>1.4999999999999999E-2</v>
      </c>
      <c r="G38" s="225" t="s">
        <v>2214</v>
      </c>
    </row>
    <row r="39" spans="1:7" s="220" customFormat="1" ht="13.5" customHeight="1">
      <c r="A39" s="261" t="s">
        <v>2220</v>
      </c>
      <c r="B39" s="216" t="s">
        <v>2221</v>
      </c>
      <c r="C39" s="238">
        <f ca="1">ROUND(C33*F20,0)</f>
        <v>87914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195037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191213</v>
      </c>
      <c r="D42" s="244"/>
      <c r="E42" s="244"/>
      <c r="F42" s="245"/>
      <c r="G42" s="3377" t="s">
        <v>2277</v>
      </c>
    </row>
    <row r="43" spans="1:7" ht="13.5" customHeight="1">
      <c r="A43" s="888" t="s">
        <v>792</v>
      </c>
      <c r="B43" s="221" t="s">
        <v>2231</v>
      </c>
      <c r="C43" s="244">
        <f ca="1">ROUND(IF('数据-取费表'!B22&lt;=1,C39*F22*'数据-取费表'!B20/2,C39*(POWER((1+F22),'数据-取费表'!B20/2)-1)),0)</f>
        <v>3824</v>
      </c>
      <c r="D43" s="244"/>
      <c r="E43" s="244"/>
      <c r="F43" s="245"/>
      <c r="G43" s="3378"/>
    </row>
    <row r="44" spans="1:7" ht="13.5" customHeight="1">
      <c r="A44" s="888" t="s">
        <v>793</v>
      </c>
      <c r="B44" s="221" t="s">
        <v>2232</v>
      </c>
      <c r="C44" s="244">
        <f ca="1">ROUND(IF('数据-取费表'!B22&lt;=1,C40*F22*'数据-取费表'!B20/2,C40*(POWER((1+F22),'数据-取费表'!B20/2)-1)),4)</f>
        <v>8.9999999999999998E-4</v>
      </c>
      <c r="D44" s="244"/>
      <c r="E44" s="244"/>
      <c r="F44" s="245"/>
      <c r="G44" s="3379"/>
    </row>
    <row r="45" spans="1:7" s="220" customFormat="1" ht="13.5" customHeight="1">
      <c r="A45" s="261" t="s">
        <v>2233</v>
      </c>
      <c r="B45" s="250" t="s">
        <v>2199</v>
      </c>
      <c r="C45" s="251">
        <f ca="1">C46</f>
        <v>896721</v>
      </c>
      <c r="D45" s="241">
        <f ca="1">C47</f>
        <v>4.0000000000000001E-3</v>
      </c>
      <c r="E45" s="242" t="s">
        <v>2225</v>
      </c>
      <c r="F45" s="2537">
        <f ca="1">F27</f>
        <v>0.2</v>
      </c>
      <c r="G45" s="253" t="s">
        <v>2234</v>
      </c>
    </row>
    <row r="46" spans="1:7" s="220" customFormat="1" ht="13.5" customHeight="1">
      <c r="A46" s="888" t="s">
        <v>791</v>
      </c>
      <c r="B46" s="254" t="s">
        <v>2235</v>
      </c>
      <c r="C46" s="255">
        <f ca="1">ROUND((C33+C39)*F27,0)</f>
        <v>896721</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6048342</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5020124</v>
      </c>
      <c r="D51" s="238"/>
      <c r="E51" s="238"/>
      <c r="F51" s="270"/>
      <c r="G51" s="240" t="s">
        <v>2246</v>
      </c>
    </row>
    <row r="52" spans="1:7" s="214" customFormat="1" ht="16.8" thickBot="1">
      <c r="A52" s="271" t="s">
        <v>2247</v>
      </c>
      <c r="B52" s="272"/>
      <c r="C52" s="273">
        <f ca="1">C31+C51</f>
        <v>5587075</v>
      </c>
      <c r="D52" s="272"/>
      <c r="E52" s="272"/>
      <c r="F52" s="272"/>
      <c r="G52" s="274"/>
    </row>
    <row r="55" spans="1:7" ht="15">
      <c r="B55" s="276" t="s">
        <v>2248</v>
      </c>
      <c r="C55" s="277"/>
    </row>
    <row r="56" spans="1:7">
      <c r="B56" s="279" t="s">
        <v>1478</v>
      </c>
      <c r="C56" s="281">
        <f ca="1">1-C57</f>
        <v>0.10099999999999998</v>
      </c>
    </row>
    <row r="57" spans="1:7">
      <c r="B57" s="279" t="s">
        <v>1479</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5"/>
      <c r="F1" s="3035"/>
      <c r="G1" s="2898"/>
      <c r="H1" s="3035"/>
      <c r="I1" s="3035"/>
      <c r="J1" s="3035"/>
      <c r="K1" s="3036">
        <f>MATCH(C1,'数据-取费表'!A6:A16,0)+5</f>
        <v>7</v>
      </c>
    </row>
    <row r="2" spans="1:33" ht="18" customHeight="1">
      <c r="A2" s="207" t="s">
        <v>2148</v>
      </c>
      <c r="B2" s="210">
        <f ca="1">C32</f>
        <v>-23</v>
      </c>
      <c r="C2" s="282" t="s">
        <v>2281</v>
      </c>
      <c r="D2" s="282"/>
      <c r="E2" s="3035"/>
      <c r="F2" s="3035"/>
      <c r="G2" s="3035"/>
      <c r="H2" s="3035"/>
      <c r="I2" s="3035"/>
      <c r="J2" s="3035"/>
      <c r="K2" s="3035"/>
    </row>
    <row r="3" spans="1:33" ht="18" customHeight="1" thickBot="1">
      <c r="A3" s="209" t="s">
        <v>2150</v>
      </c>
      <c r="B3" s="210">
        <f ca="1">ROUND(B2*10000/IF(C1="",'数据-汇总表'!E3,INDIRECT("'数据-取费表'!K"&amp;$K$1)),0)</f>
        <v>-231</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994.5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994.5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2317</v>
      </c>
      <c r="C21" s="923">
        <f ca="1">C16+C17+C18</f>
        <v>20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80" t="s">
        <v>1368</v>
      </c>
      <c r="C6" s="1206">
        <f ca="1">ROUND(F6*F8*F7*(1-F9),0)</f>
        <v>0</v>
      </c>
      <c r="D6" s="160" t="s">
        <v>2848</v>
      </c>
      <c r="E6" s="308" t="s">
        <v>1370</v>
      </c>
      <c r="F6" s="309">
        <f ca="1">INDIRECT("'数据-取费表'!u"&amp;$G$1)</f>
        <v>0</v>
      </c>
      <c r="G6" s="1568"/>
      <c r="H6" s="1201" t="s">
        <v>1003</v>
      </c>
      <c r="I6" s="3380" t="s">
        <v>1368</v>
      </c>
      <c r="J6" s="307">
        <f ca="1">ROUND(M6*M8*M7*(1-M9),0)</f>
        <v>0</v>
      </c>
      <c r="K6" s="1560" t="s">
        <v>2849</v>
      </c>
      <c r="L6" s="308" t="s">
        <v>1370</v>
      </c>
      <c r="M6" s="309">
        <f ca="1">INDIRECT("'数据-取费表'!z"&amp;$G$1)</f>
        <v>0</v>
      </c>
    </row>
    <row r="7" spans="1:37" ht="18" customHeight="1">
      <c r="A7" s="1205"/>
      <c r="B7" s="3381"/>
      <c r="C7" s="1207"/>
      <c r="D7" s="313"/>
      <c r="E7" s="1208" t="s">
        <v>1371</v>
      </c>
      <c r="F7" s="309">
        <f ca="1">IF(INDIRECT("'数据-取费表'!ah"&amp;$G$1)="",INDIRECT("'数据-取费表'!k"&amp;$G$1),INDIRECT("'数据-取费表'!ah"&amp;$G$1))</f>
        <v>0</v>
      </c>
      <c r="G7" s="1568"/>
      <c r="H7" s="310"/>
      <c r="I7" s="3381"/>
      <c r="J7" s="312"/>
      <c r="K7" s="313"/>
      <c r="L7" s="308" t="s">
        <v>1371</v>
      </c>
      <c r="M7" s="309">
        <f ca="1">F7</f>
        <v>0</v>
      </c>
    </row>
    <row r="8" spans="1:37" ht="18" customHeight="1">
      <c r="A8" s="310"/>
      <c r="B8" s="3381"/>
      <c r="C8" s="312"/>
      <c r="D8" s="313"/>
      <c r="E8" s="308" t="s">
        <v>1372</v>
      </c>
      <c r="F8" s="309">
        <f ca="1">INDIRECT("'数据-取费表'!ai"&amp;$G$1)</f>
        <v>0</v>
      </c>
      <c r="G8" s="1568"/>
      <c r="H8" s="310"/>
      <c r="I8" s="3381"/>
      <c r="J8" s="312"/>
      <c r="K8" s="313"/>
      <c r="L8" s="308" t="s">
        <v>1372</v>
      </c>
      <c r="M8" s="309">
        <f ca="1">INDIRECT("'数据-取费表'!ai"&amp;$G$1)</f>
        <v>0</v>
      </c>
    </row>
    <row r="9" spans="1:37" ht="18" customHeight="1">
      <c r="A9" s="310"/>
      <c r="B9" s="3382"/>
      <c r="C9" s="312"/>
      <c r="D9" s="313"/>
      <c r="E9" s="308" t="s">
        <v>1373</v>
      </c>
      <c r="F9" s="318">
        <f ca="1">INDIRECT("'数据-取费表'!w"&amp;$G$1)</f>
        <v>0</v>
      </c>
      <c r="G9" s="1568"/>
      <c r="H9" s="310"/>
      <c r="I9" s="338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83" t="s">
        <v>1513</v>
      </c>
      <c r="L53" s="3384"/>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33" sqref="F33"/>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2347</v>
      </c>
      <c r="B1" s="2054"/>
      <c r="C1" s="2054"/>
      <c r="D1" s="2054"/>
      <c r="E1" s="2055"/>
      <c r="F1" s="2934"/>
      <c r="G1" s="1674"/>
      <c r="H1" s="1674"/>
      <c r="I1" s="1674"/>
      <c r="J1" s="1674"/>
      <c r="K1" s="1674"/>
      <c r="L1" s="1674"/>
      <c r="M1" s="1674"/>
      <c r="N1" s="1674"/>
      <c r="O1" s="1674"/>
      <c r="P1" s="1674"/>
      <c r="Q1" s="1674"/>
      <c r="R1" s="1674"/>
      <c r="S1" s="1674"/>
    </row>
    <row r="2" spans="1:22" ht="15.6">
      <c r="A2" s="2056" t="s">
        <v>2148</v>
      </c>
      <c r="B2" s="2057">
        <f ca="1">SUMIF(B6:B13,"&lt;&gt;#ref!",B6:B13)</f>
        <v>8611</v>
      </c>
      <c r="C2" s="2058" t="s">
        <v>2340</v>
      </c>
      <c r="D2" s="2059" t="s">
        <v>2341</v>
      </c>
      <c r="E2" s="2831">
        <f>SUM(E6:E13)</f>
        <v>994.5</v>
      </c>
      <c r="F2" s="2934"/>
      <c r="G2" s="1674"/>
      <c r="H2" s="1674"/>
      <c r="I2" s="1674"/>
      <c r="J2" s="1674"/>
      <c r="K2" s="1674"/>
      <c r="L2" s="1674"/>
      <c r="M2" s="1674"/>
      <c r="N2" s="1674"/>
      <c r="O2" s="1674"/>
      <c r="P2" s="1674"/>
      <c r="Q2" s="1674"/>
      <c r="R2" s="1674"/>
      <c r="S2" s="1674"/>
    </row>
    <row r="3" spans="1:22" ht="15.6">
      <c r="A3" s="2056" t="s">
        <v>1360</v>
      </c>
      <c r="B3" s="2825">
        <f ca="1">ROUND(B2*10000/E2,0)</f>
        <v>86586</v>
      </c>
      <c r="C3" s="2058" t="s">
        <v>2348</v>
      </c>
      <c r="D3" s="2936"/>
      <c r="E3" s="2938"/>
      <c r="F3" s="2934"/>
      <c r="G3" s="1674"/>
      <c r="H3" s="1674"/>
      <c r="I3" s="1674"/>
      <c r="J3" s="1674"/>
      <c r="K3" s="1674"/>
      <c r="L3" s="1674"/>
      <c r="M3" s="1674"/>
      <c r="N3" s="1674"/>
      <c r="O3" s="1674"/>
      <c r="P3" s="1674"/>
      <c r="Q3" s="1674"/>
      <c r="R3" s="1674"/>
      <c r="S3" s="1674"/>
    </row>
    <row r="4" spans="1:22" ht="15.6">
      <c r="A4" s="2939"/>
      <c r="B4" s="2936"/>
      <c r="C4" s="2936"/>
      <c r="D4" s="2936"/>
      <c r="E4" s="2938"/>
      <c r="F4" s="2934"/>
      <c r="G4" s="1674"/>
      <c r="H4" s="1674"/>
      <c r="I4" s="1674"/>
      <c r="J4" s="1674"/>
      <c r="K4" s="1674"/>
      <c r="L4" s="1674"/>
      <c r="M4" s="1674"/>
      <c r="N4" s="1674"/>
      <c r="O4" s="1674"/>
      <c r="P4" s="1674"/>
      <c r="Q4" s="1674"/>
      <c r="R4" s="1674"/>
      <c r="S4" s="1674"/>
    </row>
    <row r="5" spans="1:22" ht="14.4">
      <c r="A5" s="2827" t="s">
        <v>2342</v>
      </c>
      <c r="B5" s="3385" t="s">
        <v>2343</v>
      </c>
      <c r="C5" s="3386"/>
      <c r="D5" s="2935"/>
      <c r="E5" s="2060" t="s">
        <v>2344</v>
      </c>
      <c r="F5" s="2061" t="s">
        <v>2345</v>
      </c>
      <c r="G5" s="1674"/>
      <c r="H5" s="1674"/>
      <c r="I5" s="1674"/>
      <c r="J5" s="1674"/>
      <c r="K5" s="1674"/>
      <c r="L5" s="1674"/>
      <c r="M5" s="1674"/>
      <c r="N5" s="1674"/>
      <c r="O5" s="1674"/>
      <c r="P5" s="1674"/>
      <c r="Q5" s="1674"/>
      <c r="R5" s="1674"/>
      <c r="S5" s="1674"/>
    </row>
    <row r="6" spans="1:22" ht="14.4">
      <c r="A6" s="2828" t="str">
        <f>'数据-取费表'!AN6</f>
        <v>收益法</v>
      </c>
      <c r="B6" s="2826">
        <f ca="1">IF(F6="是",'数据-取费表'!AO6,0)</f>
        <v>8611</v>
      </c>
      <c r="C6" s="2058" t="s">
        <v>2340</v>
      </c>
      <c r="D6" s="2936"/>
      <c r="E6" s="2830">
        <f>IF(OR(A6=0,F6="否"),0,'数据-取费表'!K6+'数据-取费表'!S6)</f>
        <v>994.5</v>
      </c>
      <c r="F6" s="2062" t="s">
        <v>2346</v>
      </c>
      <c r="G6" s="1674"/>
      <c r="H6" s="1674"/>
      <c r="I6" s="1674"/>
      <c r="J6" s="1674"/>
      <c r="K6" s="1674"/>
      <c r="L6" s="1674"/>
      <c r="M6" s="1674"/>
      <c r="N6" s="1674"/>
      <c r="O6" s="1674"/>
      <c r="P6" s="1674"/>
      <c r="Q6" s="1674"/>
      <c r="R6" s="1674"/>
      <c r="S6" s="1674"/>
    </row>
    <row r="7" spans="1:22" ht="14.4">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ht="14.4">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ht="14.4">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ht="14.4">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ht="14.4">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ht="14.4">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87" t="s">
        <v>1044</v>
      </c>
      <c r="B1" s="3388"/>
      <c r="C1" s="3389"/>
      <c r="D1" s="3390">
        <f>SUM(I10,I15,I20,I21,I23)</f>
        <v>0</v>
      </c>
      <c r="E1" s="3390"/>
      <c r="F1" s="3390"/>
      <c r="G1" s="3390"/>
      <c r="H1" s="3390"/>
      <c r="I1" s="3391"/>
    </row>
    <row r="2" spans="1:9">
      <c r="A2" s="3392" t="s">
        <v>1045</v>
      </c>
      <c r="B2" s="3393" t="s">
        <v>1046</v>
      </c>
      <c r="C2" s="3393"/>
      <c r="D2" s="1211" t="s">
        <v>1047</v>
      </c>
      <c r="E2" s="1211" t="s">
        <v>1048</v>
      </c>
      <c r="F2" s="1211" t="s">
        <v>1049</v>
      </c>
      <c r="G2" s="1211" t="s">
        <v>1050</v>
      </c>
      <c r="H2" s="1211" t="s">
        <v>1051</v>
      </c>
      <c r="I2" s="1212" t="s">
        <v>1052</v>
      </c>
    </row>
    <row r="3" spans="1:9">
      <c r="A3" s="3392"/>
      <c r="B3" s="3393" t="s">
        <v>1053</v>
      </c>
      <c r="C3" s="3393"/>
      <c r="D3" s="1213"/>
      <c r="E3" s="1211"/>
      <c r="F3" s="1214"/>
      <c r="G3" s="1214"/>
      <c r="H3" s="1215"/>
      <c r="I3" s="1216">
        <f>ROUND(D3*E3*F3*G3*H3/10000,0)</f>
        <v>0</v>
      </c>
    </row>
    <row r="4" spans="1:9">
      <c r="A4" s="3392"/>
      <c r="B4" s="3393" t="s">
        <v>1054</v>
      </c>
      <c r="C4" s="3393"/>
      <c r="D4" s="1213"/>
      <c r="E4" s="1211"/>
      <c r="F4" s="1214"/>
      <c r="G4" s="1214"/>
      <c r="H4" s="1215"/>
      <c r="I4" s="1216">
        <f t="shared" ref="I4:I9" si="0">ROUND(D4*E4*F4*G4*H4/10000,0)</f>
        <v>0</v>
      </c>
    </row>
    <row r="5" spans="1:9">
      <c r="A5" s="3392"/>
      <c r="B5" s="3393" t="s">
        <v>1055</v>
      </c>
      <c r="C5" s="3393"/>
      <c r="D5" s="1213"/>
      <c r="E5" s="1211"/>
      <c r="F5" s="1214"/>
      <c r="G5" s="1214"/>
      <c r="H5" s="1215"/>
      <c r="I5" s="1216">
        <f t="shared" si="0"/>
        <v>0</v>
      </c>
    </row>
    <row r="6" spans="1:9">
      <c r="A6" s="3392"/>
      <c r="B6" s="3393" t="s">
        <v>1056</v>
      </c>
      <c r="C6" s="3393"/>
      <c r="D6" s="1213"/>
      <c r="E6" s="1211"/>
      <c r="F6" s="1214"/>
      <c r="G6" s="1214"/>
      <c r="H6" s="1215"/>
      <c r="I6" s="1216">
        <f t="shared" si="0"/>
        <v>0</v>
      </c>
    </row>
    <row r="7" spans="1:9">
      <c r="A7" s="3392"/>
      <c r="B7" s="3393" t="s">
        <v>1057</v>
      </c>
      <c r="C7" s="3393"/>
      <c r="D7" s="1213"/>
      <c r="E7" s="1211"/>
      <c r="F7" s="1214"/>
      <c r="G7" s="1214"/>
      <c r="H7" s="1215"/>
      <c r="I7" s="1216">
        <f t="shared" si="0"/>
        <v>0</v>
      </c>
    </row>
    <row r="8" spans="1:9">
      <c r="A8" s="3392"/>
      <c r="B8" s="3393" t="s">
        <v>1058</v>
      </c>
      <c r="C8" s="3393"/>
      <c r="D8" s="1213"/>
      <c r="E8" s="1211"/>
      <c r="F8" s="1214"/>
      <c r="G8" s="1214"/>
      <c r="H8" s="1215"/>
      <c r="I8" s="1216">
        <f t="shared" si="0"/>
        <v>0</v>
      </c>
    </row>
    <row r="9" spans="1:9">
      <c r="A9" s="3392"/>
      <c r="B9" s="3393" t="s">
        <v>1059</v>
      </c>
      <c r="C9" s="3393"/>
      <c r="D9" s="1213"/>
      <c r="E9" s="1211"/>
      <c r="F9" s="1214"/>
      <c r="G9" s="1214"/>
      <c r="H9" s="1215"/>
      <c r="I9" s="1216">
        <f t="shared" si="0"/>
        <v>0</v>
      </c>
    </row>
    <row r="10" spans="1:9">
      <c r="A10" s="3392"/>
      <c r="B10" s="3394" t="s">
        <v>1060</v>
      </c>
      <c r="C10" s="3394"/>
      <c r="D10" s="1217"/>
      <c r="E10" s="1217" t="e">
        <f>ROUND(D1*10000/D10/H9,0)</f>
        <v>#DIV/0!</v>
      </c>
      <c r="F10" s="1218"/>
      <c r="G10" s="1218"/>
      <c r="H10" s="1219"/>
      <c r="I10" s="1220">
        <f>SUM(I3:I9)</f>
        <v>0</v>
      </c>
    </row>
    <row r="11" spans="1:9" ht="15.6">
      <c r="A11" s="3392" t="s">
        <v>1061</v>
      </c>
      <c r="B11" s="3393" t="s">
        <v>1062</v>
      </c>
      <c r="C11" s="3393"/>
      <c r="D11" s="1213" t="s">
        <v>1063</v>
      </c>
      <c r="E11" s="1213" t="s">
        <v>1064</v>
      </c>
      <c r="F11" s="1214" t="s">
        <v>1065</v>
      </c>
      <c r="G11" s="1214" t="s">
        <v>1051</v>
      </c>
      <c r="H11" s="1221" t="s">
        <v>1066</v>
      </c>
      <c r="I11" s="1212" t="s">
        <v>1052</v>
      </c>
    </row>
    <row r="12" spans="1:9">
      <c r="A12" s="3392"/>
      <c r="B12" s="3393" t="s">
        <v>1067</v>
      </c>
      <c r="C12" s="3393"/>
      <c r="D12" s="1213"/>
      <c r="E12" s="1213"/>
      <c r="F12" s="1214"/>
      <c r="G12" s="1215"/>
      <c r="H12" s="1222"/>
      <c r="I12" s="1212">
        <f>ROUND(D12*E12*F12*G12/10000,0)</f>
        <v>0</v>
      </c>
    </row>
    <row r="13" spans="1:9">
      <c r="A13" s="3392"/>
      <c r="B13" s="3393" t="s">
        <v>1068</v>
      </c>
      <c r="C13" s="3393"/>
      <c r="D13" s="1213"/>
      <c r="E13" s="1213"/>
      <c r="F13" s="1214"/>
      <c r="G13" s="1215"/>
      <c r="H13" s="1222"/>
      <c r="I13" s="1212">
        <f>ROUND(D13*E13*F13*G13/10000,0)</f>
        <v>0</v>
      </c>
    </row>
    <row r="14" spans="1:9">
      <c r="A14" s="3392"/>
      <c r="B14" s="3393" t="s">
        <v>1069</v>
      </c>
      <c r="C14" s="3393"/>
      <c r="D14" s="1213"/>
      <c r="E14" s="1213"/>
      <c r="F14" s="1214"/>
      <c r="G14" s="1215"/>
      <c r="H14" s="1222"/>
      <c r="I14" s="1212">
        <f>ROUND(D14*E14*F14*G14/10000,0)</f>
        <v>0</v>
      </c>
    </row>
    <row r="15" spans="1:9">
      <c r="A15" s="3392"/>
      <c r="B15" s="3394" t="s">
        <v>1060</v>
      </c>
      <c r="C15" s="3394"/>
      <c r="D15" s="1217"/>
      <c r="E15" s="1217">
        <f>SUM(E12:E14)</f>
        <v>0</v>
      </c>
      <c r="F15" s="1218"/>
      <c r="G15" s="1215"/>
      <c r="H15" s="1222"/>
      <c r="I15" s="1223">
        <f>SUM(I12:I14)</f>
        <v>0</v>
      </c>
    </row>
    <row r="16" spans="1:9" ht="24">
      <c r="A16" s="3392" t="s">
        <v>1070</v>
      </c>
      <c r="B16" s="3393" t="s">
        <v>1071</v>
      </c>
      <c r="C16" s="3393"/>
      <c r="D16" s="1213" t="s">
        <v>1047</v>
      </c>
      <c r="E16" s="1224" t="s">
        <v>1072</v>
      </c>
      <c r="F16" s="1214" t="s">
        <v>1073</v>
      </c>
      <c r="G16" s="1215" t="s">
        <v>1051</v>
      </c>
      <c r="H16" s="1221" t="s">
        <v>1066</v>
      </c>
      <c r="I16" s="1212" t="s">
        <v>1052</v>
      </c>
    </row>
    <row r="17" spans="1:9" ht="15.6">
      <c r="A17" s="3392"/>
      <c r="B17" s="3393" t="s">
        <v>1074</v>
      </c>
      <c r="C17" s="3393"/>
      <c r="D17" s="1213"/>
      <c r="E17" s="1213"/>
      <c r="F17" s="1214"/>
      <c r="G17" s="1215"/>
      <c r="H17" s="1225"/>
      <c r="I17" s="1226">
        <f>ROUND(D17*E17*F17*G17/10000,0)</f>
        <v>0</v>
      </c>
    </row>
    <row r="18" spans="1:9" ht="15.6">
      <c r="A18" s="3392"/>
      <c r="B18" s="3393" t="s">
        <v>1075</v>
      </c>
      <c r="C18" s="3393"/>
      <c r="D18" s="1213"/>
      <c r="E18" s="1213"/>
      <c r="F18" s="1214"/>
      <c r="G18" s="1215"/>
      <c r="H18" s="1225"/>
      <c r="I18" s="1226">
        <f>ROUND(D18*E18*F18*G18/10000,0)</f>
        <v>0</v>
      </c>
    </row>
    <row r="19" spans="1:9" ht="15.6">
      <c r="A19" s="3392"/>
      <c r="B19" s="3393" t="s">
        <v>1076</v>
      </c>
      <c r="C19" s="3393"/>
      <c r="D19" s="1213"/>
      <c r="E19" s="1213"/>
      <c r="F19" s="1214"/>
      <c r="G19" s="1215"/>
      <c r="H19" s="1225"/>
      <c r="I19" s="1226">
        <f>ROUND(D19*E19*F19*G19/10000,0)</f>
        <v>0</v>
      </c>
    </row>
    <row r="20" spans="1:9">
      <c r="A20" s="3392"/>
      <c r="B20" s="3394" t="s">
        <v>1060</v>
      </c>
      <c r="C20" s="3394"/>
      <c r="D20" s="1217">
        <f>SUM(D17:D19)</f>
        <v>0</v>
      </c>
      <c r="E20" s="1217"/>
      <c r="F20" s="1218"/>
      <c r="G20" s="1215"/>
      <c r="H20" s="1222"/>
      <c r="I20" s="1223">
        <f>SUM(I17:I19)</f>
        <v>0</v>
      </c>
    </row>
    <row r="21" spans="1:9">
      <c r="A21" s="3392" t="s">
        <v>1077</v>
      </c>
      <c r="B21" s="3396"/>
      <c r="C21" s="3396"/>
      <c r="D21" s="3396"/>
      <c r="E21" s="3396"/>
      <c r="F21" s="3396"/>
      <c r="G21" s="3396"/>
      <c r="H21" s="1502">
        <v>0.1</v>
      </c>
      <c r="I21" s="1220">
        <f>ROUND(I10*H21,0)</f>
        <v>0</v>
      </c>
    </row>
    <row r="22" spans="1:9" ht="15.6">
      <c r="A22" s="3397" t="s">
        <v>1078</v>
      </c>
      <c r="B22" s="3398"/>
      <c r="C22" s="3399"/>
      <c r="D22" s="1227" t="s">
        <v>1079</v>
      </c>
      <c r="E22" s="1227" t="s">
        <v>1080</v>
      </c>
      <c r="F22" s="1228" t="s">
        <v>1081</v>
      </c>
      <c r="G22" s="1228" t="s">
        <v>1082</v>
      </c>
      <c r="H22" s="1221" t="s">
        <v>1083</v>
      </c>
      <c r="I22" s="1212" t="s">
        <v>1084</v>
      </c>
    </row>
    <row r="23" spans="1:9" ht="15" thickBot="1">
      <c r="A23" s="3400"/>
      <c r="B23" s="3401"/>
      <c r="C23" s="3402"/>
      <c r="D23" s="1229"/>
      <c r="E23" s="1229"/>
      <c r="F23" s="1229"/>
      <c r="G23" s="1230"/>
      <c r="H23" s="1231"/>
      <c r="I23" s="1232">
        <f>ROUND(E23*D23*F23*(1-G23)/10000,0)</f>
        <v>0</v>
      </c>
    </row>
    <row r="26" spans="1:9">
      <c r="A26" s="1233" t="s">
        <v>1085</v>
      </c>
      <c r="B26" s="1233"/>
      <c r="C26" s="1233"/>
      <c r="D26" s="1233"/>
      <c r="E26" s="3403">
        <f>C27-C30-C31-C32</f>
        <v>0</v>
      </c>
      <c r="F26" s="3403"/>
      <c r="G26" s="3403"/>
      <c r="H26" s="1499" t="s">
        <v>1306</v>
      </c>
    </row>
    <row r="27" spans="1:9">
      <c r="A27" s="1234">
        <v>1</v>
      </c>
      <c r="B27" s="1235" t="s">
        <v>1086</v>
      </c>
      <c r="C27" s="1235">
        <f>C28+C29</f>
        <v>0</v>
      </c>
      <c r="D27" s="1235"/>
      <c r="E27" s="3404"/>
      <c r="F27" s="3404"/>
      <c r="G27" s="3404"/>
    </row>
    <row r="28" spans="1:9">
      <c r="A28" s="1236" t="s">
        <v>1087</v>
      </c>
      <c r="B28" s="1235" t="s">
        <v>1088</v>
      </c>
      <c r="C28" s="1235"/>
      <c r="D28" s="1235"/>
      <c r="E28" s="3404"/>
      <c r="F28" s="3404"/>
      <c r="G28" s="340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5"/>
      <c r="F32" s="3395"/>
      <c r="G32" s="3395"/>
    </row>
    <row r="33" spans="1:7" hidden="1">
      <c r="A33" s="3405" t="s">
        <v>1097</v>
      </c>
      <c r="B33" s="3406"/>
      <c r="C33" s="3406"/>
      <c r="D33" s="3407"/>
      <c r="E33" s="3403"/>
      <c r="F33" s="3403"/>
      <c r="G33" s="3403"/>
    </row>
    <row r="34" spans="1:7" hidden="1">
      <c r="A34" s="1238">
        <v>1</v>
      </c>
      <c r="B34" s="1235" t="s">
        <v>1098</v>
      </c>
      <c r="C34" s="1235"/>
      <c r="D34" s="1235"/>
      <c r="E34" s="3404"/>
      <c r="F34" s="3404"/>
      <c r="G34" s="3404"/>
    </row>
    <row r="35" spans="1:7" hidden="1">
      <c r="A35" s="1238">
        <v>2</v>
      </c>
      <c r="B35" s="1235" t="s">
        <v>1099</v>
      </c>
      <c r="C35" s="1235"/>
      <c r="D35" s="1235"/>
      <c r="E35" s="3404"/>
      <c r="F35" s="3404"/>
      <c r="G35" s="3404"/>
    </row>
    <row r="36" spans="1:7" hidden="1">
      <c r="A36" s="1238">
        <v>3</v>
      </c>
      <c r="B36" s="1235" t="s">
        <v>1100</v>
      </c>
      <c r="C36" s="1235"/>
      <c r="D36" s="1235"/>
      <c r="E36" s="3404"/>
      <c r="F36" s="3404"/>
      <c r="G36" s="3404"/>
    </row>
    <row r="37" spans="1:7" hidden="1">
      <c r="A37" s="1238">
        <v>4</v>
      </c>
      <c r="B37" s="1235" t="s">
        <v>1101</v>
      </c>
      <c r="C37" s="1235"/>
      <c r="D37" s="1235"/>
      <c r="E37" s="3404"/>
      <c r="F37" s="3404"/>
      <c r="G37" s="3404"/>
    </row>
    <row r="38" spans="1:7" hidden="1">
      <c r="A38" s="3405" t="s">
        <v>1102</v>
      </c>
      <c r="B38" s="3406"/>
      <c r="C38" s="3406"/>
      <c r="D38" s="3407"/>
      <c r="E38" s="3403"/>
      <c r="F38" s="3403"/>
      <c r="G38" s="34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4.4">
      <c r="A4" s="361" t="s">
        <v>2356</v>
      </c>
      <c r="B4" s="362"/>
      <c r="C4" s="3426" t="s">
        <v>2357</v>
      </c>
      <c r="D4" s="3427"/>
      <c r="E4" s="3428" t="s">
        <v>2358</v>
      </c>
      <c r="F4" s="3429"/>
      <c r="G4" s="3426" t="s">
        <v>2359</v>
      </c>
      <c r="H4" s="3427"/>
      <c r="I4" s="3426" t="s">
        <v>2360</v>
      </c>
      <c r="J4" s="3427"/>
      <c r="K4" s="2075" t="s">
        <v>2361</v>
      </c>
      <c r="L4" s="2942"/>
      <c r="M4" s="2943"/>
      <c r="N4" s="2943"/>
      <c r="O4" s="2943"/>
      <c r="P4" s="3430" t="s">
        <v>2362</v>
      </c>
      <c r="Q4" s="3431"/>
      <c r="R4" s="3413" t="s">
        <v>2358</v>
      </c>
      <c r="S4" s="3414"/>
      <c r="T4" s="3413" t="s">
        <v>2359</v>
      </c>
      <c r="U4" s="3414"/>
      <c r="V4" s="3438" t="s">
        <v>2360</v>
      </c>
      <c r="W4" s="3438"/>
      <c r="X4" s="1539"/>
      <c r="Y4" s="3413" t="s">
        <v>2362</v>
      </c>
      <c r="Z4" s="3414"/>
      <c r="AA4" s="3408" t="s">
        <v>2358</v>
      </c>
      <c r="AB4" s="3408" t="s">
        <v>2359</v>
      </c>
      <c r="AC4" s="3408" t="s">
        <v>2360</v>
      </c>
    </row>
    <row r="5" spans="1:29">
      <c r="A5" s="364"/>
      <c r="B5" s="365"/>
      <c r="C5" s="3419" t="s">
        <v>2363</v>
      </c>
      <c r="D5" s="3420"/>
      <c r="E5" s="3417" t="s">
        <v>2364</v>
      </c>
      <c r="F5" s="3418"/>
      <c r="G5" s="3419" t="s">
        <v>2365</v>
      </c>
      <c r="H5" s="3420"/>
      <c r="I5" s="3419" t="s">
        <v>2366</v>
      </c>
      <c r="J5" s="3420"/>
      <c r="K5" s="2076"/>
      <c r="L5" s="2942"/>
      <c r="M5" s="2943"/>
      <c r="N5" s="2943"/>
      <c r="O5" s="2943"/>
      <c r="P5" s="3432"/>
      <c r="Q5" s="3433"/>
      <c r="R5" s="3415"/>
      <c r="S5" s="3416"/>
      <c r="T5" s="3415"/>
      <c r="U5" s="3416"/>
      <c r="V5" s="3438"/>
      <c r="W5" s="3438"/>
      <c r="X5" s="1539"/>
      <c r="Y5" s="3415"/>
      <c r="Z5" s="3416"/>
      <c r="AA5" s="3409"/>
      <c r="AB5" s="3409"/>
      <c r="AC5" s="3409"/>
    </row>
    <row r="6" spans="1:29" ht="15" thickBot="1">
      <c r="A6" s="366"/>
      <c r="B6" s="367"/>
      <c r="C6" s="3421" t="s">
        <v>2367</v>
      </c>
      <c r="D6" s="3422"/>
      <c r="E6" s="3423" t="s">
        <v>2367</v>
      </c>
      <c r="F6" s="3424"/>
      <c r="G6" s="3421" t="s">
        <v>2367</v>
      </c>
      <c r="H6" s="3422"/>
      <c r="I6" s="3421" t="s">
        <v>2367</v>
      </c>
      <c r="J6" s="3422"/>
      <c r="K6" s="2076" t="s">
        <v>2368</v>
      </c>
      <c r="L6" s="2942"/>
      <c r="M6" s="2943"/>
      <c r="N6" s="2943"/>
      <c r="O6" s="2943"/>
      <c r="P6" s="3434"/>
      <c r="Q6" s="3435"/>
      <c r="R6" s="3415"/>
      <c r="S6" s="3416"/>
      <c r="T6" s="3436"/>
      <c r="U6" s="3437"/>
      <c r="V6" s="3438"/>
      <c r="W6" s="3438"/>
      <c r="X6" s="1539"/>
      <c r="Y6" s="3436"/>
      <c r="Z6" s="3437"/>
      <c r="AA6" s="3410"/>
      <c r="AB6" s="3410"/>
      <c r="AC6" s="3410"/>
    </row>
    <row r="7" spans="1:29" s="113" customFormat="1" ht="15" thickBot="1">
      <c r="A7" s="368" t="s">
        <v>2369</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11" t="s">
        <v>2370</v>
      </c>
      <c r="Q7" s="3439"/>
      <c r="R7" s="710" t="s">
        <v>23</v>
      </c>
      <c r="S7" s="711">
        <f t="shared" ref="S7:S15" si="0">F7</f>
        <v>0</v>
      </c>
      <c r="T7" s="710" t="s">
        <v>23</v>
      </c>
      <c r="U7" s="711">
        <f t="shared" ref="U7:U15" si="1">H7</f>
        <v>0</v>
      </c>
      <c r="V7" s="710" t="s">
        <v>23</v>
      </c>
      <c r="W7" s="711">
        <f t="shared" ref="W7:W15" si="2">J7</f>
        <v>0</v>
      </c>
      <c r="X7" s="712"/>
      <c r="Y7" s="3411" t="s">
        <v>2370</v>
      </c>
      <c r="Z7" s="3412"/>
      <c r="AA7" s="713" t="e">
        <f>D7/F7</f>
        <v>#DIV/0!</v>
      </c>
      <c r="AB7" s="713" t="e">
        <f>D7/H7</f>
        <v>#DIV/0!</v>
      </c>
      <c r="AC7" s="713" t="e">
        <f>D7/J7</f>
        <v>#DIV/0!</v>
      </c>
    </row>
    <row r="8" spans="1:29" s="113" customFormat="1" ht="1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11" t="s">
        <v>2373</v>
      </c>
      <c r="Q8" s="3412"/>
      <c r="R8" s="710" t="s">
        <v>23</v>
      </c>
      <c r="S8" s="711">
        <f t="shared" si="0"/>
        <v>0</v>
      </c>
      <c r="T8" s="710" t="s">
        <v>23</v>
      </c>
      <c r="U8" s="711">
        <f t="shared" si="1"/>
        <v>0</v>
      </c>
      <c r="V8" s="710" t="s">
        <v>23</v>
      </c>
      <c r="W8" s="711">
        <f t="shared" si="2"/>
        <v>0</v>
      </c>
      <c r="X8" s="712"/>
      <c r="Y8" s="3411" t="s">
        <v>2373</v>
      </c>
      <c r="Z8" s="3412"/>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5"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5"/>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5"/>
      <c r="Q11" s="1527" t="str">
        <f t="shared" si="6"/>
        <v>容积率</v>
      </c>
      <c r="R11" s="710" t="s">
        <v>21</v>
      </c>
      <c r="S11" s="711" t="e">
        <f t="shared" si="0"/>
        <v>#N/A</v>
      </c>
      <c r="T11" s="710" t="s">
        <v>21</v>
      </c>
      <c r="U11" s="711" t="e">
        <f t="shared" si="1"/>
        <v>#N/A</v>
      </c>
      <c r="V11" s="710" t="s">
        <v>21</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5"/>
      <c r="Q12" s="1527">
        <f t="shared" si="6"/>
        <v>111</v>
      </c>
      <c r="R12" s="710" t="s">
        <v>21</v>
      </c>
      <c r="S12" s="711">
        <f t="shared" si="0"/>
        <v>100</v>
      </c>
      <c r="T12" s="710" t="s">
        <v>21</v>
      </c>
      <c r="U12" s="711">
        <f t="shared" si="1"/>
        <v>100</v>
      </c>
      <c r="V12" s="710" t="s">
        <v>21</v>
      </c>
      <c r="W12" s="711">
        <f t="shared" si="2"/>
        <v>100</v>
      </c>
      <c r="X12" s="712"/>
      <c r="Y12" s="330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5"/>
      <c r="Q13" s="1527">
        <f t="shared" si="6"/>
        <v>111</v>
      </c>
      <c r="R13" s="710" t="s">
        <v>21</v>
      </c>
      <c r="S13" s="711">
        <f t="shared" si="0"/>
        <v>100</v>
      </c>
      <c r="T13" s="710" t="s">
        <v>21</v>
      </c>
      <c r="U13" s="711">
        <f t="shared" si="1"/>
        <v>100</v>
      </c>
      <c r="V13" s="710" t="s">
        <v>21</v>
      </c>
      <c r="W13" s="711">
        <f t="shared" si="2"/>
        <v>100</v>
      </c>
      <c r="X13" s="712"/>
      <c r="Y13" s="3308"/>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5"/>
      <c r="Q14" s="1527">
        <f t="shared" si="6"/>
        <v>111</v>
      </c>
      <c r="R14" s="710" t="s">
        <v>21</v>
      </c>
      <c r="S14" s="711">
        <f t="shared" si="0"/>
        <v>100</v>
      </c>
      <c r="T14" s="710" t="s">
        <v>21</v>
      </c>
      <c r="U14" s="711">
        <f t="shared" si="1"/>
        <v>100</v>
      </c>
      <c r="V14" s="710" t="s">
        <v>21</v>
      </c>
      <c r="W14" s="711">
        <f t="shared" si="2"/>
        <v>100</v>
      </c>
      <c r="X14" s="712"/>
      <c r="Y14" s="3308"/>
      <c r="Z14" s="55">
        <f t="shared" si="7"/>
        <v>111</v>
      </c>
      <c r="AA14" s="713">
        <f t="shared" si="3"/>
        <v>1</v>
      </c>
      <c r="AB14" s="713">
        <f t="shared" si="4"/>
        <v>1</v>
      </c>
      <c r="AC14" s="713">
        <f t="shared" si="5"/>
        <v>1</v>
      </c>
    </row>
    <row r="15" spans="1:29" ht="96.6">
      <c r="A15" s="399" t="s">
        <v>2380</v>
      </c>
      <c r="B15" s="65" t="s">
        <v>1943</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52" t="s">
        <v>2381</v>
      </c>
      <c r="Q15" s="1536" t="str">
        <f t="shared" si="6"/>
        <v>居住社区成熟度</v>
      </c>
      <c r="R15" s="714" t="s">
        <v>21</v>
      </c>
      <c r="S15" s="715">
        <f t="shared" si="0"/>
        <v>100</v>
      </c>
      <c r="T15" s="714" t="s">
        <v>21</v>
      </c>
      <c r="U15" s="715">
        <f t="shared" si="1"/>
        <v>100</v>
      </c>
      <c r="V15" s="714" t="s">
        <v>21</v>
      </c>
      <c r="W15" s="715">
        <f t="shared" si="2"/>
        <v>100</v>
      </c>
      <c r="X15" s="1539"/>
      <c r="Y15" s="344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53"/>
      <c r="Q16" s="1536"/>
      <c r="R16" s="714"/>
      <c r="S16" s="715"/>
      <c r="T16" s="714"/>
      <c r="U16" s="715"/>
      <c r="V16" s="714"/>
      <c r="W16" s="715"/>
      <c r="X16" s="1539"/>
      <c r="Y16" s="3446"/>
      <c r="Z16" s="1540"/>
      <c r="AA16" s="1537">
        <v>1</v>
      </c>
      <c r="AB16" s="1537">
        <v>1</v>
      </c>
      <c r="AC16" s="1537">
        <v>1</v>
      </c>
    </row>
    <row r="17" spans="1:29" ht="82.8">
      <c r="A17" s="387"/>
      <c r="B17" s="410" t="s">
        <v>1945</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53"/>
      <c r="Q17" s="1536" t="str">
        <f>B17</f>
        <v>交通便捷度</v>
      </c>
      <c r="R17" s="714" t="s">
        <v>21</v>
      </c>
      <c r="S17" s="715">
        <f>F17</f>
        <v>100</v>
      </c>
      <c r="T17" s="714" t="s">
        <v>21</v>
      </c>
      <c r="U17" s="715">
        <f>H17</f>
        <v>100</v>
      </c>
      <c r="V17" s="714" t="s">
        <v>21</v>
      </c>
      <c r="W17" s="715">
        <f>J17</f>
        <v>100</v>
      </c>
      <c r="X17" s="1539"/>
      <c r="Y17" s="344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53"/>
      <c r="Q18" s="1536"/>
      <c r="R18" s="714"/>
      <c r="S18" s="715"/>
      <c r="T18" s="714"/>
      <c r="U18" s="715"/>
      <c r="V18" s="714"/>
      <c r="W18" s="715"/>
      <c r="X18" s="1539"/>
      <c r="Y18" s="3446"/>
      <c r="Z18" s="1540"/>
      <c r="AA18" s="1537">
        <v>1</v>
      </c>
      <c r="AB18" s="1537">
        <v>1</v>
      </c>
      <c r="AC18" s="1537">
        <v>1</v>
      </c>
    </row>
    <row r="19" spans="1:29" ht="41.4">
      <c r="A19" s="387"/>
      <c r="B19" s="410" t="s">
        <v>1944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53"/>
      <c r="Q19" s="1536" t="str">
        <f>B19</f>
        <v>公共配套设施</v>
      </c>
      <c r="R19" s="714" t="s">
        <v>21</v>
      </c>
      <c r="S19" s="715">
        <f>F19</f>
        <v>100</v>
      </c>
      <c r="T19" s="714" t="s">
        <v>21</v>
      </c>
      <c r="U19" s="715">
        <f>H19</f>
        <v>100</v>
      </c>
      <c r="V19" s="714" t="s">
        <v>21</v>
      </c>
      <c r="W19" s="715">
        <f>J19</f>
        <v>100</v>
      </c>
      <c r="X19" s="1539"/>
      <c r="Y19" s="344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53"/>
      <c r="Q20" s="1536"/>
      <c r="R20" s="714"/>
      <c r="S20" s="715"/>
      <c r="T20" s="714"/>
      <c r="U20" s="715"/>
      <c r="V20" s="714"/>
      <c r="W20" s="715"/>
      <c r="X20" s="1539"/>
      <c r="Y20" s="3446"/>
      <c r="Z20" s="1540"/>
      <c r="AA20" s="1537">
        <v>1</v>
      </c>
      <c r="AB20" s="1537">
        <v>1</v>
      </c>
      <c r="AC20" s="1537">
        <v>1</v>
      </c>
    </row>
    <row r="21" spans="1:29" ht="27.6">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53"/>
      <c r="Q21" s="1536" t="str">
        <f>B21</f>
        <v>基础设施水平</v>
      </c>
      <c r="R21" s="714" t="s">
        <v>17</v>
      </c>
      <c r="S21" s="715">
        <f>F21</f>
        <v>100</v>
      </c>
      <c r="T21" s="714" t="s">
        <v>17</v>
      </c>
      <c r="U21" s="715">
        <f>H21</f>
        <v>100</v>
      </c>
      <c r="V21" s="714" t="s">
        <v>17</v>
      </c>
      <c r="W21" s="715">
        <f>J21</f>
        <v>100</v>
      </c>
      <c r="X21" s="1539"/>
      <c r="Y21" s="34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53"/>
      <c r="Q22" s="1536"/>
      <c r="R22" s="714"/>
      <c r="S22" s="715"/>
      <c r="T22" s="714"/>
      <c r="U22" s="715"/>
      <c r="V22" s="714"/>
      <c r="W22" s="715"/>
      <c r="X22" s="1539"/>
      <c r="Y22" s="3446"/>
      <c r="Z22" s="1540"/>
      <c r="AA22" s="1537">
        <v>1</v>
      </c>
      <c r="AB22" s="1537">
        <v>1</v>
      </c>
      <c r="AC22" s="1537">
        <v>1</v>
      </c>
    </row>
    <row r="23" spans="1:29" ht="55.2">
      <c r="A23" s="387"/>
      <c r="B23" s="410" t="s">
        <v>1947</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53"/>
      <c r="Q23" s="1536" t="str">
        <f>B23</f>
        <v>自然及人文环境</v>
      </c>
      <c r="R23" s="714" t="s">
        <v>21</v>
      </c>
      <c r="S23" s="715">
        <f>F23</f>
        <v>100</v>
      </c>
      <c r="T23" s="714" t="s">
        <v>21</v>
      </c>
      <c r="U23" s="715">
        <f>H23</f>
        <v>100</v>
      </c>
      <c r="V23" s="714" t="s">
        <v>21</v>
      </c>
      <c r="W23" s="715">
        <f>J23</f>
        <v>100</v>
      </c>
      <c r="X23" s="1539"/>
      <c r="Y23" s="344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53"/>
      <c r="Q24" s="1536"/>
      <c r="R24" s="714"/>
      <c r="S24" s="715"/>
      <c r="T24" s="714"/>
      <c r="U24" s="715"/>
      <c r="V24" s="714"/>
      <c r="W24" s="715"/>
      <c r="X24" s="1539"/>
      <c r="Y24" s="344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5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4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53"/>
      <c r="Q26" s="1536" t="str">
        <f t="shared" si="11"/>
        <v>朝向</v>
      </c>
      <c r="R26" s="714" t="s">
        <v>21</v>
      </c>
      <c r="S26" s="715">
        <f t="shared" si="12"/>
        <v>100</v>
      </c>
      <c r="T26" s="714" t="s">
        <v>21</v>
      </c>
      <c r="U26" s="715">
        <f t="shared" si="13"/>
        <v>100</v>
      </c>
      <c r="V26" s="714" t="s">
        <v>21</v>
      </c>
      <c r="W26" s="715">
        <f t="shared" si="14"/>
        <v>100</v>
      </c>
      <c r="X26" s="1539"/>
      <c r="Y26" s="344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53"/>
      <c r="Q27" s="1527">
        <f t="shared" si="11"/>
        <v>111</v>
      </c>
      <c r="R27" s="710" t="s">
        <v>21</v>
      </c>
      <c r="S27" s="711">
        <f t="shared" si="12"/>
        <v>100</v>
      </c>
      <c r="T27" s="710" t="s">
        <v>21</v>
      </c>
      <c r="U27" s="711">
        <f t="shared" si="13"/>
        <v>100</v>
      </c>
      <c r="V27" s="710" t="s">
        <v>21</v>
      </c>
      <c r="W27" s="711">
        <f t="shared" si="14"/>
        <v>100</v>
      </c>
      <c r="X27" s="712"/>
      <c r="Y27" s="344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53"/>
      <c r="Q28" s="1536">
        <f t="shared" si="11"/>
        <v>111</v>
      </c>
      <c r="R28" s="714" t="s">
        <v>21</v>
      </c>
      <c r="S28" s="715">
        <f t="shared" si="12"/>
        <v>100</v>
      </c>
      <c r="T28" s="714" t="s">
        <v>21</v>
      </c>
      <c r="U28" s="715">
        <f t="shared" si="13"/>
        <v>100</v>
      </c>
      <c r="V28" s="714" t="s">
        <v>21</v>
      </c>
      <c r="W28" s="715">
        <f t="shared" si="14"/>
        <v>100</v>
      </c>
      <c r="X28" s="1539"/>
      <c r="Y28" s="344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53"/>
      <c r="Q29" s="1536">
        <f t="shared" si="11"/>
        <v>111</v>
      </c>
      <c r="R29" s="714" t="s">
        <v>21</v>
      </c>
      <c r="S29" s="715">
        <f t="shared" si="12"/>
        <v>100</v>
      </c>
      <c r="T29" s="714" t="s">
        <v>21</v>
      </c>
      <c r="U29" s="715">
        <f t="shared" si="13"/>
        <v>100</v>
      </c>
      <c r="V29" s="714" t="s">
        <v>21</v>
      </c>
      <c r="W29" s="715">
        <f t="shared" si="14"/>
        <v>100</v>
      </c>
      <c r="X29" s="1539"/>
      <c r="Y29" s="344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53"/>
      <c r="Q30" s="1536">
        <f t="shared" si="11"/>
        <v>111</v>
      </c>
      <c r="R30" s="714" t="s">
        <v>21</v>
      </c>
      <c r="S30" s="715">
        <f t="shared" si="12"/>
        <v>100</v>
      </c>
      <c r="T30" s="714" t="s">
        <v>21</v>
      </c>
      <c r="U30" s="715">
        <f t="shared" si="13"/>
        <v>100</v>
      </c>
      <c r="V30" s="714" t="s">
        <v>21</v>
      </c>
      <c r="W30" s="715">
        <f t="shared" si="14"/>
        <v>100</v>
      </c>
      <c r="X30" s="1539"/>
      <c r="Y30" s="3446"/>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53"/>
      <c r="Q31" s="1536">
        <f t="shared" si="11"/>
        <v>111</v>
      </c>
      <c r="R31" s="714" t="s">
        <v>21</v>
      </c>
      <c r="S31" s="715">
        <f t="shared" si="12"/>
        <v>100</v>
      </c>
      <c r="T31" s="714" t="s">
        <v>21</v>
      </c>
      <c r="U31" s="715">
        <f t="shared" si="13"/>
        <v>100</v>
      </c>
      <c r="V31" s="714" t="s">
        <v>21</v>
      </c>
      <c r="W31" s="715">
        <f t="shared" si="14"/>
        <v>100</v>
      </c>
      <c r="X31" s="1539"/>
      <c r="Y31" s="344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47" t="s">
        <v>2386</v>
      </c>
      <c r="Q32" s="1536" t="str">
        <f t="shared" si="11"/>
        <v>建筑类型</v>
      </c>
      <c r="R32" s="714" t="s">
        <v>21</v>
      </c>
      <c r="S32" s="715">
        <f t="shared" si="12"/>
        <v>100</v>
      </c>
      <c r="T32" s="714" t="s">
        <v>21</v>
      </c>
      <c r="U32" s="715">
        <f t="shared" si="13"/>
        <v>100</v>
      </c>
      <c r="V32" s="714" t="s">
        <v>21</v>
      </c>
      <c r="W32" s="715">
        <f t="shared" si="14"/>
        <v>100</v>
      </c>
      <c r="X32" s="1539"/>
      <c r="Y32" s="345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48"/>
      <c r="Q33" s="716" t="str">
        <f t="shared" si="11"/>
        <v>项目建筑规模</v>
      </c>
      <c r="R33" s="717" t="s">
        <v>21</v>
      </c>
      <c r="S33" s="718" t="e">
        <f t="shared" si="12"/>
        <v>#N/A</v>
      </c>
      <c r="T33" s="717" t="s">
        <v>21</v>
      </c>
      <c r="U33" s="718" t="e">
        <f t="shared" si="13"/>
        <v>#N/A</v>
      </c>
      <c r="V33" s="717" t="s">
        <v>21</v>
      </c>
      <c r="W33" s="718" t="e">
        <f t="shared" si="14"/>
        <v>#N/A</v>
      </c>
      <c r="X33" s="719"/>
      <c r="Y33" s="345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48"/>
      <c r="Q34" s="1536" t="str">
        <f t="shared" si="11"/>
        <v>建筑结构</v>
      </c>
      <c r="R34" s="714" t="s">
        <v>21</v>
      </c>
      <c r="S34" s="715">
        <f t="shared" si="12"/>
        <v>100</v>
      </c>
      <c r="T34" s="714" t="s">
        <v>21</v>
      </c>
      <c r="U34" s="715">
        <f t="shared" si="13"/>
        <v>100</v>
      </c>
      <c r="V34" s="714" t="s">
        <v>21</v>
      </c>
      <c r="W34" s="715">
        <f t="shared" si="14"/>
        <v>100</v>
      </c>
      <c r="X34" s="1539"/>
      <c r="Y34" s="345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48"/>
      <c r="Q35" s="1536" t="str">
        <f t="shared" si="11"/>
        <v>建筑品质</v>
      </c>
      <c r="R35" s="714" t="s">
        <v>21</v>
      </c>
      <c r="S35" s="715">
        <f t="shared" si="12"/>
        <v>100</v>
      </c>
      <c r="T35" s="714" t="s">
        <v>21</v>
      </c>
      <c r="U35" s="715">
        <f t="shared" si="13"/>
        <v>100</v>
      </c>
      <c r="V35" s="714" t="s">
        <v>21</v>
      </c>
      <c r="W35" s="715">
        <f t="shared" si="14"/>
        <v>100</v>
      </c>
      <c r="X35" s="1539"/>
      <c r="Y35" s="345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48"/>
      <c r="Q36" s="1536" t="str">
        <f t="shared" si="11"/>
        <v>公共部分装修</v>
      </c>
      <c r="R36" s="714" t="s">
        <v>21</v>
      </c>
      <c r="S36" s="715">
        <f t="shared" si="12"/>
        <v>100</v>
      </c>
      <c r="T36" s="714" t="s">
        <v>21</v>
      </c>
      <c r="U36" s="715">
        <f t="shared" si="13"/>
        <v>100</v>
      </c>
      <c r="V36" s="714" t="s">
        <v>21</v>
      </c>
      <c r="W36" s="715">
        <f t="shared" si="14"/>
        <v>100</v>
      </c>
      <c r="X36" s="1539"/>
      <c r="Y36" s="345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48"/>
      <c r="Q37" s="1527" t="str">
        <f t="shared" si="11"/>
        <v>成新度</v>
      </c>
      <c r="R37" s="710" t="s">
        <v>21</v>
      </c>
      <c r="S37" s="711" t="e">
        <f t="shared" si="12"/>
        <v>#N/A</v>
      </c>
      <c r="T37" s="710" t="s">
        <v>21</v>
      </c>
      <c r="U37" s="711" t="e">
        <f t="shared" si="13"/>
        <v>#N/A</v>
      </c>
      <c r="V37" s="710" t="s">
        <v>21</v>
      </c>
      <c r="W37" s="711" t="e">
        <f t="shared" si="14"/>
        <v>#N/A</v>
      </c>
      <c r="X37" s="712"/>
      <c r="Y37" s="345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48" t="s">
        <v>2386</v>
      </c>
      <c r="Q38" s="1536" t="str">
        <f t="shared" si="11"/>
        <v>物业管理</v>
      </c>
      <c r="R38" s="714" t="s">
        <v>21</v>
      </c>
      <c r="S38" s="715">
        <f t="shared" si="12"/>
        <v>100</v>
      </c>
      <c r="T38" s="714" t="s">
        <v>21</v>
      </c>
      <c r="U38" s="715">
        <f t="shared" si="13"/>
        <v>100</v>
      </c>
      <c r="V38" s="714" t="s">
        <v>21</v>
      </c>
      <c r="W38" s="715">
        <f t="shared" si="14"/>
        <v>100</v>
      </c>
      <c r="X38" s="1539"/>
      <c r="Y38" s="345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48"/>
      <c r="Q39" s="1536" t="str">
        <f t="shared" si="11"/>
        <v>市政基础设施</v>
      </c>
      <c r="R39" s="714" t="s">
        <v>21</v>
      </c>
      <c r="S39" s="715">
        <f t="shared" si="12"/>
        <v>100</v>
      </c>
      <c r="T39" s="714" t="s">
        <v>21</v>
      </c>
      <c r="U39" s="715">
        <f t="shared" si="13"/>
        <v>100</v>
      </c>
      <c r="V39" s="714" t="s">
        <v>21</v>
      </c>
      <c r="W39" s="715">
        <f t="shared" si="14"/>
        <v>100</v>
      </c>
      <c r="X39" s="1539"/>
      <c r="Y39" s="345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48"/>
      <c r="Q40" s="1536" t="str">
        <f t="shared" si="11"/>
        <v>房型</v>
      </c>
      <c r="R40" s="714" t="s">
        <v>21</v>
      </c>
      <c r="S40" s="715">
        <f t="shared" si="12"/>
        <v>100</v>
      </c>
      <c r="T40" s="714" t="s">
        <v>21</v>
      </c>
      <c r="U40" s="715">
        <f t="shared" si="13"/>
        <v>100</v>
      </c>
      <c r="V40" s="714" t="s">
        <v>21</v>
      </c>
      <c r="W40" s="715">
        <f t="shared" si="14"/>
        <v>100</v>
      </c>
      <c r="X40" s="1539"/>
      <c r="Y40" s="3450"/>
      <c r="Z40" s="1540" t="str">
        <f t="shared" si="18"/>
        <v>房型</v>
      </c>
      <c r="AA40" s="1537">
        <f t="shared" si="15"/>
        <v>1</v>
      </c>
      <c r="AB40" s="1537">
        <f t="shared" si="16"/>
        <v>1</v>
      </c>
      <c r="AC40" s="1537">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48"/>
      <c r="Q41" s="716" t="str">
        <f t="shared" si="11"/>
        <v>单套/主力户型建筑面积</v>
      </c>
      <c r="R41" s="717" t="s">
        <v>21</v>
      </c>
      <c r="S41" s="718">
        <f t="shared" si="12"/>
        <v>100</v>
      </c>
      <c r="T41" s="717" t="s">
        <v>21</v>
      </c>
      <c r="U41" s="718">
        <f t="shared" si="13"/>
        <v>100</v>
      </c>
      <c r="V41" s="717" t="s">
        <v>21</v>
      </c>
      <c r="W41" s="718">
        <f t="shared" si="14"/>
        <v>100</v>
      </c>
      <c r="X41" s="719"/>
      <c r="Y41" s="345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48"/>
      <c r="Q42" s="1536" t="str">
        <f t="shared" si="11"/>
        <v>内部装修</v>
      </c>
      <c r="R42" s="714" t="s">
        <v>21</v>
      </c>
      <c r="S42" s="715">
        <f t="shared" si="12"/>
        <v>100</v>
      </c>
      <c r="T42" s="714" t="s">
        <v>21</v>
      </c>
      <c r="U42" s="715">
        <f t="shared" si="13"/>
        <v>100</v>
      </c>
      <c r="V42" s="714" t="s">
        <v>21</v>
      </c>
      <c r="W42" s="715">
        <f t="shared" si="14"/>
        <v>100</v>
      </c>
      <c r="X42" s="1539"/>
      <c r="Y42" s="3450"/>
      <c r="Z42" s="1540" t="str">
        <f t="shared" si="18"/>
        <v>内部装修</v>
      </c>
      <c r="AA42" s="1537">
        <f t="shared" si="15"/>
        <v>1</v>
      </c>
      <c r="AB42" s="1537">
        <f t="shared" si="16"/>
        <v>1</v>
      </c>
      <c r="AC42" s="1537">
        <f t="shared" si="17"/>
        <v>1</v>
      </c>
    </row>
    <row r="43" spans="1:29" ht="28.8">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48"/>
      <c r="Q43" s="1536" t="str">
        <f t="shared" si="11"/>
        <v>内部装修维护情况</v>
      </c>
      <c r="R43" s="714" t="s">
        <v>21</v>
      </c>
      <c r="S43" s="715">
        <f t="shared" si="12"/>
        <v>100</v>
      </c>
      <c r="T43" s="714" t="s">
        <v>21</v>
      </c>
      <c r="U43" s="715">
        <f t="shared" si="13"/>
        <v>100</v>
      </c>
      <c r="V43" s="714" t="s">
        <v>21</v>
      </c>
      <c r="W43" s="715">
        <f t="shared" si="14"/>
        <v>100</v>
      </c>
      <c r="X43" s="1539"/>
      <c r="Y43" s="345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48"/>
      <c r="Q44" s="1527">
        <f t="shared" si="11"/>
        <v>111</v>
      </c>
      <c r="R44" s="710" t="s">
        <v>21</v>
      </c>
      <c r="S44" s="711">
        <f t="shared" si="12"/>
        <v>100</v>
      </c>
      <c r="T44" s="710" t="s">
        <v>21</v>
      </c>
      <c r="U44" s="711">
        <f t="shared" si="13"/>
        <v>100</v>
      </c>
      <c r="V44" s="710" t="s">
        <v>21</v>
      </c>
      <c r="W44" s="711">
        <f t="shared" si="14"/>
        <v>100</v>
      </c>
      <c r="X44" s="712"/>
      <c r="Y44" s="345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48"/>
      <c r="Q45" s="1536">
        <f t="shared" si="11"/>
        <v>111</v>
      </c>
      <c r="R45" s="714" t="s">
        <v>21</v>
      </c>
      <c r="S45" s="715">
        <f t="shared" si="12"/>
        <v>100</v>
      </c>
      <c r="T45" s="714" t="s">
        <v>21</v>
      </c>
      <c r="U45" s="715">
        <f t="shared" si="13"/>
        <v>100</v>
      </c>
      <c r="V45" s="714" t="s">
        <v>21</v>
      </c>
      <c r="W45" s="715">
        <f t="shared" si="14"/>
        <v>100</v>
      </c>
      <c r="X45" s="1539"/>
      <c r="Y45" s="3450"/>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49"/>
      <c r="Q46" s="1536">
        <f t="shared" si="11"/>
        <v>111</v>
      </c>
      <c r="R46" s="714" t="s">
        <v>20</v>
      </c>
      <c r="S46" s="715">
        <f t="shared" si="12"/>
        <v>100</v>
      </c>
      <c r="T46" s="714" t="s">
        <v>20</v>
      </c>
      <c r="U46" s="715">
        <f t="shared" si="13"/>
        <v>100</v>
      </c>
      <c r="V46" s="714" t="s">
        <v>20</v>
      </c>
      <c r="W46" s="715">
        <f t="shared" si="14"/>
        <v>100</v>
      </c>
      <c r="X46" s="1539"/>
      <c r="Y46" s="3451"/>
      <c r="Z46" s="1540">
        <f t="shared" si="18"/>
        <v>111</v>
      </c>
      <c r="AA46" s="1537">
        <f t="shared" si="15"/>
        <v>1</v>
      </c>
      <c r="AB46" s="1537">
        <f t="shared" si="16"/>
        <v>1</v>
      </c>
      <c r="AC46" s="1537">
        <f t="shared" si="17"/>
        <v>1</v>
      </c>
    </row>
    <row r="47" spans="1:29" ht="14.4">
      <c r="A47" s="438" t="s">
        <v>2398</v>
      </c>
      <c r="B47" s="439"/>
      <c r="C47" s="1316" t="s">
        <v>19</v>
      </c>
      <c r="D47" s="1317"/>
      <c r="E47" s="1318"/>
      <c r="F47" s="1319"/>
      <c r="G47" s="1320"/>
      <c r="H47" s="1321"/>
      <c r="I47" s="1318"/>
      <c r="J47" s="1321"/>
      <c r="K47" s="2100"/>
      <c r="L47" s="2951"/>
      <c r="M47" s="2952"/>
      <c r="N47" s="2943"/>
      <c r="O47" s="2952"/>
      <c r="P47" s="3443" t="str">
        <f>A47</f>
        <v>成交单价（元/平方米）</v>
      </c>
      <c r="Q47" s="3443"/>
      <c r="R47" s="3444">
        <f>E47</f>
        <v>0</v>
      </c>
      <c r="S47" s="3444"/>
      <c r="T47" s="3444">
        <f>G47</f>
        <v>0</v>
      </c>
      <c r="U47" s="3444"/>
      <c r="V47" s="3444">
        <f>I47</f>
        <v>0</v>
      </c>
      <c r="W47" s="3444"/>
      <c r="X47" s="699"/>
      <c r="Y47" s="721"/>
      <c r="Z47" s="699"/>
      <c r="AA47" s="699"/>
      <c r="AB47" s="699"/>
      <c r="AC47" s="699"/>
    </row>
    <row r="48" spans="1:29" ht="1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1"/>
      <c r="L49" s="2951"/>
      <c r="M49" s="2952"/>
      <c r="N49" s="2952"/>
      <c r="O49" s="2952"/>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2.2" thickBot="1">
      <c r="A57" s="703" t="s">
        <v>2404</v>
      </c>
      <c r="B57" s="699"/>
      <c r="C57" s="704"/>
      <c r="D57" s="704"/>
      <c r="E57" s="704"/>
      <c r="F57" s="705"/>
      <c r="G57" s="705"/>
      <c r="H57" s="704"/>
      <c r="I57" s="704"/>
      <c r="J57" s="704"/>
      <c r="K57" s="1072"/>
      <c r="L57" s="1073"/>
      <c r="M57" s="1071"/>
      <c r="N57" s="1071"/>
      <c r="O57" s="1071"/>
      <c r="P57" s="2104"/>
      <c r="Q57" s="461"/>
    </row>
    <row r="58" spans="1:29" s="465" customFormat="1" ht="14.4">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2406</v>
      </c>
      <c r="B60" s="473"/>
      <c r="C60" s="474"/>
      <c r="D60" s="475"/>
      <c r="E60" s="475"/>
      <c r="F60" s="475"/>
      <c r="G60" s="475"/>
      <c r="H60" s="475"/>
      <c r="I60" s="475"/>
      <c r="J60" s="475"/>
      <c r="K60" s="475"/>
      <c r="L60" s="475"/>
      <c r="M60" s="476"/>
      <c r="N60" s="475"/>
      <c r="O60" s="476"/>
      <c r="P60" s="2106"/>
      <c r="Q60" s="461"/>
    </row>
    <row r="61" spans="1:29" s="113" customFormat="1" ht="14.4">
      <c r="A61" s="478" t="s">
        <v>2407</v>
      </c>
      <c r="B61" s="467"/>
      <c r="C61" s="479" t="s">
        <v>2408</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2409</v>
      </c>
      <c r="B63" s="485" t="s">
        <v>2375</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2431</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2432</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2384</v>
      </c>
      <c r="B100" s="485" t="s">
        <v>2433</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6.2"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ht="14.4">
      <c r="B147" s="2115" t="s">
        <v>2461</v>
      </c>
    </row>
    <row r="148" spans="2:11" ht="14.4">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1"/>
  <sheetViews>
    <sheetView view="pageBreakPreview" topLeftCell="A13" zoomScale="85" zoomScaleNormal="70" zoomScaleSheetLayoutView="85" workbookViewId="0">
      <selection activeCell="C15" sqref="C1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t="s">
        <v>1343</v>
      </c>
      <c r="E1" s="2543"/>
      <c r="F1" s="2065" t="s">
        <v>3206</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6188</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62227</v>
      </c>
      <c r="C3" s="360" t="s">
        <v>2355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4.4">
      <c r="A4" s="361" t="s">
        <v>2356</v>
      </c>
      <c r="B4" s="362"/>
      <c r="C4" s="3426" t="s">
        <v>2357</v>
      </c>
      <c r="D4" s="3427"/>
      <c r="E4" s="3428" t="s">
        <v>2358</v>
      </c>
      <c r="F4" s="3429"/>
      <c r="G4" s="3426" t="s">
        <v>2359</v>
      </c>
      <c r="H4" s="3427"/>
      <c r="I4" s="3426" t="s">
        <v>2360</v>
      </c>
      <c r="J4" s="3427"/>
      <c r="K4" s="567" t="s">
        <v>2361</v>
      </c>
      <c r="L4" s="2942"/>
      <c r="M4" s="2943"/>
      <c r="N4" s="2943"/>
      <c r="O4" s="2943"/>
      <c r="P4" s="3430" t="s">
        <v>2362</v>
      </c>
      <c r="Q4" s="3431"/>
      <c r="R4" s="3413" t="s">
        <v>2358</v>
      </c>
      <c r="S4" s="3414"/>
      <c r="T4" s="3413" t="s">
        <v>2359</v>
      </c>
      <c r="U4" s="3414"/>
      <c r="V4" s="3438" t="s">
        <v>2360</v>
      </c>
      <c r="W4" s="3438"/>
      <c r="X4" s="3060"/>
      <c r="Y4" s="3413" t="s">
        <v>2362</v>
      </c>
      <c r="Z4" s="3414"/>
      <c r="AA4" s="3408" t="s">
        <v>2358</v>
      </c>
      <c r="AB4" s="3438" t="s">
        <v>2359</v>
      </c>
      <c r="AC4" s="3408" t="s">
        <v>2360</v>
      </c>
    </row>
    <row r="5" spans="1:29">
      <c r="A5" s="364"/>
      <c r="B5" s="365"/>
      <c r="C5" s="3454" t="s">
        <v>3224</v>
      </c>
      <c r="D5" s="3420"/>
      <c r="E5" s="3455" t="s">
        <v>3271</v>
      </c>
      <c r="F5" s="3418"/>
      <c r="G5" s="3454" t="s">
        <v>3271</v>
      </c>
      <c r="H5" s="3420"/>
      <c r="I5" s="3454" t="s">
        <v>3280</v>
      </c>
      <c r="J5" s="3420"/>
      <c r="K5" s="567"/>
      <c r="L5" s="2942"/>
      <c r="M5" s="2943"/>
      <c r="N5" s="2943"/>
      <c r="O5" s="2943"/>
      <c r="P5" s="3432"/>
      <c r="Q5" s="3433"/>
      <c r="R5" s="3415"/>
      <c r="S5" s="3416"/>
      <c r="T5" s="3415"/>
      <c r="U5" s="3416"/>
      <c r="V5" s="3438"/>
      <c r="W5" s="3438"/>
      <c r="X5" s="3060"/>
      <c r="Y5" s="3415"/>
      <c r="Z5" s="3416"/>
      <c r="AA5" s="3409"/>
      <c r="AB5" s="3438"/>
      <c r="AC5" s="3409"/>
    </row>
    <row r="6" spans="1:29" ht="15" thickBot="1">
      <c r="A6" s="366"/>
      <c r="B6" s="367"/>
      <c r="C6" s="3421" t="s">
        <v>2367</v>
      </c>
      <c r="D6" s="3422"/>
      <c r="E6" s="3423" t="s">
        <v>2367</v>
      </c>
      <c r="F6" s="3424"/>
      <c r="G6" s="3421" t="s">
        <v>2367</v>
      </c>
      <c r="H6" s="3422"/>
      <c r="I6" s="3421" t="s">
        <v>2367</v>
      </c>
      <c r="J6" s="3422"/>
      <c r="K6" s="567" t="s">
        <v>2368</v>
      </c>
      <c r="L6" s="2942"/>
      <c r="M6" s="2943"/>
      <c r="N6" s="2943"/>
      <c r="O6" s="2943"/>
      <c r="P6" s="3434"/>
      <c r="Q6" s="3435"/>
      <c r="R6" s="3415"/>
      <c r="S6" s="3416"/>
      <c r="T6" s="3436"/>
      <c r="U6" s="3437"/>
      <c r="V6" s="3438"/>
      <c r="W6" s="3438"/>
      <c r="X6" s="3060"/>
      <c r="Y6" s="3436"/>
      <c r="Z6" s="3437"/>
      <c r="AA6" s="3410"/>
      <c r="AB6" s="3438"/>
      <c r="AC6" s="3410"/>
    </row>
    <row r="7" spans="1:29" s="113" customFormat="1" ht="1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1" t="s">
        <v>2370</v>
      </c>
      <c r="Q7" s="3439"/>
      <c r="R7" s="710" t="s">
        <v>17</v>
      </c>
      <c r="S7" s="711">
        <f t="shared" ref="S7:S15" si="0">F7</f>
        <v>100</v>
      </c>
      <c r="T7" s="710" t="s">
        <v>17</v>
      </c>
      <c r="U7" s="711">
        <f t="shared" ref="U7:U15" si="1">H7</f>
        <v>100</v>
      </c>
      <c r="V7" s="710" t="s">
        <v>17</v>
      </c>
      <c r="W7" s="711">
        <f t="shared" ref="W7:W15" si="2">J7</f>
        <v>100</v>
      </c>
      <c r="X7" s="712"/>
      <c r="Y7" s="3411" t="s">
        <v>2370</v>
      </c>
      <c r="Z7" s="3412"/>
      <c r="AA7" s="713">
        <f>D7/F7</f>
        <v>1</v>
      </c>
      <c r="AB7" s="713">
        <f>D7/H7</f>
        <v>1</v>
      </c>
      <c r="AC7" s="713">
        <f>D7/J7</f>
        <v>1</v>
      </c>
    </row>
    <row r="8" spans="1:29" s="113" customFormat="1" ht="1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1" t="s">
        <v>2373</v>
      </c>
      <c r="Q8" s="3412"/>
      <c r="R8" s="710" t="s">
        <v>17</v>
      </c>
      <c r="S8" s="711">
        <f t="shared" si="0"/>
        <v>100</v>
      </c>
      <c r="T8" s="710" t="s">
        <v>17</v>
      </c>
      <c r="U8" s="711">
        <f t="shared" si="1"/>
        <v>100</v>
      </c>
      <c r="V8" s="710" t="s">
        <v>17</v>
      </c>
      <c r="W8" s="711">
        <f t="shared" si="2"/>
        <v>100</v>
      </c>
      <c r="X8" s="712"/>
      <c r="Y8" s="3411" t="s">
        <v>2373</v>
      </c>
      <c r="Z8" s="3412"/>
      <c r="AA8" s="713">
        <f t="shared" ref="AA8:AA46" si="3">D8/F8</f>
        <v>1</v>
      </c>
      <c r="AB8" s="713">
        <f t="shared" ref="AB8:AB46" si="4">D8/H8</f>
        <v>1</v>
      </c>
      <c r="AC8" s="713">
        <f t="shared" ref="AC8:AC46" si="5">D8/J8</f>
        <v>1</v>
      </c>
    </row>
    <row r="9" spans="1:29" s="113" customFormat="1" ht="14.4">
      <c r="A9" s="375" t="s">
        <v>2374</v>
      </c>
      <c r="B9" s="67" t="s">
        <v>2375</v>
      </c>
      <c r="C9" s="3139" t="s">
        <v>3228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25" t="s">
        <v>2376</v>
      </c>
      <c r="Q9" s="3059" t="str">
        <f t="shared" ref="Q9:Q15" si="6">B9</f>
        <v>用途</v>
      </c>
      <c r="R9" s="710" t="s">
        <v>17</v>
      </c>
      <c r="S9" s="711">
        <f t="shared" si="0"/>
        <v>100</v>
      </c>
      <c r="T9" s="710" t="s">
        <v>17</v>
      </c>
      <c r="U9" s="711">
        <f t="shared" si="1"/>
        <v>100</v>
      </c>
      <c r="V9" s="710" t="s">
        <v>17</v>
      </c>
      <c r="W9" s="711">
        <f t="shared" si="2"/>
        <v>100</v>
      </c>
      <c r="X9" s="712"/>
      <c r="Y9" s="3308" t="s">
        <v>2377</v>
      </c>
      <c r="Z9" s="3058" t="str">
        <f t="shared" ref="Z9:Z15" si="7">Q9</f>
        <v>用途</v>
      </c>
      <c r="AA9" s="713">
        <f t="shared" si="3"/>
        <v>1</v>
      </c>
      <c r="AB9" s="713">
        <f t="shared" si="4"/>
        <v>1</v>
      </c>
      <c r="AC9" s="713">
        <f t="shared" si="5"/>
        <v>1</v>
      </c>
    </row>
    <row r="10" spans="1:29" s="386" customFormat="1" ht="28.8">
      <c r="A10" s="380"/>
      <c r="B10" s="381" t="s">
        <v>2378</v>
      </c>
      <c r="C10" s="382" t="s">
        <v>3264</v>
      </c>
      <c r="D10" s="132">
        <v>100</v>
      </c>
      <c r="E10" s="383" t="s">
        <v>3264</v>
      </c>
      <c r="F10" s="384">
        <f>SUMIF(65:65,E10,66:66)-SUMIF(65:65,C10,66:66)+100</f>
        <v>100</v>
      </c>
      <c r="G10" s="383" t="s">
        <v>3264</v>
      </c>
      <c r="H10" s="132">
        <f>SUMIF(65:65,G10,66:66)-SUMIF(65:65,C10,66:66)+100</f>
        <v>100</v>
      </c>
      <c r="I10" s="383" t="s">
        <v>3264</v>
      </c>
      <c r="J10" s="132">
        <f>SUMIF(65:65,I10,66:66)-SUMIF(65:65,C10,66:66)+100</f>
        <v>100</v>
      </c>
      <c r="K10" s="569">
        <v>2</v>
      </c>
      <c r="L10" s="2946"/>
      <c r="M10" s="2947"/>
      <c r="N10" s="2947"/>
      <c r="O10" s="2947"/>
      <c r="P10" s="3425"/>
      <c r="Q10" s="3059" t="str">
        <f t="shared" si="6"/>
        <v>土地使用年限（年）</v>
      </c>
      <c r="R10" s="710" t="s">
        <v>17</v>
      </c>
      <c r="S10" s="711">
        <f t="shared" si="0"/>
        <v>100</v>
      </c>
      <c r="T10" s="710" t="s">
        <v>17</v>
      </c>
      <c r="U10" s="711">
        <f t="shared" si="1"/>
        <v>100</v>
      </c>
      <c r="V10" s="710" t="s">
        <v>17</v>
      </c>
      <c r="W10" s="711">
        <f t="shared" si="2"/>
        <v>100</v>
      </c>
      <c r="X10" s="712"/>
      <c r="Y10" s="3308"/>
      <c r="Z10" s="3058"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5"/>
      <c r="Q11" s="3059" t="str">
        <f t="shared" si="6"/>
        <v>容积率</v>
      </c>
      <c r="R11" s="710" t="s">
        <v>17</v>
      </c>
      <c r="S11" s="711">
        <f t="shared" si="0"/>
        <v>100</v>
      </c>
      <c r="T11" s="710" t="s">
        <v>17</v>
      </c>
      <c r="U11" s="711">
        <f t="shared" si="1"/>
        <v>100</v>
      </c>
      <c r="V11" s="710" t="s">
        <v>17</v>
      </c>
      <c r="W11" s="711">
        <f t="shared" si="2"/>
        <v>100</v>
      </c>
      <c r="X11" s="712"/>
      <c r="Y11" s="3308"/>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5"/>
      <c r="Q12" s="3059">
        <f t="shared" si="6"/>
        <v>111</v>
      </c>
      <c r="R12" s="710" t="s">
        <v>17</v>
      </c>
      <c r="S12" s="711">
        <f t="shared" si="0"/>
        <v>100</v>
      </c>
      <c r="T12" s="710" t="s">
        <v>17</v>
      </c>
      <c r="U12" s="711">
        <f t="shared" si="1"/>
        <v>100</v>
      </c>
      <c r="V12" s="710" t="s">
        <v>17</v>
      </c>
      <c r="W12" s="711">
        <f t="shared" si="2"/>
        <v>100</v>
      </c>
      <c r="X12" s="712"/>
      <c r="Y12" s="3308"/>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5"/>
      <c r="Q13" s="3059">
        <f t="shared" si="6"/>
        <v>111</v>
      </c>
      <c r="R13" s="710" t="s">
        <v>17</v>
      </c>
      <c r="S13" s="711">
        <f t="shared" si="0"/>
        <v>100</v>
      </c>
      <c r="T13" s="710" t="s">
        <v>17</v>
      </c>
      <c r="U13" s="711">
        <f t="shared" si="1"/>
        <v>100</v>
      </c>
      <c r="V13" s="710" t="s">
        <v>17</v>
      </c>
      <c r="W13" s="711">
        <f t="shared" si="2"/>
        <v>100</v>
      </c>
      <c r="X13" s="712"/>
      <c r="Y13" s="3308"/>
      <c r="Z13" s="3058">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5"/>
      <c r="Q14" s="3059">
        <f t="shared" si="6"/>
        <v>111</v>
      </c>
      <c r="R14" s="710" t="s">
        <v>17</v>
      </c>
      <c r="S14" s="711">
        <f t="shared" si="0"/>
        <v>100</v>
      </c>
      <c r="T14" s="710" t="s">
        <v>17</v>
      </c>
      <c r="U14" s="711">
        <f t="shared" si="1"/>
        <v>100</v>
      </c>
      <c r="V14" s="710" t="s">
        <v>17</v>
      </c>
      <c r="W14" s="711">
        <f t="shared" si="2"/>
        <v>100</v>
      </c>
      <c r="X14" s="712"/>
      <c r="Y14" s="3308"/>
      <c r="Z14" s="3058">
        <f t="shared" si="7"/>
        <v>111</v>
      </c>
      <c r="AA14" s="713">
        <f t="shared" si="3"/>
        <v>1</v>
      </c>
      <c r="AB14" s="713">
        <f t="shared" si="4"/>
        <v>1</v>
      </c>
      <c r="AC14" s="713">
        <f t="shared" si="5"/>
        <v>1</v>
      </c>
    </row>
    <row r="15" spans="1:29" ht="69">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2" t="s">
        <v>2381</v>
      </c>
      <c r="Q15" s="3063" t="str">
        <f t="shared" si="6"/>
        <v>商业繁华度</v>
      </c>
      <c r="R15" s="714" t="s">
        <v>17</v>
      </c>
      <c r="S15" s="715">
        <f t="shared" si="0"/>
        <v>100</v>
      </c>
      <c r="T15" s="714" t="s">
        <v>17</v>
      </c>
      <c r="U15" s="715">
        <f t="shared" si="1"/>
        <v>100</v>
      </c>
      <c r="V15" s="714" t="s">
        <v>17</v>
      </c>
      <c r="W15" s="715">
        <f t="shared" si="2"/>
        <v>100</v>
      </c>
      <c r="X15" s="3060"/>
      <c r="Y15" s="3445" t="s">
        <v>2381</v>
      </c>
      <c r="Z15" s="3061" t="str">
        <f t="shared" si="7"/>
        <v>商业繁华度</v>
      </c>
      <c r="AA15" s="3064">
        <f t="shared" si="3"/>
        <v>1</v>
      </c>
      <c r="AB15" s="3064">
        <f t="shared" si="4"/>
        <v>1</v>
      </c>
      <c r="AC15" s="3064">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53"/>
      <c r="Q16" s="3063"/>
      <c r="R16" s="714"/>
      <c r="S16" s="715"/>
      <c r="T16" s="714"/>
      <c r="U16" s="715"/>
      <c r="V16" s="714"/>
      <c r="W16" s="715"/>
      <c r="X16" s="3060"/>
      <c r="Y16" s="3446"/>
      <c r="Z16" s="3061"/>
      <c r="AA16" s="3064">
        <v>1</v>
      </c>
      <c r="AB16" s="3064">
        <v>1</v>
      </c>
      <c r="AC16" s="3064">
        <v>1</v>
      </c>
    </row>
    <row r="17" spans="1:29" ht="82.8">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53"/>
      <c r="Q17" s="3063" t="str">
        <f>B17</f>
        <v>交通便捷度</v>
      </c>
      <c r="R17" s="714" t="s">
        <v>17</v>
      </c>
      <c r="S17" s="715">
        <f>F17</f>
        <v>100</v>
      </c>
      <c r="T17" s="714" t="s">
        <v>17</v>
      </c>
      <c r="U17" s="715">
        <f>H17</f>
        <v>100</v>
      </c>
      <c r="V17" s="714" t="s">
        <v>17</v>
      </c>
      <c r="W17" s="715">
        <f>J17</f>
        <v>100</v>
      </c>
      <c r="X17" s="3060"/>
      <c r="Y17" s="3446"/>
      <c r="Z17" s="3061" t="str">
        <f>Q17</f>
        <v>交通便捷度</v>
      </c>
      <c r="AA17" s="3064">
        <f t="shared" si="3"/>
        <v>1</v>
      </c>
      <c r="AB17" s="3064">
        <f t="shared" si="4"/>
        <v>1</v>
      </c>
      <c r="AC17" s="3064">
        <f t="shared" si="5"/>
        <v>1</v>
      </c>
    </row>
    <row r="18" spans="1:29" ht="15">
      <c r="A18" s="387"/>
      <c r="B18" s="415"/>
      <c r="C18" s="2087" t="s">
        <v>3259</v>
      </c>
      <c r="D18" s="409"/>
      <c r="E18" s="406" t="s">
        <v>3259</v>
      </c>
      <c r="F18" s="412"/>
      <c r="G18" s="406" t="s">
        <v>3259</v>
      </c>
      <c r="H18" s="407"/>
      <c r="I18" s="406" t="s">
        <v>3259</v>
      </c>
      <c r="J18" s="407"/>
      <c r="K18" s="572"/>
      <c r="L18" s="2949"/>
      <c r="M18" s="2943"/>
      <c r="N18" s="2943"/>
      <c r="O18" s="2943"/>
      <c r="P18" s="3453"/>
      <c r="Q18" s="3063"/>
      <c r="R18" s="714"/>
      <c r="S18" s="715"/>
      <c r="T18" s="714"/>
      <c r="U18" s="715"/>
      <c r="V18" s="714"/>
      <c r="W18" s="715"/>
      <c r="X18" s="3060"/>
      <c r="Y18" s="3446"/>
      <c r="Z18" s="3061"/>
      <c r="AA18" s="3064">
        <v>1</v>
      </c>
      <c r="AB18" s="3064">
        <v>1</v>
      </c>
      <c r="AC18" s="3064">
        <v>1</v>
      </c>
    </row>
    <row r="19" spans="1:29" ht="41.4">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53"/>
      <c r="Q19" s="3063" t="str">
        <f>B19</f>
        <v>公共配套设施</v>
      </c>
      <c r="R19" s="714" t="s">
        <v>17</v>
      </c>
      <c r="S19" s="715">
        <f>F19</f>
        <v>100</v>
      </c>
      <c r="T19" s="714" t="s">
        <v>17</v>
      </c>
      <c r="U19" s="715">
        <f>H19</f>
        <v>100</v>
      </c>
      <c r="V19" s="714" t="s">
        <v>17</v>
      </c>
      <c r="W19" s="715">
        <f>J19</f>
        <v>100</v>
      </c>
      <c r="X19" s="3060"/>
      <c r="Y19" s="3446"/>
      <c r="Z19" s="3061" t="str">
        <f>Q19</f>
        <v>公共配套设施</v>
      </c>
      <c r="AA19" s="3064">
        <f t="shared" si="3"/>
        <v>1</v>
      </c>
      <c r="AB19" s="3064">
        <f t="shared" si="4"/>
        <v>1</v>
      </c>
      <c r="AC19" s="3064">
        <f t="shared" si="5"/>
        <v>1</v>
      </c>
    </row>
    <row r="20" spans="1:29" ht="15">
      <c r="A20" s="387"/>
      <c r="B20" s="415"/>
      <c r="C20" s="406" t="s">
        <v>3259</v>
      </c>
      <c r="D20" s="407"/>
      <c r="E20" s="406" t="s">
        <v>3259</v>
      </c>
      <c r="F20" s="408"/>
      <c r="G20" s="406" t="s">
        <v>3259</v>
      </c>
      <c r="H20" s="407"/>
      <c r="I20" s="406" t="s">
        <v>3259</v>
      </c>
      <c r="J20" s="407"/>
      <c r="K20" s="572"/>
      <c r="L20" s="2949"/>
      <c r="M20" s="2943"/>
      <c r="N20" s="2943"/>
      <c r="O20" s="2943"/>
      <c r="P20" s="3453"/>
      <c r="Q20" s="3063"/>
      <c r="R20" s="714"/>
      <c r="S20" s="715"/>
      <c r="T20" s="714"/>
      <c r="U20" s="715"/>
      <c r="V20" s="714"/>
      <c r="W20" s="715"/>
      <c r="X20" s="3060"/>
      <c r="Y20" s="3446"/>
      <c r="Z20" s="3061"/>
      <c r="AA20" s="3064">
        <v>1</v>
      </c>
      <c r="AB20" s="3064">
        <v>1</v>
      </c>
      <c r="AC20" s="3064">
        <v>1</v>
      </c>
    </row>
    <row r="21" spans="1:29" ht="27.6">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53"/>
      <c r="Q21" s="3063" t="str">
        <f>B21</f>
        <v>基础设施水平</v>
      </c>
      <c r="R21" s="714" t="s">
        <v>17</v>
      </c>
      <c r="S21" s="715">
        <f>F21</f>
        <v>100</v>
      </c>
      <c r="T21" s="714" t="s">
        <v>17</v>
      </c>
      <c r="U21" s="715">
        <f>H21</f>
        <v>100</v>
      </c>
      <c r="V21" s="714" t="s">
        <v>17</v>
      </c>
      <c r="W21" s="715">
        <f>J21</f>
        <v>100</v>
      </c>
      <c r="X21" s="3060"/>
      <c r="Y21" s="3446"/>
      <c r="Z21" s="3061" t="str">
        <f>Q21</f>
        <v>基础设施水平</v>
      </c>
      <c r="AA21" s="3064">
        <f t="shared" ref="AA21" si="8">D21/F21</f>
        <v>1</v>
      </c>
      <c r="AB21" s="3064">
        <f t="shared" ref="AB21" si="9">D21/H21</f>
        <v>1</v>
      </c>
      <c r="AC21" s="3064">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53"/>
      <c r="Q22" s="3063"/>
      <c r="R22" s="714"/>
      <c r="S22" s="715"/>
      <c r="T22" s="714"/>
      <c r="U22" s="715"/>
      <c r="V22" s="714"/>
      <c r="W22" s="715"/>
      <c r="X22" s="3060"/>
      <c r="Y22" s="3446"/>
      <c r="Z22" s="3061"/>
      <c r="AA22" s="3064">
        <v>1</v>
      </c>
      <c r="AB22" s="3064">
        <v>1</v>
      </c>
      <c r="AC22" s="3064">
        <v>1</v>
      </c>
    </row>
    <row r="23" spans="1:29" ht="55.2">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53"/>
      <c r="Q23" s="3063" t="str">
        <f>B23</f>
        <v>自然及人文环境</v>
      </c>
      <c r="R23" s="714" t="s">
        <v>17</v>
      </c>
      <c r="S23" s="715">
        <f>F23</f>
        <v>100</v>
      </c>
      <c r="T23" s="714" t="s">
        <v>17</v>
      </c>
      <c r="U23" s="715">
        <f>H23</f>
        <v>100</v>
      </c>
      <c r="V23" s="714" t="s">
        <v>17</v>
      </c>
      <c r="W23" s="715">
        <f>J23</f>
        <v>100</v>
      </c>
      <c r="X23" s="3060"/>
      <c r="Y23" s="3446"/>
      <c r="Z23" s="3061" t="str">
        <f>Q23</f>
        <v>自然及人文环境</v>
      </c>
      <c r="AA23" s="3064">
        <f t="shared" si="3"/>
        <v>1</v>
      </c>
      <c r="AB23" s="3064">
        <f t="shared" si="4"/>
        <v>1</v>
      </c>
      <c r="AC23" s="3064">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53"/>
      <c r="Q24" s="3063"/>
      <c r="R24" s="714"/>
      <c r="S24" s="715"/>
      <c r="T24" s="714"/>
      <c r="U24" s="715"/>
      <c r="V24" s="714"/>
      <c r="W24" s="715"/>
      <c r="X24" s="3060"/>
      <c r="Y24" s="3446"/>
      <c r="Z24" s="3061"/>
      <c r="AA24" s="3064">
        <v>1</v>
      </c>
      <c r="AB24" s="3064">
        <v>1</v>
      </c>
      <c r="AC24" s="3064">
        <v>1</v>
      </c>
    </row>
    <row r="25" spans="1:29" ht="15">
      <c r="A25" s="387"/>
      <c r="B25" s="381" t="s">
        <v>2477</v>
      </c>
      <c r="C25" s="573" t="s">
        <v>3249</v>
      </c>
      <c r="D25" s="394">
        <v>100</v>
      </c>
      <c r="E25" s="573" t="s">
        <v>3252</v>
      </c>
      <c r="F25" s="420">
        <f>SUMIF(86:86,E25,87:87)-SUMIF(86:86,C25,87:87)+100</f>
        <v>102</v>
      </c>
      <c r="G25" s="573" t="s">
        <v>3252</v>
      </c>
      <c r="H25" s="394">
        <f>SUMIF(86:86,G25,87:87)-SUMIF(86:86,C25,87:87)+100</f>
        <v>102</v>
      </c>
      <c r="I25" s="573" t="s">
        <v>3252</v>
      </c>
      <c r="J25" s="394">
        <f>SUMIF(86:86,I25,87:87)-SUMIF(86:86,C25,87:87)+100</f>
        <v>102</v>
      </c>
      <c r="K25" s="569">
        <v>2</v>
      </c>
      <c r="L25" s="2949"/>
      <c r="M25" s="2943"/>
      <c r="N25" s="2943"/>
      <c r="O25" s="2943"/>
      <c r="P25" s="3453"/>
      <c r="Q25" s="3063" t="str">
        <f t="shared" ref="Q25:Q46" si="11">B25</f>
        <v>临街状况</v>
      </c>
      <c r="R25" s="714" t="s">
        <v>17</v>
      </c>
      <c r="S25" s="715">
        <f>F25</f>
        <v>102</v>
      </c>
      <c r="T25" s="714" t="s">
        <v>17</v>
      </c>
      <c r="U25" s="715">
        <f>H25</f>
        <v>102</v>
      </c>
      <c r="V25" s="714" t="s">
        <v>17</v>
      </c>
      <c r="W25" s="715">
        <f>J25</f>
        <v>102</v>
      </c>
      <c r="X25" s="3060"/>
      <c r="Y25" s="3446"/>
      <c r="Z25" s="3061" t="str">
        <f>Q25</f>
        <v>临街状况</v>
      </c>
      <c r="AA25" s="3064">
        <f t="shared" si="3"/>
        <v>0.98039215686274506</v>
      </c>
      <c r="AB25" s="3064">
        <f t="shared" si="4"/>
        <v>0.98039215686274506</v>
      </c>
      <c r="AC25" s="3064">
        <f t="shared" si="5"/>
        <v>0.98039215686274506</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53"/>
      <c r="Q26" s="3063" t="str">
        <f t="shared" si="11"/>
        <v>平面位置/可视性</v>
      </c>
      <c r="R26" s="714" t="s">
        <v>17</v>
      </c>
      <c r="S26" s="715">
        <f>F26</f>
        <v>100</v>
      </c>
      <c r="T26" s="714" t="s">
        <v>17</v>
      </c>
      <c r="U26" s="715">
        <f>H26</f>
        <v>100</v>
      </c>
      <c r="V26" s="714" t="s">
        <v>17</v>
      </c>
      <c r="W26" s="715">
        <f>J26</f>
        <v>100</v>
      </c>
      <c r="X26" s="3060"/>
      <c r="Y26" s="3446"/>
      <c r="Z26" s="3061" t="str">
        <f>Q26</f>
        <v>平面位置/可视性</v>
      </c>
      <c r="AA26" s="3064">
        <f t="shared" si="3"/>
        <v>1</v>
      </c>
      <c r="AB26" s="3064">
        <f t="shared" si="4"/>
        <v>1</v>
      </c>
      <c r="AC26" s="3064">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3260</v>
      </c>
      <c r="J27" s="421">
        <f>SUMIF(90:90,I27,91:91)-SUMIF(90:90,C27,91:91)+100</f>
        <v>102</v>
      </c>
      <c r="K27" s="569">
        <v>2</v>
      </c>
      <c r="L27" s="2944"/>
      <c r="M27" s="2945"/>
      <c r="N27" s="2945"/>
      <c r="O27" s="2945"/>
      <c r="P27" s="3453"/>
      <c r="Q27" s="3059" t="str">
        <f t="shared" si="11"/>
        <v>人流量</v>
      </c>
      <c r="R27" s="710" t="s">
        <v>17</v>
      </c>
      <c r="S27" s="711">
        <f>F27</f>
        <v>102</v>
      </c>
      <c r="T27" s="710" t="s">
        <v>17</v>
      </c>
      <c r="U27" s="711">
        <f>H27</f>
        <v>102</v>
      </c>
      <c r="V27" s="710" t="s">
        <v>17</v>
      </c>
      <c r="W27" s="711">
        <f>J27</f>
        <v>102</v>
      </c>
      <c r="X27" s="712"/>
      <c r="Y27" s="3446"/>
      <c r="Z27" s="3058" t="str">
        <f>Q27</f>
        <v>人流量</v>
      </c>
      <c r="AA27" s="3064">
        <f>D27/F27</f>
        <v>0.98039215686274506</v>
      </c>
      <c r="AB27" s="3064">
        <f>D27/H27</f>
        <v>0.98039215686274506</v>
      </c>
      <c r="AC27" s="3064">
        <f>D27/J27</f>
        <v>0.98039215686274506</v>
      </c>
    </row>
    <row r="28" spans="1:29" ht="15">
      <c r="A28" s="387"/>
      <c r="B28" s="381" t="s">
        <v>2480</v>
      </c>
      <c r="C28" s="573" t="s">
        <v>3267</v>
      </c>
      <c r="D28" s="394">
        <v>100</v>
      </c>
      <c r="E28" s="573" t="s">
        <v>3267</v>
      </c>
      <c r="F28" s="420">
        <f>SUMIF(92:92,E28,93:93)-SUMIF(92:92,C28,93:93)+100</f>
        <v>100</v>
      </c>
      <c r="G28" s="573" t="s">
        <v>3270</v>
      </c>
      <c r="H28" s="394">
        <f>SUMIF(92:92,G28,93:93)-SUMIF(92:92,C28,93:93)+100</f>
        <v>95</v>
      </c>
      <c r="I28" s="573" t="s">
        <v>3267</v>
      </c>
      <c r="J28" s="394">
        <f>SUMIF(92:92,I28,93:93)-SUMIF(92:92,C28,93:93)+100</f>
        <v>100</v>
      </c>
      <c r="K28" s="570"/>
      <c r="L28" s="2949"/>
      <c r="M28" s="2943"/>
      <c r="N28" s="2943"/>
      <c r="O28" s="2943"/>
      <c r="P28" s="3453"/>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46"/>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53"/>
      <c r="Q29" s="3063">
        <f t="shared" si="11"/>
        <v>111</v>
      </c>
      <c r="R29" s="714" t="s">
        <v>17</v>
      </c>
      <c r="S29" s="715">
        <f t="shared" si="12"/>
        <v>100</v>
      </c>
      <c r="T29" s="714" t="s">
        <v>17</v>
      </c>
      <c r="U29" s="715">
        <f t="shared" si="13"/>
        <v>100</v>
      </c>
      <c r="V29" s="714" t="s">
        <v>17</v>
      </c>
      <c r="W29" s="715">
        <f t="shared" si="14"/>
        <v>100</v>
      </c>
      <c r="X29" s="3060"/>
      <c r="Y29" s="3446"/>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53"/>
      <c r="Q30" s="3063">
        <f t="shared" si="11"/>
        <v>111</v>
      </c>
      <c r="R30" s="714" t="s">
        <v>17</v>
      </c>
      <c r="S30" s="715">
        <f t="shared" si="12"/>
        <v>100</v>
      </c>
      <c r="T30" s="714" t="s">
        <v>17</v>
      </c>
      <c r="U30" s="715">
        <f t="shared" si="13"/>
        <v>100</v>
      </c>
      <c r="V30" s="714" t="s">
        <v>17</v>
      </c>
      <c r="W30" s="715">
        <f t="shared" si="14"/>
        <v>100</v>
      </c>
      <c r="X30" s="3060"/>
      <c r="Y30" s="3446"/>
      <c r="Z30" s="3061">
        <f t="shared" si="15"/>
        <v>111</v>
      </c>
      <c r="AA30" s="3064">
        <f t="shared" si="3"/>
        <v>1</v>
      </c>
      <c r="AB30" s="3064">
        <f t="shared" si="4"/>
        <v>1</v>
      </c>
      <c r="AC30" s="3064">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53"/>
      <c r="Q31" s="3063">
        <f t="shared" si="11"/>
        <v>111</v>
      </c>
      <c r="R31" s="714" t="s">
        <v>17</v>
      </c>
      <c r="S31" s="715">
        <f t="shared" si="12"/>
        <v>100</v>
      </c>
      <c r="T31" s="714" t="s">
        <v>17</v>
      </c>
      <c r="U31" s="715">
        <f t="shared" si="13"/>
        <v>100</v>
      </c>
      <c r="V31" s="714" t="s">
        <v>17</v>
      </c>
      <c r="W31" s="715">
        <f t="shared" si="14"/>
        <v>100</v>
      </c>
      <c r="X31" s="3060"/>
      <c r="Y31" s="3446"/>
      <c r="Z31" s="3061">
        <f t="shared" si="15"/>
        <v>111</v>
      </c>
      <c r="AA31" s="3064">
        <f t="shared" si="3"/>
        <v>1</v>
      </c>
      <c r="AB31" s="3064">
        <f t="shared" si="4"/>
        <v>1</v>
      </c>
      <c r="AC31" s="3064">
        <f t="shared" si="5"/>
        <v>1</v>
      </c>
    </row>
    <row r="32" spans="1:29" ht="15">
      <c r="A32" s="399" t="s">
        <v>2384</v>
      </c>
      <c r="B32" s="67" t="s">
        <v>2481</v>
      </c>
      <c r="C32" s="2096" t="s">
        <v>3244</v>
      </c>
      <c r="D32" s="426">
        <v>100</v>
      </c>
      <c r="E32" s="2096" t="s">
        <v>3277</v>
      </c>
      <c r="F32" s="420">
        <f>SUMIF(100:100,E32,101:101)-SUMIF(100:100,C32,101:101)+100</f>
        <v>103</v>
      </c>
      <c r="G32" s="2096" t="s">
        <v>3277</v>
      </c>
      <c r="H32" s="394">
        <f>SUMIF(100:100,G32,101:101)-SUMIF(100:100,C32,101:101)+100</f>
        <v>103</v>
      </c>
      <c r="I32" s="2096" t="s">
        <v>3244</v>
      </c>
      <c r="J32" s="426">
        <f>SUMIF(100:100,I32,101:101)-SUMIF(100:100,C32,101:101)+100</f>
        <v>100</v>
      </c>
      <c r="K32" s="569">
        <v>3</v>
      </c>
      <c r="L32" s="2949"/>
      <c r="M32" s="2943"/>
      <c r="N32" s="2943"/>
      <c r="O32" s="2943"/>
      <c r="P32" s="3447" t="s">
        <v>2386</v>
      </c>
      <c r="Q32" s="3063" t="str">
        <f t="shared" si="11"/>
        <v>商业类型</v>
      </c>
      <c r="R32" s="714" t="s">
        <v>17</v>
      </c>
      <c r="S32" s="715">
        <f t="shared" si="12"/>
        <v>103</v>
      </c>
      <c r="T32" s="714" t="s">
        <v>17</v>
      </c>
      <c r="U32" s="715">
        <f t="shared" si="13"/>
        <v>103</v>
      </c>
      <c r="V32" s="714" t="s">
        <v>17</v>
      </c>
      <c r="W32" s="715">
        <f t="shared" si="14"/>
        <v>100</v>
      </c>
      <c r="X32" s="3060"/>
      <c r="Y32" s="3450" t="s">
        <v>2386</v>
      </c>
      <c r="Z32" s="3061" t="str">
        <f t="shared" si="15"/>
        <v>商业类型</v>
      </c>
      <c r="AA32" s="3064">
        <f t="shared" si="3"/>
        <v>0.970873786407767</v>
      </c>
      <c r="AB32" s="3064">
        <f t="shared" si="4"/>
        <v>0.970873786407767</v>
      </c>
      <c r="AC32" s="3064">
        <f t="shared" si="5"/>
        <v>1</v>
      </c>
    </row>
    <row r="33" spans="1:29" s="430" customFormat="1" ht="15">
      <c r="A33" s="427"/>
      <c r="B33" s="381" t="s">
        <v>2387</v>
      </c>
      <c r="C33" s="428">
        <f>'数据-基础表'!I13</f>
        <v>994.5</v>
      </c>
      <c r="D33" s="132">
        <v>100</v>
      </c>
      <c r="E33" s="389">
        <v>107.11</v>
      </c>
      <c r="F33" s="384">
        <f>LOOKUP(E33,103:103,104:104)-LOOKUP(C33,103:103,104:104)+100</f>
        <v>102</v>
      </c>
      <c r="G33" s="388">
        <v>635</v>
      </c>
      <c r="H33" s="132">
        <f>LOOKUP(G33,103:103,104:104)-LOOKUP(C33,103:103,104:104)+100</f>
        <v>100</v>
      </c>
      <c r="I33" s="388">
        <v>76.8</v>
      </c>
      <c r="J33" s="132">
        <f>LOOKUP(I33,103:103,104:104)-LOOKUP(C33,103:103,104:104)+100</f>
        <v>103</v>
      </c>
      <c r="K33" s="570"/>
      <c r="L33" s="2948"/>
      <c r="M33" s="2950"/>
      <c r="N33" s="2950"/>
      <c r="O33" s="2950"/>
      <c r="P33" s="3448"/>
      <c r="Q33" s="716" t="str">
        <f t="shared" si="11"/>
        <v>项目建筑规模</v>
      </c>
      <c r="R33" s="717" t="s">
        <v>17</v>
      </c>
      <c r="S33" s="718">
        <f t="shared" si="12"/>
        <v>102</v>
      </c>
      <c r="T33" s="717" t="s">
        <v>17</v>
      </c>
      <c r="U33" s="718">
        <f t="shared" si="13"/>
        <v>100</v>
      </c>
      <c r="V33" s="717" t="s">
        <v>17</v>
      </c>
      <c r="W33" s="718">
        <f t="shared" si="14"/>
        <v>103</v>
      </c>
      <c r="X33" s="719"/>
      <c r="Y33" s="3450"/>
      <c r="Z33" s="720" t="str">
        <f t="shared" si="15"/>
        <v>项目建筑规模</v>
      </c>
      <c r="AA33" s="3064">
        <f t="shared" si="3"/>
        <v>0.98039215686274506</v>
      </c>
      <c r="AB33" s="3064">
        <f t="shared" si="4"/>
        <v>1</v>
      </c>
      <c r="AC33" s="3064">
        <f t="shared" si="5"/>
        <v>0.970873786407767</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48"/>
      <c r="Q34" s="3063" t="str">
        <f t="shared" si="11"/>
        <v>建筑结构</v>
      </c>
      <c r="R34" s="714" t="s">
        <v>17</v>
      </c>
      <c r="S34" s="715">
        <f t="shared" si="12"/>
        <v>100</v>
      </c>
      <c r="T34" s="714" t="s">
        <v>17</v>
      </c>
      <c r="U34" s="715">
        <f t="shared" si="13"/>
        <v>100</v>
      </c>
      <c r="V34" s="714" t="s">
        <v>17</v>
      </c>
      <c r="W34" s="715">
        <f t="shared" si="14"/>
        <v>100</v>
      </c>
      <c r="X34" s="3060"/>
      <c r="Y34" s="3450"/>
      <c r="Z34" s="3061" t="str">
        <f t="shared" si="15"/>
        <v>建筑结构</v>
      </c>
      <c r="AA34" s="3064">
        <f t="shared" si="3"/>
        <v>1</v>
      </c>
      <c r="AB34" s="3064">
        <f t="shared" si="4"/>
        <v>1</v>
      </c>
      <c r="AC34" s="3064">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48"/>
      <c r="Q35" s="3063" t="str">
        <f t="shared" si="11"/>
        <v>公共部分装修</v>
      </c>
      <c r="R35" s="714" t="s">
        <v>17</v>
      </c>
      <c r="S35" s="715">
        <f t="shared" si="12"/>
        <v>100</v>
      </c>
      <c r="T35" s="714" t="s">
        <v>17</v>
      </c>
      <c r="U35" s="715">
        <f t="shared" si="13"/>
        <v>100</v>
      </c>
      <c r="V35" s="714" t="s">
        <v>17</v>
      </c>
      <c r="W35" s="715">
        <f t="shared" si="14"/>
        <v>100</v>
      </c>
      <c r="X35" s="3060"/>
      <c r="Y35" s="3450"/>
      <c r="Z35" s="3061" t="str">
        <f t="shared" si="15"/>
        <v>公共部分装修</v>
      </c>
      <c r="AA35" s="3064">
        <f t="shared" si="3"/>
        <v>1</v>
      </c>
      <c r="AB35" s="3064">
        <f t="shared" si="4"/>
        <v>1</v>
      </c>
      <c r="AC35" s="3064">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48"/>
      <c r="Q36" s="3063" t="str">
        <f t="shared" si="11"/>
        <v>成新度</v>
      </c>
      <c r="R36" s="714" t="s">
        <v>17</v>
      </c>
      <c r="S36" s="715">
        <f t="shared" si="12"/>
        <v>100</v>
      </c>
      <c r="T36" s="714" t="s">
        <v>17</v>
      </c>
      <c r="U36" s="715">
        <f t="shared" si="13"/>
        <v>100</v>
      </c>
      <c r="V36" s="714" t="s">
        <v>17</v>
      </c>
      <c r="W36" s="715">
        <f t="shared" si="14"/>
        <v>100</v>
      </c>
      <c r="X36" s="3060"/>
      <c r="Y36" s="3450"/>
      <c r="Z36" s="3061" t="str">
        <f t="shared" si="15"/>
        <v>成新度</v>
      </c>
      <c r="AA36" s="3064">
        <f t="shared" si="3"/>
        <v>1</v>
      </c>
      <c r="AB36" s="3064">
        <f t="shared" si="4"/>
        <v>1</v>
      </c>
      <c r="AC36" s="3064">
        <f t="shared" si="5"/>
        <v>1</v>
      </c>
    </row>
    <row r="37" spans="1:29" s="113" customFormat="1" ht="15">
      <c r="A37" s="432"/>
      <c r="B37" s="381" t="s">
        <v>2484</v>
      </c>
      <c r="C37" s="2092"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48"/>
      <c r="Q37" s="3059" t="str">
        <f t="shared" si="11"/>
        <v>市政基础设施</v>
      </c>
      <c r="R37" s="710" t="s">
        <v>17</v>
      </c>
      <c r="S37" s="711">
        <f t="shared" si="12"/>
        <v>100</v>
      </c>
      <c r="T37" s="710" t="s">
        <v>17</v>
      </c>
      <c r="U37" s="711">
        <f t="shared" si="13"/>
        <v>100</v>
      </c>
      <c r="V37" s="710" t="s">
        <v>17</v>
      </c>
      <c r="W37" s="711">
        <f t="shared" si="14"/>
        <v>100</v>
      </c>
      <c r="X37" s="712"/>
      <c r="Y37" s="3450"/>
      <c r="Z37" s="3058"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48" t="s">
        <v>2386</v>
      </c>
      <c r="Q38" s="3063" t="str">
        <f t="shared" si="11"/>
        <v>业态</v>
      </c>
      <c r="R38" s="714" t="s">
        <v>17</v>
      </c>
      <c r="S38" s="715">
        <f t="shared" si="12"/>
        <v>100</v>
      </c>
      <c r="T38" s="714" t="s">
        <v>17</v>
      </c>
      <c r="U38" s="715">
        <f t="shared" si="13"/>
        <v>100</v>
      </c>
      <c r="V38" s="714" t="s">
        <v>17</v>
      </c>
      <c r="W38" s="715">
        <f t="shared" si="14"/>
        <v>100</v>
      </c>
      <c r="X38" s="3060"/>
      <c r="Y38" s="3450" t="s">
        <v>2386</v>
      </c>
      <c r="Z38" s="3061" t="str">
        <f t="shared" si="15"/>
        <v>业态</v>
      </c>
      <c r="AA38" s="3064">
        <f t="shared" si="3"/>
        <v>1</v>
      </c>
      <c r="AB38" s="3064">
        <f t="shared" si="4"/>
        <v>1</v>
      </c>
      <c r="AC38" s="3064">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48"/>
      <c r="Q39" s="3063" t="str">
        <f t="shared" si="11"/>
        <v>层高</v>
      </c>
      <c r="R39" s="714" t="s">
        <v>17</v>
      </c>
      <c r="S39" s="715">
        <f t="shared" si="12"/>
        <v>100</v>
      </c>
      <c r="T39" s="714" t="s">
        <v>17</v>
      </c>
      <c r="U39" s="715">
        <f t="shared" si="13"/>
        <v>100</v>
      </c>
      <c r="V39" s="714" t="s">
        <v>17</v>
      </c>
      <c r="W39" s="715">
        <f t="shared" si="14"/>
        <v>100</v>
      </c>
      <c r="X39" s="3060"/>
      <c r="Y39" s="3450"/>
      <c r="Z39" s="3061" t="str">
        <f t="shared" si="15"/>
        <v>层高</v>
      </c>
      <c r="AA39" s="3064">
        <f t="shared" si="3"/>
        <v>1</v>
      </c>
      <c r="AB39" s="3064">
        <f t="shared" si="4"/>
        <v>1</v>
      </c>
      <c r="AC39" s="3064">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48"/>
      <c r="Q40" s="3063" t="str">
        <f t="shared" si="11"/>
        <v>单套建筑面积</v>
      </c>
      <c r="R40" s="714" t="s">
        <v>17</v>
      </c>
      <c r="S40" s="715">
        <f t="shared" si="12"/>
        <v>100</v>
      </c>
      <c r="T40" s="714" t="s">
        <v>17</v>
      </c>
      <c r="U40" s="715">
        <f t="shared" si="13"/>
        <v>100</v>
      </c>
      <c r="V40" s="714" t="s">
        <v>17</v>
      </c>
      <c r="W40" s="715">
        <f t="shared" si="14"/>
        <v>100</v>
      </c>
      <c r="X40" s="3060"/>
      <c r="Y40" s="3450"/>
      <c r="Z40" s="3061" t="str">
        <f t="shared" si="15"/>
        <v>单套建筑面积</v>
      </c>
      <c r="AA40" s="3064">
        <f t="shared" si="3"/>
        <v>1</v>
      </c>
      <c r="AB40" s="3064">
        <f t="shared" si="4"/>
        <v>1</v>
      </c>
      <c r="AC40" s="3064">
        <f t="shared" si="5"/>
        <v>1</v>
      </c>
    </row>
    <row r="41" spans="1:29" s="430" customFormat="1" ht="15">
      <c r="A41" s="427"/>
      <c r="B41" s="306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48"/>
      <c r="Q41" s="716" t="str">
        <f t="shared" si="11"/>
        <v>进深比</v>
      </c>
      <c r="R41" s="717" t="s">
        <v>17</v>
      </c>
      <c r="S41" s="718">
        <f t="shared" si="12"/>
        <v>100</v>
      </c>
      <c r="T41" s="717" t="s">
        <v>17</v>
      </c>
      <c r="U41" s="718">
        <f t="shared" si="13"/>
        <v>100</v>
      </c>
      <c r="V41" s="717" t="s">
        <v>17</v>
      </c>
      <c r="W41" s="718">
        <f t="shared" si="14"/>
        <v>100</v>
      </c>
      <c r="X41" s="719"/>
      <c r="Y41" s="3450"/>
      <c r="Z41" s="720" t="str">
        <f t="shared" si="15"/>
        <v>进深比</v>
      </c>
      <c r="AA41" s="3064">
        <f t="shared" si="3"/>
        <v>1</v>
      </c>
      <c r="AB41" s="3064">
        <f t="shared" si="4"/>
        <v>1</v>
      </c>
      <c r="AC41" s="3064">
        <f t="shared" si="5"/>
        <v>1</v>
      </c>
    </row>
    <row r="42" spans="1:29" ht="15">
      <c r="A42" s="431"/>
      <c r="B42" s="381" t="s">
        <v>2489</v>
      </c>
      <c r="C42" s="2092" t="s">
        <v>3256</v>
      </c>
      <c r="D42" s="394">
        <v>100</v>
      </c>
      <c r="E42" s="2092" t="s">
        <v>3256</v>
      </c>
      <c r="F42" s="420">
        <f>SUMIF(122:122,E42,123:123)-SUMIF(122:122,C42,123:123)+100</f>
        <v>100</v>
      </c>
      <c r="G42" s="2092" t="s">
        <v>3234</v>
      </c>
      <c r="H42" s="394">
        <f>SUMIF(122:122,G42,123:123)-SUMIF(122:122,C42,123:123)+100</f>
        <v>102</v>
      </c>
      <c r="I42" s="2092" t="s">
        <v>3234</v>
      </c>
      <c r="J42" s="394">
        <f>SUMIF(122:122,I42,123:123)-SUMIF(122:122,C42,123:123)+100</f>
        <v>102</v>
      </c>
      <c r="K42" s="569">
        <v>2</v>
      </c>
      <c r="L42" s="2949"/>
      <c r="M42" s="2943"/>
      <c r="N42" s="2943"/>
      <c r="O42" s="2943"/>
      <c r="P42" s="3448"/>
      <c r="Q42" s="3063" t="str">
        <f t="shared" si="11"/>
        <v>内部装修</v>
      </c>
      <c r="R42" s="714" t="s">
        <v>17</v>
      </c>
      <c r="S42" s="715">
        <f t="shared" si="12"/>
        <v>100</v>
      </c>
      <c r="T42" s="714" t="s">
        <v>17</v>
      </c>
      <c r="U42" s="715">
        <f t="shared" si="13"/>
        <v>102</v>
      </c>
      <c r="V42" s="714" t="s">
        <v>17</v>
      </c>
      <c r="W42" s="715">
        <f t="shared" si="14"/>
        <v>102</v>
      </c>
      <c r="X42" s="3060"/>
      <c r="Y42" s="3450"/>
      <c r="Z42" s="3061" t="str">
        <f t="shared" si="15"/>
        <v>内部装修</v>
      </c>
      <c r="AA42" s="3064">
        <f t="shared" si="3"/>
        <v>1</v>
      </c>
      <c r="AB42" s="3064">
        <f t="shared" si="4"/>
        <v>0.98039215686274506</v>
      </c>
      <c r="AC42" s="3064">
        <f t="shared" si="5"/>
        <v>0.98039215686274506</v>
      </c>
    </row>
    <row r="43" spans="1:29" ht="28.8">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48"/>
      <c r="Q43" s="3063" t="str">
        <f t="shared" si="11"/>
        <v>内部装修维护情况</v>
      </c>
      <c r="R43" s="714" t="s">
        <v>17</v>
      </c>
      <c r="S43" s="715">
        <f t="shared" si="12"/>
        <v>100</v>
      </c>
      <c r="T43" s="714" t="s">
        <v>17</v>
      </c>
      <c r="U43" s="715">
        <f t="shared" si="13"/>
        <v>100</v>
      </c>
      <c r="V43" s="714" t="s">
        <v>17</v>
      </c>
      <c r="W43" s="715">
        <f t="shared" si="14"/>
        <v>100</v>
      </c>
      <c r="X43" s="3060"/>
      <c r="Y43" s="3450"/>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48"/>
      <c r="Q44" s="3059">
        <f t="shared" si="11"/>
        <v>111</v>
      </c>
      <c r="R44" s="710" t="s">
        <v>17</v>
      </c>
      <c r="S44" s="711">
        <f t="shared" si="12"/>
        <v>100</v>
      </c>
      <c r="T44" s="710" t="s">
        <v>17</v>
      </c>
      <c r="U44" s="711">
        <f t="shared" si="13"/>
        <v>100</v>
      </c>
      <c r="V44" s="710" t="s">
        <v>17</v>
      </c>
      <c r="W44" s="711">
        <f t="shared" si="14"/>
        <v>100</v>
      </c>
      <c r="X44" s="712"/>
      <c r="Y44" s="3450"/>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48"/>
      <c r="Q45" s="3063">
        <f t="shared" si="11"/>
        <v>111</v>
      </c>
      <c r="R45" s="714" t="s">
        <v>17</v>
      </c>
      <c r="S45" s="715">
        <f t="shared" si="12"/>
        <v>100</v>
      </c>
      <c r="T45" s="714" t="s">
        <v>17</v>
      </c>
      <c r="U45" s="715">
        <f t="shared" si="13"/>
        <v>100</v>
      </c>
      <c r="V45" s="714" t="s">
        <v>17</v>
      </c>
      <c r="W45" s="715">
        <f t="shared" si="14"/>
        <v>100</v>
      </c>
      <c r="X45" s="3060"/>
      <c r="Y45" s="3450"/>
      <c r="Z45" s="3061">
        <f t="shared" si="15"/>
        <v>111</v>
      </c>
      <c r="AA45" s="3064">
        <f t="shared" si="3"/>
        <v>1</v>
      </c>
      <c r="AB45" s="3064">
        <f t="shared" si="4"/>
        <v>1</v>
      </c>
      <c r="AC45" s="3064">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49"/>
      <c r="Q46" s="3063">
        <f t="shared" si="11"/>
        <v>111</v>
      </c>
      <c r="R46" s="714" t="s">
        <v>17</v>
      </c>
      <c r="S46" s="715">
        <f t="shared" si="12"/>
        <v>100</v>
      </c>
      <c r="T46" s="714" t="s">
        <v>17</v>
      </c>
      <c r="U46" s="715">
        <f t="shared" si="13"/>
        <v>100</v>
      </c>
      <c r="V46" s="714" t="s">
        <v>17</v>
      </c>
      <c r="W46" s="715">
        <f t="shared" si="14"/>
        <v>100</v>
      </c>
      <c r="X46" s="3060"/>
      <c r="Y46" s="3451"/>
      <c r="Z46" s="3061">
        <f t="shared" si="15"/>
        <v>111</v>
      </c>
      <c r="AA46" s="3064">
        <f t="shared" si="3"/>
        <v>1</v>
      </c>
      <c r="AB46" s="3064">
        <f t="shared" si="4"/>
        <v>1</v>
      </c>
      <c r="AC46" s="3064">
        <f t="shared" si="5"/>
        <v>1</v>
      </c>
    </row>
    <row r="47" spans="1:29" ht="14.4">
      <c r="A47" s="438" t="s">
        <v>2398</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43" t="str">
        <f>A47</f>
        <v>成交单价（元/平方米）</v>
      </c>
      <c r="Q47" s="3443"/>
      <c r="R47" s="3438">
        <f>E47</f>
        <v>66667</v>
      </c>
      <c r="S47" s="3438"/>
      <c r="T47" s="3438">
        <f>G47</f>
        <v>66800</v>
      </c>
      <c r="U47" s="3438"/>
      <c r="V47" s="3438">
        <f>I47</f>
        <v>67067</v>
      </c>
      <c r="W47" s="3438"/>
      <c r="X47" s="699"/>
      <c r="Y47" s="721"/>
      <c r="Z47" s="699"/>
      <c r="AA47" s="699"/>
      <c r="AB47" s="699"/>
      <c r="AC47" s="699"/>
    </row>
    <row r="48" spans="1:29" ht="15" thickBot="1">
      <c r="A48" s="445" t="s">
        <v>2399</v>
      </c>
      <c r="B48" s="446"/>
      <c r="C48" s="1322">
        <f>R49</f>
        <v>62227</v>
      </c>
      <c r="D48" s="2538" t="s">
        <v>2881</v>
      </c>
      <c r="E48" s="1323">
        <f>R48</f>
        <v>60992</v>
      </c>
      <c r="F48" s="2539"/>
      <c r="G48" s="1322">
        <f>T48</f>
        <v>64330</v>
      </c>
      <c r="H48" s="2539"/>
      <c r="I48" s="1323">
        <f>V48</f>
        <v>61358</v>
      </c>
      <c r="J48" s="2539"/>
      <c r="K48" s="2541">
        <f>F48+H48+J48</f>
        <v>0</v>
      </c>
      <c r="L48" s="2951"/>
      <c r="M48" s="2952"/>
      <c r="N48" s="2943"/>
      <c r="O48" s="2952"/>
      <c r="P48" s="3443" t="str">
        <f>A48</f>
        <v>比较价值（元/平方米）</v>
      </c>
      <c r="Q48" s="3443"/>
      <c r="R48" s="3444">
        <f>IF(F1="售价",ROUND(PRODUCT(R47,AA7:AA46),0),ROUND(PRODUCT(R47,AA7:AA46),1))</f>
        <v>60992</v>
      </c>
      <c r="S48" s="3444"/>
      <c r="T48" s="3444">
        <f>IF(F1="售价",ROUND(PRODUCT(T47,AB7:AB46),0),ROUND(PRODUCT(T47,AB7:AB46),1))</f>
        <v>64330</v>
      </c>
      <c r="U48" s="3444"/>
      <c r="V48" s="3444">
        <f>IF(F1="售价",ROUND(PRODUCT(V47,AC7:AC46),0),ROUND(PRODUCT(V47,AC7:AC46),1))</f>
        <v>61358</v>
      </c>
      <c r="W48" s="3444"/>
      <c r="X48" s="699"/>
      <c r="Y48" s="699"/>
      <c r="Z48" s="699"/>
      <c r="AA48" s="699"/>
      <c r="AB48" s="699"/>
      <c r="AC48" s="699"/>
    </row>
    <row r="49" spans="1:29" ht="15" thickBot="1">
      <c r="A49" s="449" t="s">
        <v>2400</v>
      </c>
      <c r="B49" s="450"/>
      <c r="C49" s="1325">
        <f>R49</f>
        <v>62227</v>
      </c>
      <c r="D49" s="1325"/>
      <c r="E49" s="1325"/>
      <c r="F49" s="1325"/>
      <c r="G49" s="1325"/>
      <c r="H49" s="1325"/>
      <c r="I49" s="1325"/>
      <c r="J49" s="1325"/>
      <c r="K49" s="724"/>
      <c r="L49" s="2951"/>
      <c r="M49" s="2952"/>
      <c r="N49" s="2943"/>
      <c r="O49" s="2952"/>
      <c r="P49" s="3440" t="str">
        <f>A49</f>
        <v>估价对象XX用房的比较价值（楼面单价，元/平方米）</v>
      </c>
      <c r="Q49" s="3441"/>
      <c r="R49" s="3442">
        <f>IF(F1="售价",ROUND(IF(D48="简单平均",AVERAGE(R48:V48),R48*F48+T48*H48+V48*J48),0),ROUND(IF(D48="简单平均",AVERAGE(R48:V48),R48*F48+T48*H48+V48*J48),1))</f>
        <v>62227</v>
      </c>
      <c r="S49" s="3442"/>
      <c r="T49" s="3442"/>
      <c r="U49" s="3442"/>
      <c r="V49" s="3442"/>
      <c r="W49" s="3442"/>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9.3044989506820608E-2</v>
      </c>
      <c r="F52" s="457" t="str">
        <f>IF(OR(E52&gt;=0.3,E52&lt;=-0.3),"超过30%","")</f>
        <v/>
      </c>
      <c r="G52" s="456">
        <f>IF(G47&lt;G48,G48/G47-1,G47/G48-1)</f>
        <v>3.839577180164766E-2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5.4728488982161538E-2</v>
      </c>
      <c r="F53" s="457" t="str">
        <f>IF(OR(E53&gt;=0.2,E53&lt;=-0.2),"超过20%","")</f>
        <v/>
      </c>
      <c r="G53" s="456">
        <f>IF(G48&lt;I48,I48/G48-1,G48/I48-1)</f>
        <v>4.8437041624564081E-2</v>
      </c>
      <c r="H53" s="457" t="str">
        <f>IF(OR(G53&gt;=0.2,G53&lt;=-0.2),"超过20%","")</f>
        <v/>
      </c>
      <c r="I53" s="456">
        <f>IF(I48&lt;E48,E48/I48-1,I48/E48-1)</f>
        <v>6.0007869884575182E-3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28.8">
      <c r="A61" s="478" t="s">
        <v>2371</v>
      </c>
      <c r="B61" s="467"/>
      <c r="C61" s="479" t="s">
        <v>2408</v>
      </c>
      <c r="D61" s="3138" t="s">
        <v>3227</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 thickTop="1">
      <c r="A90" s="510"/>
      <c r="B90" s="495" t="str">
        <f>B27</f>
        <v>人流量</v>
      </c>
      <c r="C90" s="3140" t="s">
        <v>3281</v>
      </c>
      <c r="D90" s="3140" t="s">
        <v>3282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 thickTop="1">
      <c r="A92" s="491"/>
      <c r="B92" s="495" t="str">
        <f>B28</f>
        <v>楼层</v>
      </c>
      <c r="C92" s="511" t="s">
        <v>3268</v>
      </c>
      <c r="D92" s="511" t="s">
        <v>3269</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2384</v>
      </c>
      <c r="B100" s="485" t="s">
        <v>2502</v>
      </c>
      <c r="C100" s="3141" t="s">
        <v>3278</v>
      </c>
      <c r="D100" s="3141" t="s">
        <v>3279</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28.2" thickTop="1">
      <c r="A102" s="491"/>
      <c r="B102" s="495" t="s">
        <v>2434</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3272</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3273</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3274</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3273</v>
      </c>
      <c r="D122" s="3140" t="s">
        <v>3275</v>
      </c>
      <c r="E122" s="3140" t="s">
        <v>3276</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A00-000000000000}">
      <formula1>"简单平均,加权平均"</formula1>
    </dataValidation>
    <dataValidation type="list" allowBlank="1" showInputMessage="1" showErrorMessage="1" sqref="F2" xr:uid="{00000000-0002-0000-1A00-000001000000}">
      <formula1>估价方法</formula1>
    </dataValidation>
    <dataValidation type="list" allowBlank="1" showInputMessage="1" showErrorMessage="1" sqref="C2" xr:uid="{00000000-0002-0000-1A00-000002000000}">
      <formula1>"需扣减承租人权益,——"</formula1>
    </dataValidation>
    <dataValidation type="list" allowBlank="1" showInputMessage="1" showErrorMessage="1" sqref="F1" xr:uid="{00000000-0002-0000-1A00-000003000000}">
      <formula1>"售价,租金"</formula1>
    </dataValidation>
    <dataValidation type="list" allowBlank="1" showInputMessage="1" showErrorMessage="1" sqref="C22 E22 G22 I22" xr:uid="{00000000-0002-0000-1A00-000004000000}">
      <formula1>基础设施水平</formula1>
    </dataValidation>
    <dataValidation type="list" allowBlank="1" showInputMessage="1" showErrorMessage="1" sqref="C16 E16 G16 I16" xr:uid="{00000000-0002-0000-1A00-000005000000}">
      <formula1>商业繁华度</formula1>
    </dataValidation>
    <dataValidation type="list" allowBlank="1" showInputMessage="1" showErrorMessage="1" sqref="C8 E8 G8 I8" xr:uid="{00000000-0002-0000-1A00-000006000000}">
      <formula1>商业交易情况</formula1>
    </dataValidation>
    <dataValidation type="list" allowBlank="1" showInputMessage="1" showErrorMessage="1" sqref="C39 E39 G39 I39" xr:uid="{00000000-0002-0000-1A00-000007000000}">
      <formula1>商业层高</formula1>
    </dataValidation>
    <dataValidation type="list" allowBlank="1" showInputMessage="1" showErrorMessage="1" sqref="C38 E38 G38 I38" xr:uid="{00000000-0002-0000-1A00-000008000000}">
      <formula1>商业业态</formula1>
    </dataValidation>
    <dataValidation type="list" allowBlank="1" showInputMessage="1" showErrorMessage="1" sqref="E9 G9 I9" xr:uid="{00000000-0002-0000-1A00-000009000000}">
      <formula1>商业用途</formula1>
    </dataValidation>
    <dataValidation type="list" allowBlank="1" showInputMessage="1" showErrorMessage="1" sqref="C42 E42 G42 I42" xr:uid="{00000000-0002-0000-1A00-00000A000000}">
      <formula1>商业内部装修</formula1>
    </dataValidation>
    <dataValidation type="list" allowBlank="1" showInputMessage="1" showErrorMessage="1" sqref="C41 E41 G41 I41" xr:uid="{00000000-0002-0000-1A00-00000B000000}">
      <formula1>商业进深比</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35 E35 G35 I35" xr:uid="{00000000-0002-0000-1A00-00000D000000}">
      <formula1>商业公共部分装修</formula1>
    </dataValidation>
    <dataValidation type="list" allowBlank="1" showInputMessage="1" showErrorMessage="1" sqref="C34 E34 G34 I34" xr:uid="{00000000-0002-0000-1A00-00000E000000}">
      <formula1>商业建筑结构</formula1>
    </dataValidation>
    <dataValidation type="list" allowBlank="1" showInputMessage="1" showErrorMessage="1" sqref="C32 E32 G32 I32" xr:uid="{00000000-0002-0000-1A00-00000F000000}">
      <formula1>商业类型</formula1>
    </dataValidation>
    <dataValidation type="list" allowBlank="1" showInputMessage="1" showErrorMessage="1" sqref="C28 E28 G28 I28" xr:uid="{00000000-0002-0000-1A00-000010000000}">
      <formula1>商业楼层</formula1>
    </dataValidation>
    <dataValidation type="list" allowBlank="1" showInputMessage="1" showErrorMessage="1" sqref="C27 E27 G27 I27" xr:uid="{00000000-0002-0000-1A00-000011000000}">
      <formula1>商业人流量</formula1>
    </dataValidation>
    <dataValidation type="list" allowBlank="1" showInputMessage="1" showErrorMessage="1" sqref="C25 E25 G25 I25" xr:uid="{00000000-0002-0000-1A00-000012000000}">
      <formula1>商业临街状况</formula1>
    </dataValidation>
    <dataValidation type="list" allowBlank="1" showInputMessage="1" showErrorMessage="1" sqref="E24 G24 I24 C24" xr:uid="{00000000-0002-0000-1A00-000013000000}">
      <formula1>环境</formula1>
    </dataValidation>
    <dataValidation type="list" allowBlank="1" showInputMessage="1" showErrorMessage="1" sqref="E18 G18 I18 C18" xr:uid="{00000000-0002-0000-1A00-000014000000}">
      <formula1>交通便捷度</formula1>
    </dataValidation>
    <dataValidation type="list" allowBlank="1" showInputMessage="1" showErrorMessage="1" sqref="E20 I20 G20 C20" xr:uid="{00000000-0002-0000-1A00-000015000000}">
      <formula1>公共配套设施</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1" xr:uid="{00000000-0002-0000-1A00-000017000000}">
      <formula1>项目类型</formula1>
    </dataValidation>
    <dataValidation type="list" allowBlank="1" showInputMessage="1" showErrorMessage="1" sqref="C10 E10 G10 I10" xr:uid="{00000000-0002-0000-1A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C30" zoomScale="85" zoomScaleNormal="70" zoomScaleSheetLayoutView="85" workbookViewId="0">
      <selection activeCell="I37" sqref="I37"/>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t="s">
        <v>1343</v>
      </c>
      <c r="E1" s="2543"/>
      <c r="F1" s="2065" t="s">
        <v>3207</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12.6</v>
      </c>
      <c r="C3" s="360" t="s">
        <v>2465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4.4">
      <c r="A4" s="361" t="s">
        <v>2466</v>
      </c>
      <c r="B4" s="362"/>
      <c r="C4" s="3426" t="s">
        <v>2467</v>
      </c>
      <c r="D4" s="3427"/>
      <c r="E4" s="3428" t="s">
        <v>2468</v>
      </c>
      <c r="F4" s="3429"/>
      <c r="G4" s="3426" t="s">
        <v>2469</v>
      </c>
      <c r="H4" s="3427"/>
      <c r="I4" s="3426" t="s">
        <v>2470</v>
      </c>
      <c r="J4" s="3427"/>
      <c r="K4" s="567" t="s">
        <v>2471</v>
      </c>
      <c r="L4" s="2942"/>
      <c r="M4" s="2943"/>
      <c r="N4" s="2943"/>
      <c r="O4" s="2943"/>
      <c r="P4" s="3430" t="s">
        <v>2472</v>
      </c>
      <c r="Q4" s="3431"/>
      <c r="R4" s="3413" t="s">
        <v>2468</v>
      </c>
      <c r="S4" s="3414"/>
      <c r="T4" s="3413" t="s">
        <v>2469</v>
      </c>
      <c r="U4" s="3414"/>
      <c r="V4" s="3438" t="s">
        <v>2470</v>
      </c>
      <c r="W4" s="3438"/>
      <c r="X4" s="1539"/>
      <c r="Y4" s="3413" t="s">
        <v>2472</v>
      </c>
      <c r="Z4" s="3414"/>
      <c r="AA4" s="3408" t="s">
        <v>2468</v>
      </c>
      <c r="AB4" s="3438" t="s">
        <v>2469</v>
      </c>
      <c r="AC4" s="3408" t="s">
        <v>2470</v>
      </c>
    </row>
    <row r="5" spans="1:29">
      <c r="A5" s="364"/>
      <c r="B5" s="365"/>
      <c r="C5" s="3454" t="s">
        <v>3229</v>
      </c>
      <c r="D5" s="3420"/>
      <c r="E5" s="3455" t="s">
        <v>3231</v>
      </c>
      <c r="F5" s="3418"/>
      <c r="G5" s="3454" t="s">
        <v>3232</v>
      </c>
      <c r="H5" s="3420"/>
      <c r="I5" s="3454" t="s">
        <v>3230</v>
      </c>
      <c r="J5" s="3420"/>
      <c r="K5" s="567"/>
      <c r="L5" s="2942"/>
      <c r="M5" s="2943"/>
      <c r="N5" s="2943"/>
      <c r="O5" s="2943"/>
      <c r="P5" s="3432"/>
      <c r="Q5" s="3433"/>
      <c r="R5" s="3415"/>
      <c r="S5" s="3416"/>
      <c r="T5" s="3415"/>
      <c r="U5" s="3416"/>
      <c r="V5" s="3438"/>
      <c r="W5" s="3438"/>
      <c r="X5" s="1539"/>
      <c r="Y5" s="3415"/>
      <c r="Z5" s="3416"/>
      <c r="AA5" s="3409"/>
      <c r="AB5" s="3438"/>
      <c r="AC5" s="3409"/>
    </row>
    <row r="6" spans="1:29" ht="15" thickBot="1">
      <c r="A6" s="366"/>
      <c r="B6" s="367"/>
      <c r="C6" s="3421" t="s">
        <v>2367</v>
      </c>
      <c r="D6" s="3422"/>
      <c r="E6" s="3423" t="s">
        <v>2367</v>
      </c>
      <c r="F6" s="3424"/>
      <c r="G6" s="3421" t="s">
        <v>2367</v>
      </c>
      <c r="H6" s="3422"/>
      <c r="I6" s="3421" t="s">
        <v>2367</v>
      </c>
      <c r="J6" s="3422"/>
      <c r="K6" s="567" t="s">
        <v>2368</v>
      </c>
      <c r="L6" s="2942"/>
      <c r="M6" s="2943"/>
      <c r="N6" s="2943"/>
      <c r="O6" s="2943"/>
      <c r="P6" s="3434"/>
      <c r="Q6" s="3435"/>
      <c r="R6" s="3415"/>
      <c r="S6" s="3416"/>
      <c r="T6" s="3436"/>
      <c r="U6" s="3437"/>
      <c r="V6" s="3438"/>
      <c r="W6" s="3438"/>
      <c r="X6" s="1539"/>
      <c r="Y6" s="3436"/>
      <c r="Z6" s="3437"/>
      <c r="AA6" s="3410"/>
      <c r="AB6" s="3438"/>
      <c r="AC6" s="3410"/>
    </row>
    <row r="7" spans="1:29" s="113" customFormat="1" ht="1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1" t="s">
        <v>2370</v>
      </c>
      <c r="Q7" s="3439"/>
      <c r="R7" s="710" t="s">
        <v>17</v>
      </c>
      <c r="S7" s="711">
        <f t="shared" ref="S7:S15" si="0">F7</f>
        <v>100</v>
      </c>
      <c r="T7" s="710" t="s">
        <v>17</v>
      </c>
      <c r="U7" s="711">
        <f t="shared" ref="U7:U15" si="1">H7</f>
        <v>100</v>
      </c>
      <c r="V7" s="710" t="s">
        <v>17</v>
      </c>
      <c r="W7" s="711">
        <f t="shared" ref="W7:W15" si="2">J7</f>
        <v>100</v>
      </c>
      <c r="X7" s="712"/>
      <c r="Y7" s="3411" t="s">
        <v>2370</v>
      </c>
      <c r="Z7" s="3412"/>
      <c r="AA7" s="713">
        <f>D7/F7</f>
        <v>1</v>
      </c>
      <c r="AB7" s="713">
        <f>D7/H7</f>
        <v>1</v>
      </c>
      <c r="AC7" s="713">
        <f>D7/J7</f>
        <v>1</v>
      </c>
    </row>
    <row r="8" spans="1:29" s="113" customFormat="1" ht="1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1" t="s">
        <v>2373</v>
      </c>
      <c r="Q8" s="3412"/>
      <c r="R8" s="710" t="s">
        <v>17</v>
      </c>
      <c r="S8" s="711">
        <f t="shared" si="0"/>
        <v>100</v>
      </c>
      <c r="T8" s="710" t="s">
        <v>17</v>
      </c>
      <c r="U8" s="711">
        <f t="shared" si="1"/>
        <v>100</v>
      </c>
      <c r="V8" s="710" t="s">
        <v>17</v>
      </c>
      <c r="W8" s="711">
        <f t="shared" si="2"/>
        <v>100</v>
      </c>
      <c r="X8" s="712"/>
      <c r="Y8" s="3411" t="s">
        <v>2373</v>
      </c>
      <c r="Z8" s="3412"/>
      <c r="AA8" s="713">
        <f t="shared" ref="AA8:AA46" si="3">D8/F8</f>
        <v>1</v>
      </c>
      <c r="AB8" s="713">
        <f t="shared" ref="AB8:AB46" si="4">D8/H8</f>
        <v>1</v>
      </c>
      <c r="AC8" s="713">
        <f t="shared" ref="AC8:AC46" si="5">D8/J8</f>
        <v>1</v>
      </c>
    </row>
    <row r="9" spans="1:29" s="113" customFormat="1" ht="14.4">
      <c r="A9" s="375" t="s">
        <v>2374</v>
      </c>
      <c r="B9" s="67" t="s">
        <v>2375</v>
      </c>
      <c r="C9" s="3139" t="s">
        <v>3263</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25"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8.8">
      <c r="A10" s="380"/>
      <c r="B10" s="381" t="s">
        <v>2378</v>
      </c>
      <c r="C10" s="382" t="s">
        <v>3264</v>
      </c>
      <c r="D10" s="132">
        <v>100</v>
      </c>
      <c r="E10" s="383" t="s">
        <v>3264</v>
      </c>
      <c r="F10" s="384">
        <f>SUMIF(65:65,E10,66:66)-SUMIF(65:65,C10,66:66)+100</f>
        <v>100</v>
      </c>
      <c r="G10" s="382" t="s">
        <v>3264</v>
      </c>
      <c r="H10" s="132">
        <f>SUMIF(65:65,G10,66:66)-SUMIF(65:65,C10,66:66)+100</f>
        <v>100</v>
      </c>
      <c r="I10" s="382" t="s">
        <v>3265</v>
      </c>
      <c r="J10" s="132">
        <f>SUMIF(65:65,I10,66:66)-SUMIF(65:65,C10,66:66)+100</f>
        <v>100</v>
      </c>
      <c r="K10" s="569"/>
      <c r="L10" s="2946"/>
      <c r="M10" s="2947"/>
      <c r="N10" s="2947"/>
      <c r="O10" s="2947"/>
      <c r="P10" s="3425"/>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5"/>
      <c r="Q11" s="1527" t="str">
        <f t="shared" si="6"/>
        <v>容积率</v>
      </c>
      <c r="R11" s="710" t="s">
        <v>17</v>
      </c>
      <c r="S11" s="711">
        <f t="shared" si="0"/>
        <v>100</v>
      </c>
      <c r="T11" s="710" t="s">
        <v>17</v>
      </c>
      <c r="U11" s="711">
        <f t="shared" si="1"/>
        <v>100</v>
      </c>
      <c r="V11" s="710" t="s">
        <v>17</v>
      </c>
      <c r="W11" s="711">
        <f t="shared" si="2"/>
        <v>100</v>
      </c>
      <c r="X11" s="712"/>
      <c r="Y11" s="3308"/>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5"/>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5"/>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5"/>
      <c r="Q14" s="1527">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69">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2" t="s">
        <v>2381</v>
      </c>
      <c r="Q15" s="1536" t="str">
        <f t="shared" si="6"/>
        <v>商业繁华度</v>
      </c>
      <c r="R15" s="714" t="s">
        <v>17</v>
      </c>
      <c r="S15" s="715">
        <f t="shared" si="0"/>
        <v>100</v>
      </c>
      <c r="T15" s="714" t="s">
        <v>17</v>
      </c>
      <c r="U15" s="715">
        <f t="shared" si="1"/>
        <v>100</v>
      </c>
      <c r="V15" s="714" t="s">
        <v>17</v>
      </c>
      <c r="W15" s="715">
        <f t="shared" si="2"/>
        <v>100</v>
      </c>
      <c r="X15" s="1539"/>
      <c r="Y15" s="3445" t="s">
        <v>2381</v>
      </c>
      <c r="Z15" s="1540" t="str">
        <f t="shared" si="7"/>
        <v>商业繁华度</v>
      </c>
      <c r="AA15" s="1537">
        <f t="shared" si="3"/>
        <v>1</v>
      </c>
      <c r="AB15" s="1537">
        <f t="shared" si="4"/>
        <v>1</v>
      </c>
      <c r="AC15" s="1537">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53"/>
      <c r="Q16" s="1536"/>
      <c r="R16" s="714"/>
      <c r="S16" s="715"/>
      <c r="T16" s="714"/>
      <c r="U16" s="715"/>
      <c r="V16" s="714"/>
      <c r="W16" s="715"/>
      <c r="X16" s="1539"/>
      <c r="Y16" s="3446"/>
      <c r="Z16" s="1540"/>
      <c r="AA16" s="1537">
        <v>1</v>
      </c>
      <c r="AB16" s="1537">
        <v>1</v>
      </c>
      <c r="AC16" s="1537">
        <v>1</v>
      </c>
    </row>
    <row r="17" spans="1:29" ht="82.8">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53"/>
      <c r="Q17" s="1536" t="str">
        <f>B17</f>
        <v>交通便捷度</v>
      </c>
      <c r="R17" s="714" t="s">
        <v>17</v>
      </c>
      <c r="S17" s="715">
        <f>F17</f>
        <v>100</v>
      </c>
      <c r="T17" s="714" t="s">
        <v>17</v>
      </c>
      <c r="U17" s="715">
        <f>H17</f>
        <v>100</v>
      </c>
      <c r="V17" s="714" t="s">
        <v>17</v>
      </c>
      <c r="W17" s="715">
        <f>J17</f>
        <v>100</v>
      </c>
      <c r="X17" s="1539"/>
      <c r="Y17" s="3446"/>
      <c r="Z17" s="1540" t="str">
        <f>Q17</f>
        <v>交通便捷度</v>
      </c>
      <c r="AA17" s="1537">
        <f t="shared" si="3"/>
        <v>1</v>
      </c>
      <c r="AB17" s="1537">
        <f t="shared" si="4"/>
        <v>1</v>
      </c>
      <c r="AC17" s="1537">
        <f t="shared" si="5"/>
        <v>1</v>
      </c>
    </row>
    <row r="18" spans="1:29" ht="15">
      <c r="A18" s="387"/>
      <c r="B18" s="415"/>
      <c r="C18" s="2087" t="s">
        <v>3259</v>
      </c>
      <c r="D18" s="409"/>
      <c r="E18" s="2087" t="s">
        <v>3259</v>
      </c>
      <c r="F18" s="412"/>
      <c r="G18" s="2087" t="s">
        <v>3259</v>
      </c>
      <c r="H18" s="407"/>
      <c r="I18" s="2087" t="s">
        <v>3259</v>
      </c>
      <c r="J18" s="407"/>
      <c r="K18" s="572"/>
      <c r="L18" s="2949"/>
      <c r="M18" s="2943"/>
      <c r="N18" s="2943"/>
      <c r="O18" s="2943"/>
      <c r="P18" s="3453"/>
      <c r="Q18" s="1536"/>
      <c r="R18" s="714"/>
      <c r="S18" s="715"/>
      <c r="T18" s="714"/>
      <c r="U18" s="715"/>
      <c r="V18" s="714"/>
      <c r="W18" s="715"/>
      <c r="X18" s="1539"/>
      <c r="Y18" s="3446"/>
      <c r="Z18" s="1540"/>
      <c r="AA18" s="1537">
        <v>1</v>
      </c>
      <c r="AB18" s="1537">
        <v>1</v>
      </c>
      <c r="AC18" s="1537">
        <v>1</v>
      </c>
    </row>
    <row r="19" spans="1:29" ht="41.4">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53"/>
      <c r="Q19" s="1536" t="str">
        <f>B19</f>
        <v>公共配套设施</v>
      </c>
      <c r="R19" s="714" t="s">
        <v>17</v>
      </c>
      <c r="S19" s="715">
        <f>F19</f>
        <v>100</v>
      </c>
      <c r="T19" s="714" t="s">
        <v>17</v>
      </c>
      <c r="U19" s="715">
        <f>H19</f>
        <v>100</v>
      </c>
      <c r="V19" s="714" t="s">
        <v>17</v>
      </c>
      <c r="W19" s="715">
        <f>J19</f>
        <v>100</v>
      </c>
      <c r="X19" s="1539"/>
      <c r="Y19" s="3446"/>
      <c r="Z19" s="1540" t="str">
        <f>Q19</f>
        <v>公共配套设施</v>
      </c>
      <c r="AA19" s="1537">
        <f t="shared" si="3"/>
        <v>1</v>
      </c>
      <c r="AB19" s="1537">
        <f t="shared" si="4"/>
        <v>1</v>
      </c>
      <c r="AC19" s="1537">
        <f t="shared" si="5"/>
        <v>1</v>
      </c>
    </row>
    <row r="20" spans="1:29" ht="15">
      <c r="A20" s="387"/>
      <c r="B20" s="415"/>
      <c r="C20" s="406" t="s">
        <v>3259</v>
      </c>
      <c r="D20" s="407"/>
      <c r="E20" s="2087" t="s">
        <v>3259</v>
      </c>
      <c r="F20" s="408"/>
      <c r="G20" s="2087" t="s">
        <v>3259</v>
      </c>
      <c r="H20" s="407"/>
      <c r="I20" s="2087" t="s">
        <v>3259</v>
      </c>
      <c r="J20" s="407"/>
      <c r="K20" s="572"/>
      <c r="L20" s="2949"/>
      <c r="M20" s="2943"/>
      <c r="N20" s="2943"/>
      <c r="O20" s="2943"/>
      <c r="P20" s="3453"/>
      <c r="Q20" s="1536"/>
      <c r="R20" s="714"/>
      <c r="S20" s="715"/>
      <c r="T20" s="714"/>
      <c r="U20" s="715"/>
      <c r="V20" s="714"/>
      <c r="W20" s="715"/>
      <c r="X20" s="1539"/>
      <c r="Y20" s="3446"/>
      <c r="Z20" s="1540"/>
      <c r="AA20" s="1537">
        <v>1</v>
      </c>
      <c r="AB20" s="1537">
        <v>1</v>
      </c>
      <c r="AC20" s="1537">
        <v>1</v>
      </c>
    </row>
    <row r="21" spans="1:29" ht="27.6">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53"/>
      <c r="Q21" s="1536" t="str">
        <f>B21</f>
        <v>基础设施水平</v>
      </c>
      <c r="R21" s="714" t="s">
        <v>17</v>
      </c>
      <c r="S21" s="715">
        <f>F21</f>
        <v>100</v>
      </c>
      <c r="T21" s="714" t="s">
        <v>17</v>
      </c>
      <c r="U21" s="715">
        <f>H21</f>
        <v>100</v>
      </c>
      <c r="V21" s="714" t="s">
        <v>17</v>
      </c>
      <c r="W21" s="715">
        <f>J21</f>
        <v>100</v>
      </c>
      <c r="X21" s="1539"/>
      <c r="Y21" s="3446"/>
      <c r="Z21" s="1540" t="str">
        <f>Q21</f>
        <v>基础设施水平</v>
      </c>
      <c r="AA21" s="1537">
        <f t="shared" ref="AA21" si="8">D21/F21</f>
        <v>1</v>
      </c>
      <c r="AB21" s="1537">
        <f t="shared" ref="AB21" si="9">D21/H21</f>
        <v>1</v>
      </c>
      <c r="AC21" s="1537">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53"/>
      <c r="Q22" s="1536"/>
      <c r="R22" s="714"/>
      <c r="S22" s="715"/>
      <c r="T22" s="714"/>
      <c r="U22" s="715"/>
      <c r="V22" s="714"/>
      <c r="W22" s="715"/>
      <c r="X22" s="1539"/>
      <c r="Y22" s="3446"/>
      <c r="Z22" s="1540"/>
      <c r="AA22" s="1537">
        <v>1</v>
      </c>
      <c r="AB22" s="1537">
        <v>1</v>
      </c>
      <c r="AC22" s="1537">
        <v>1</v>
      </c>
    </row>
    <row r="23" spans="1:29" ht="55.2">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53"/>
      <c r="Q23" s="1536" t="str">
        <f>B23</f>
        <v>自然及人文环境</v>
      </c>
      <c r="R23" s="714" t="s">
        <v>17</v>
      </c>
      <c r="S23" s="715">
        <f>F23</f>
        <v>100</v>
      </c>
      <c r="T23" s="714" t="s">
        <v>17</v>
      </c>
      <c r="U23" s="715">
        <f>H23</f>
        <v>100</v>
      </c>
      <c r="V23" s="714" t="s">
        <v>17</v>
      </c>
      <c r="W23" s="715">
        <f>J23</f>
        <v>100</v>
      </c>
      <c r="X23" s="1539"/>
      <c r="Y23" s="3446"/>
      <c r="Z23" s="1540" t="str">
        <f>Q23</f>
        <v>自然及人文环境</v>
      </c>
      <c r="AA23" s="1537">
        <f t="shared" si="3"/>
        <v>1</v>
      </c>
      <c r="AB23" s="1537">
        <f t="shared" si="4"/>
        <v>1</v>
      </c>
      <c r="AC23" s="1537">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53"/>
      <c r="Q24" s="1536"/>
      <c r="R24" s="714"/>
      <c r="S24" s="715"/>
      <c r="T24" s="714"/>
      <c r="U24" s="715"/>
      <c r="V24" s="714"/>
      <c r="W24" s="715"/>
      <c r="X24" s="1539"/>
      <c r="Y24" s="3446"/>
      <c r="Z24" s="1540"/>
      <c r="AA24" s="1537">
        <v>1</v>
      </c>
      <c r="AB24" s="1537">
        <v>1</v>
      </c>
      <c r="AC24" s="1537">
        <v>1</v>
      </c>
    </row>
    <row r="25" spans="1:29" ht="15">
      <c r="A25" s="387"/>
      <c r="B25" s="381" t="s">
        <v>2477</v>
      </c>
      <c r="C25" s="573" t="s">
        <v>3249</v>
      </c>
      <c r="D25" s="394">
        <v>100</v>
      </c>
      <c r="E25" s="573" t="s">
        <v>3252</v>
      </c>
      <c r="F25" s="420">
        <f>SUMIF(86:86,E25,87:87)-SUMIF(86:86,C25,87:87)+100</f>
        <v>102</v>
      </c>
      <c r="G25" s="573" t="s">
        <v>3249</v>
      </c>
      <c r="H25" s="394">
        <f>SUMIF(86:86,G25,87:87)-SUMIF(86:86,C25,87:87)+100</f>
        <v>100</v>
      </c>
      <c r="I25" s="573" t="s">
        <v>3249</v>
      </c>
      <c r="J25" s="394">
        <f>SUMIF(86:86,I25,87:87)-SUMIF(86:86,C25,87:87)+100</f>
        <v>100</v>
      </c>
      <c r="K25" s="569">
        <v>2</v>
      </c>
      <c r="L25" s="2949"/>
      <c r="M25" s="2943"/>
      <c r="N25" s="2943"/>
      <c r="O25" s="2943"/>
      <c r="P25" s="3453"/>
      <c r="Q25" s="1536" t="str">
        <f t="shared" ref="Q25:Q46" si="11">B25</f>
        <v>临街状况</v>
      </c>
      <c r="R25" s="714" t="s">
        <v>17</v>
      </c>
      <c r="S25" s="715">
        <f>F25</f>
        <v>102</v>
      </c>
      <c r="T25" s="714" t="s">
        <v>17</v>
      </c>
      <c r="U25" s="715">
        <f>H25</f>
        <v>100</v>
      </c>
      <c r="V25" s="714" t="s">
        <v>17</v>
      </c>
      <c r="W25" s="715">
        <f>J25</f>
        <v>100</v>
      </c>
      <c r="X25" s="1539"/>
      <c r="Y25" s="3446"/>
      <c r="Z25" s="1540" t="str">
        <f>Q25</f>
        <v>临街状况</v>
      </c>
      <c r="AA25" s="1537">
        <f t="shared" si="3"/>
        <v>0.98039215686274506</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53"/>
      <c r="Q26" s="1536" t="str">
        <f t="shared" si="11"/>
        <v>平面位置/可视性</v>
      </c>
      <c r="R26" s="714" t="s">
        <v>17</v>
      </c>
      <c r="S26" s="715">
        <f>F26</f>
        <v>100</v>
      </c>
      <c r="T26" s="714" t="s">
        <v>17</v>
      </c>
      <c r="U26" s="715">
        <f>H26</f>
        <v>100</v>
      </c>
      <c r="V26" s="714" t="s">
        <v>17</v>
      </c>
      <c r="W26" s="715">
        <f>J26</f>
        <v>100</v>
      </c>
      <c r="X26" s="1539"/>
      <c r="Y26" s="3446"/>
      <c r="Z26" s="1540" t="str">
        <f>Q26</f>
        <v>平面位置/可视性</v>
      </c>
      <c r="AA26" s="1537">
        <f t="shared" si="3"/>
        <v>1</v>
      </c>
      <c r="AB26" s="1537">
        <f t="shared" si="4"/>
        <v>1</v>
      </c>
      <c r="AC26" s="1537">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3254</v>
      </c>
      <c r="J27" s="421">
        <f>SUMIF(90:90,I27,91:91)-SUMIF(90:90,C27,91:91)+100</f>
        <v>100</v>
      </c>
      <c r="K27" s="569">
        <v>2</v>
      </c>
      <c r="L27" s="2944"/>
      <c r="M27" s="2945"/>
      <c r="N27" s="2945"/>
      <c r="O27" s="2945"/>
      <c r="P27" s="3453"/>
      <c r="Q27" s="1527" t="str">
        <f t="shared" si="11"/>
        <v>人流量</v>
      </c>
      <c r="R27" s="710" t="s">
        <v>17</v>
      </c>
      <c r="S27" s="711">
        <f>F27</f>
        <v>102</v>
      </c>
      <c r="T27" s="710" t="s">
        <v>17</v>
      </c>
      <c r="U27" s="711">
        <f>H27</f>
        <v>102</v>
      </c>
      <c r="V27" s="710" t="s">
        <v>17</v>
      </c>
      <c r="W27" s="711">
        <f>J27</f>
        <v>100</v>
      </c>
      <c r="X27" s="712"/>
      <c r="Y27" s="3446"/>
      <c r="Z27" s="55" t="str">
        <f>Q27</f>
        <v>人流量</v>
      </c>
      <c r="AA27" s="1537">
        <f>D27/F27</f>
        <v>0.98039215686274506</v>
      </c>
      <c r="AB27" s="1537">
        <f>D27/H27</f>
        <v>0.98039215686274506</v>
      </c>
      <c r="AC27" s="1537">
        <f>D27/J27</f>
        <v>1</v>
      </c>
    </row>
    <row r="28" spans="1:29" ht="15">
      <c r="A28" s="387"/>
      <c r="B28" s="381" t="s">
        <v>2480</v>
      </c>
      <c r="C28" s="573" t="s">
        <v>3267</v>
      </c>
      <c r="D28" s="394">
        <v>100</v>
      </c>
      <c r="E28" s="573" t="s">
        <v>3267</v>
      </c>
      <c r="F28" s="420">
        <f>SUMIF(92:92,E28,93:93)-SUMIF(92:92,C28,93:93)+100</f>
        <v>100</v>
      </c>
      <c r="G28" s="573" t="s">
        <v>3267</v>
      </c>
      <c r="H28" s="394">
        <f>SUMIF(92:92,G28,93:93)-SUMIF(92:92,C28,93:93)+100</f>
        <v>100</v>
      </c>
      <c r="I28" s="573" t="s">
        <v>3267</v>
      </c>
      <c r="J28" s="394">
        <f>SUMIF(92:92,I28,93:93)-SUMIF(92:92,C28,93:93)+100</f>
        <v>100</v>
      </c>
      <c r="K28" s="570"/>
      <c r="L28" s="2949"/>
      <c r="M28" s="2943"/>
      <c r="N28" s="2943"/>
      <c r="O28" s="2943"/>
      <c r="P28" s="345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4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53"/>
      <c r="Q29" s="1536">
        <f t="shared" si="11"/>
        <v>111</v>
      </c>
      <c r="R29" s="714" t="s">
        <v>17</v>
      </c>
      <c r="S29" s="715">
        <f t="shared" si="12"/>
        <v>100</v>
      </c>
      <c r="T29" s="714" t="s">
        <v>17</v>
      </c>
      <c r="U29" s="715">
        <f t="shared" si="13"/>
        <v>100</v>
      </c>
      <c r="V29" s="714" t="s">
        <v>17</v>
      </c>
      <c r="W29" s="715">
        <f t="shared" si="14"/>
        <v>100</v>
      </c>
      <c r="X29" s="1539"/>
      <c r="Y29" s="344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53"/>
      <c r="Q30" s="1536">
        <f t="shared" si="11"/>
        <v>111</v>
      </c>
      <c r="R30" s="714" t="s">
        <v>17</v>
      </c>
      <c r="S30" s="715">
        <f t="shared" si="12"/>
        <v>100</v>
      </c>
      <c r="T30" s="714" t="s">
        <v>17</v>
      </c>
      <c r="U30" s="715">
        <f t="shared" si="13"/>
        <v>100</v>
      </c>
      <c r="V30" s="714" t="s">
        <v>17</v>
      </c>
      <c r="W30" s="715">
        <f t="shared" si="14"/>
        <v>100</v>
      </c>
      <c r="X30" s="1539"/>
      <c r="Y30" s="3446"/>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53"/>
      <c r="Q31" s="1536">
        <f t="shared" si="11"/>
        <v>111</v>
      </c>
      <c r="R31" s="714" t="s">
        <v>17</v>
      </c>
      <c r="S31" s="715">
        <f t="shared" si="12"/>
        <v>100</v>
      </c>
      <c r="T31" s="714" t="s">
        <v>17</v>
      </c>
      <c r="U31" s="715">
        <f t="shared" si="13"/>
        <v>100</v>
      </c>
      <c r="V31" s="714" t="s">
        <v>17</v>
      </c>
      <c r="W31" s="715">
        <f t="shared" si="14"/>
        <v>100</v>
      </c>
      <c r="X31" s="1539"/>
      <c r="Y31" s="3446"/>
      <c r="Z31" s="1540">
        <f t="shared" si="15"/>
        <v>111</v>
      </c>
      <c r="AA31" s="1537">
        <f t="shared" si="3"/>
        <v>1</v>
      </c>
      <c r="AB31" s="1537">
        <f t="shared" si="4"/>
        <v>1</v>
      </c>
      <c r="AC31" s="1537">
        <f t="shared" si="5"/>
        <v>1</v>
      </c>
    </row>
    <row r="32" spans="1:29" ht="15">
      <c r="A32" s="399" t="s">
        <v>2384</v>
      </c>
      <c r="B32" s="67" t="s">
        <v>2481</v>
      </c>
      <c r="C32" s="2096" t="s">
        <v>3244</v>
      </c>
      <c r="D32" s="426">
        <v>100</v>
      </c>
      <c r="E32" s="2096" t="s">
        <v>3244</v>
      </c>
      <c r="F32" s="420">
        <f>SUMIF(100:100,E32,101:101)-SUMIF(100:100,C32,101:101)+100</f>
        <v>100</v>
      </c>
      <c r="G32" s="2096" t="s">
        <v>3244</v>
      </c>
      <c r="H32" s="394">
        <f>SUMIF(100:100,G32,101:101)-SUMIF(100:100,C32,101:101)+100</f>
        <v>100</v>
      </c>
      <c r="I32" s="2096" t="s">
        <v>3244</v>
      </c>
      <c r="J32" s="426">
        <f>SUMIF(100:100,I32,101:101)-SUMIF(100:100,C32,101:101)+100</f>
        <v>100</v>
      </c>
      <c r="K32" s="569">
        <v>5</v>
      </c>
      <c r="L32" s="2949"/>
      <c r="M32" s="2943"/>
      <c r="N32" s="2943"/>
      <c r="O32" s="2943"/>
      <c r="P32" s="3447" t="s">
        <v>2386</v>
      </c>
      <c r="Q32" s="1536" t="str">
        <f t="shared" si="11"/>
        <v>商业类型</v>
      </c>
      <c r="R32" s="714" t="s">
        <v>17</v>
      </c>
      <c r="S32" s="715">
        <f t="shared" si="12"/>
        <v>100</v>
      </c>
      <c r="T32" s="714" t="s">
        <v>17</v>
      </c>
      <c r="U32" s="715">
        <f t="shared" si="13"/>
        <v>100</v>
      </c>
      <c r="V32" s="714" t="s">
        <v>17</v>
      </c>
      <c r="W32" s="715">
        <f t="shared" si="14"/>
        <v>100</v>
      </c>
      <c r="X32" s="1539"/>
      <c r="Y32" s="3450" t="s">
        <v>2386</v>
      </c>
      <c r="Z32" s="1540" t="str">
        <f t="shared" si="15"/>
        <v>商业类型</v>
      </c>
      <c r="AA32" s="1537">
        <f t="shared" si="3"/>
        <v>1</v>
      </c>
      <c r="AB32" s="1537">
        <f t="shared" si="4"/>
        <v>1</v>
      </c>
      <c r="AC32" s="1537">
        <f t="shared" si="5"/>
        <v>1</v>
      </c>
    </row>
    <row r="33" spans="1:29" s="430" customFormat="1" ht="15">
      <c r="A33" s="427"/>
      <c r="B33" s="381" t="s">
        <v>2387</v>
      </c>
      <c r="C33" s="428">
        <f>'数据-基础表'!I13</f>
        <v>994.5</v>
      </c>
      <c r="D33" s="132">
        <v>100</v>
      </c>
      <c r="E33" s="389">
        <v>60</v>
      </c>
      <c r="F33" s="384">
        <f>LOOKUP(E33,103:103,104:104)-LOOKUP(C33,103:103,104:104)+100</f>
        <v>103</v>
      </c>
      <c r="G33" s="388">
        <v>130</v>
      </c>
      <c r="H33" s="132">
        <f>LOOKUP(G33,103:103,104:104)-LOOKUP(C33,103:103,104:104)+100</f>
        <v>102</v>
      </c>
      <c r="I33" s="388">
        <v>510.81</v>
      </c>
      <c r="J33" s="132">
        <f>LOOKUP(I33,103:103,104:104)-LOOKUP(C33,103:103,104:104)+100</f>
        <v>100</v>
      </c>
      <c r="K33" s="570"/>
      <c r="L33" s="2948"/>
      <c r="M33" s="2950"/>
      <c r="N33" s="2950"/>
      <c r="O33" s="2950"/>
      <c r="P33" s="3448"/>
      <c r="Q33" s="716" t="str">
        <f t="shared" si="11"/>
        <v>项目建筑规模</v>
      </c>
      <c r="R33" s="717" t="s">
        <v>17</v>
      </c>
      <c r="S33" s="718">
        <f t="shared" si="12"/>
        <v>103</v>
      </c>
      <c r="T33" s="717" t="s">
        <v>17</v>
      </c>
      <c r="U33" s="718">
        <f t="shared" si="13"/>
        <v>102</v>
      </c>
      <c r="V33" s="717" t="s">
        <v>17</v>
      </c>
      <c r="W33" s="718">
        <f t="shared" si="14"/>
        <v>100</v>
      </c>
      <c r="X33" s="719"/>
      <c r="Y33" s="3450"/>
      <c r="Z33" s="720" t="str">
        <f t="shared" si="15"/>
        <v>项目建筑规模</v>
      </c>
      <c r="AA33" s="1537">
        <f t="shared" si="3"/>
        <v>0.970873786407767</v>
      </c>
      <c r="AB33" s="1537">
        <f t="shared" si="4"/>
        <v>0.98039215686274506</v>
      </c>
      <c r="AC33" s="1537">
        <f t="shared" si="5"/>
        <v>1</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48"/>
      <c r="Q34" s="1536" t="str">
        <f t="shared" si="11"/>
        <v>建筑结构</v>
      </c>
      <c r="R34" s="714" t="s">
        <v>17</v>
      </c>
      <c r="S34" s="715">
        <f t="shared" si="12"/>
        <v>100</v>
      </c>
      <c r="T34" s="714" t="s">
        <v>17</v>
      </c>
      <c r="U34" s="715">
        <f t="shared" si="13"/>
        <v>100</v>
      </c>
      <c r="V34" s="714" t="s">
        <v>17</v>
      </c>
      <c r="W34" s="715">
        <f t="shared" si="14"/>
        <v>100</v>
      </c>
      <c r="X34" s="1539"/>
      <c r="Y34" s="3450"/>
      <c r="Z34" s="1540" t="str">
        <f t="shared" si="15"/>
        <v>建筑结构</v>
      </c>
      <c r="AA34" s="1537">
        <f t="shared" si="3"/>
        <v>1</v>
      </c>
      <c r="AB34" s="1537">
        <f t="shared" si="4"/>
        <v>1</v>
      </c>
      <c r="AC34" s="1537">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48"/>
      <c r="Q35" s="1536" t="str">
        <f t="shared" si="11"/>
        <v>公共部分装修</v>
      </c>
      <c r="R35" s="714" t="s">
        <v>17</v>
      </c>
      <c r="S35" s="715">
        <f t="shared" si="12"/>
        <v>100</v>
      </c>
      <c r="T35" s="714" t="s">
        <v>17</v>
      </c>
      <c r="U35" s="715">
        <f t="shared" si="13"/>
        <v>100</v>
      </c>
      <c r="V35" s="714" t="s">
        <v>17</v>
      </c>
      <c r="W35" s="715">
        <f t="shared" si="14"/>
        <v>100</v>
      </c>
      <c r="X35" s="1539"/>
      <c r="Y35" s="3450"/>
      <c r="Z35" s="1540" t="str">
        <f t="shared" si="15"/>
        <v>公共部分装修</v>
      </c>
      <c r="AA35" s="1537">
        <f t="shared" si="3"/>
        <v>1</v>
      </c>
      <c r="AB35" s="1537">
        <f t="shared" si="4"/>
        <v>1</v>
      </c>
      <c r="AC35" s="1537">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48"/>
      <c r="Q36" s="1536" t="str">
        <f t="shared" si="11"/>
        <v>成新度</v>
      </c>
      <c r="R36" s="714" t="s">
        <v>17</v>
      </c>
      <c r="S36" s="715">
        <f t="shared" si="12"/>
        <v>100</v>
      </c>
      <c r="T36" s="714" t="s">
        <v>17</v>
      </c>
      <c r="U36" s="715">
        <f t="shared" si="13"/>
        <v>100</v>
      </c>
      <c r="V36" s="714" t="s">
        <v>17</v>
      </c>
      <c r="W36" s="715">
        <f t="shared" si="14"/>
        <v>100</v>
      </c>
      <c r="X36" s="1539"/>
      <c r="Y36" s="3450"/>
      <c r="Z36" s="1540" t="str">
        <f t="shared" si="15"/>
        <v>成新度</v>
      </c>
      <c r="AA36" s="1537">
        <f t="shared" si="3"/>
        <v>1</v>
      </c>
      <c r="AB36" s="1537">
        <f t="shared" si="4"/>
        <v>1</v>
      </c>
      <c r="AC36" s="1537">
        <f t="shared" si="5"/>
        <v>1</v>
      </c>
    </row>
    <row r="37" spans="1:29" s="113" customFormat="1" ht="15">
      <c r="A37" s="432"/>
      <c r="B37" s="381" t="s">
        <v>2484</v>
      </c>
      <c r="C37" s="2092" t="s">
        <v>3237</v>
      </c>
      <c r="D37" s="132">
        <v>100</v>
      </c>
      <c r="E37" s="2092" t="s">
        <v>3237</v>
      </c>
      <c r="F37" s="420">
        <f>SUMIF(112:112,E37,113:113)-SUMIF(112:112,C37,113:113)+100</f>
        <v>100</v>
      </c>
      <c r="G37" s="2092" t="s">
        <v>3237</v>
      </c>
      <c r="H37" s="394">
        <f>SUMIF(112:112,G37,113:113)-SUMIF(112:112,C37,113:113)+100</f>
        <v>100</v>
      </c>
      <c r="I37" s="2092" t="s">
        <v>3237</v>
      </c>
      <c r="J37" s="394">
        <f>SUMIF(112:112,I37,113:113)-SUMIF(112:112,C37,113:113)+100</f>
        <v>100</v>
      </c>
      <c r="K37" s="569">
        <v>2</v>
      </c>
      <c r="L37" s="2944"/>
      <c r="M37" s="2945"/>
      <c r="N37" s="2945"/>
      <c r="O37" s="2945"/>
      <c r="P37" s="3448"/>
      <c r="Q37" s="1527" t="str">
        <f t="shared" si="11"/>
        <v>市政基础设施</v>
      </c>
      <c r="R37" s="710" t="s">
        <v>17</v>
      </c>
      <c r="S37" s="711">
        <f t="shared" si="12"/>
        <v>100</v>
      </c>
      <c r="T37" s="710" t="s">
        <v>17</v>
      </c>
      <c r="U37" s="711">
        <f t="shared" si="13"/>
        <v>100</v>
      </c>
      <c r="V37" s="710" t="s">
        <v>17</v>
      </c>
      <c r="W37" s="711">
        <f t="shared" si="14"/>
        <v>100</v>
      </c>
      <c r="X37" s="712"/>
      <c r="Y37" s="3450"/>
      <c r="Z37" s="55"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48" t="s">
        <v>2386</v>
      </c>
      <c r="Q38" s="1536" t="str">
        <f t="shared" si="11"/>
        <v>业态</v>
      </c>
      <c r="R38" s="714" t="s">
        <v>17</v>
      </c>
      <c r="S38" s="715">
        <f t="shared" si="12"/>
        <v>100</v>
      </c>
      <c r="T38" s="714" t="s">
        <v>17</v>
      </c>
      <c r="U38" s="715">
        <f t="shared" si="13"/>
        <v>100</v>
      </c>
      <c r="V38" s="714" t="s">
        <v>17</v>
      </c>
      <c r="W38" s="715">
        <f t="shared" si="14"/>
        <v>100</v>
      </c>
      <c r="X38" s="1539"/>
      <c r="Y38" s="3450" t="s">
        <v>2386</v>
      </c>
      <c r="Z38" s="1540" t="str">
        <f t="shared" si="15"/>
        <v>业态</v>
      </c>
      <c r="AA38" s="1537">
        <f t="shared" si="3"/>
        <v>1</v>
      </c>
      <c r="AB38" s="1537">
        <f t="shared" si="4"/>
        <v>1</v>
      </c>
      <c r="AC38" s="1537">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48"/>
      <c r="Q39" s="1536" t="str">
        <f t="shared" si="11"/>
        <v>层高</v>
      </c>
      <c r="R39" s="714" t="s">
        <v>17</v>
      </c>
      <c r="S39" s="715">
        <f t="shared" si="12"/>
        <v>100</v>
      </c>
      <c r="T39" s="714" t="s">
        <v>17</v>
      </c>
      <c r="U39" s="715">
        <f t="shared" si="13"/>
        <v>100</v>
      </c>
      <c r="V39" s="714" t="s">
        <v>17</v>
      </c>
      <c r="W39" s="715">
        <f t="shared" si="14"/>
        <v>100</v>
      </c>
      <c r="X39" s="1539"/>
      <c r="Y39" s="3450"/>
      <c r="Z39" s="1540" t="str">
        <f t="shared" si="15"/>
        <v>层高</v>
      </c>
      <c r="AA39" s="1537">
        <f t="shared" si="3"/>
        <v>1</v>
      </c>
      <c r="AB39" s="1537">
        <f t="shared" si="4"/>
        <v>1</v>
      </c>
      <c r="AC39" s="1537">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48"/>
      <c r="Q40" s="1536" t="str">
        <f t="shared" si="11"/>
        <v>单套建筑面积</v>
      </c>
      <c r="R40" s="714" t="s">
        <v>17</v>
      </c>
      <c r="S40" s="715">
        <f t="shared" si="12"/>
        <v>100</v>
      </c>
      <c r="T40" s="714" t="s">
        <v>17</v>
      </c>
      <c r="U40" s="715">
        <f t="shared" si="13"/>
        <v>100</v>
      </c>
      <c r="V40" s="714" t="s">
        <v>17</v>
      </c>
      <c r="W40" s="715">
        <f t="shared" si="14"/>
        <v>100</v>
      </c>
      <c r="X40" s="1539"/>
      <c r="Y40" s="3450"/>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48"/>
      <c r="Q41" s="716" t="str">
        <f t="shared" si="11"/>
        <v>进深比</v>
      </c>
      <c r="R41" s="717" t="s">
        <v>17</v>
      </c>
      <c r="S41" s="718">
        <f t="shared" si="12"/>
        <v>100</v>
      </c>
      <c r="T41" s="717" t="s">
        <v>17</v>
      </c>
      <c r="U41" s="718">
        <f t="shared" si="13"/>
        <v>100</v>
      </c>
      <c r="V41" s="717" t="s">
        <v>17</v>
      </c>
      <c r="W41" s="718">
        <f t="shared" si="14"/>
        <v>100</v>
      </c>
      <c r="X41" s="719"/>
      <c r="Y41" s="3450"/>
      <c r="Z41" s="720" t="str">
        <f t="shared" si="15"/>
        <v>进深比</v>
      </c>
      <c r="AA41" s="1537">
        <f t="shared" si="3"/>
        <v>1</v>
      </c>
      <c r="AB41" s="1537">
        <f t="shared" si="4"/>
        <v>1</v>
      </c>
      <c r="AC41" s="1537">
        <f t="shared" si="5"/>
        <v>1</v>
      </c>
    </row>
    <row r="42" spans="1:29" ht="15">
      <c r="A42" s="431"/>
      <c r="B42" s="381" t="s">
        <v>2489</v>
      </c>
      <c r="C42" s="2092" t="s">
        <v>3256</v>
      </c>
      <c r="D42" s="394">
        <v>100</v>
      </c>
      <c r="E42" s="2092" t="s">
        <v>3256</v>
      </c>
      <c r="F42" s="420">
        <f>SUMIF(122:122,E42,123:123)-SUMIF(122:122,C42,123:123)+100</f>
        <v>100</v>
      </c>
      <c r="G42" s="2092" t="s">
        <v>3256</v>
      </c>
      <c r="H42" s="394">
        <f>SUMIF(122:122,G42,123:123)-SUMIF(122:122,C42,123:123)+100</f>
        <v>100</v>
      </c>
      <c r="I42" s="2092" t="s">
        <v>3234</v>
      </c>
      <c r="J42" s="394">
        <f>SUMIF(122:122,I42,123:123)-SUMIF(122:122,C42,123:123)+100</f>
        <v>102</v>
      </c>
      <c r="K42" s="569">
        <v>2</v>
      </c>
      <c r="L42" s="2949"/>
      <c r="M42" s="2943"/>
      <c r="N42" s="2943"/>
      <c r="O42" s="2943"/>
      <c r="P42" s="3448"/>
      <c r="Q42" s="1536" t="str">
        <f t="shared" si="11"/>
        <v>内部装修</v>
      </c>
      <c r="R42" s="714" t="s">
        <v>17</v>
      </c>
      <c r="S42" s="715">
        <f t="shared" si="12"/>
        <v>100</v>
      </c>
      <c r="T42" s="714" t="s">
        <v>17</v>
      </c>
      <c r="U42" s="715">
        <f t="shared" si="13"/>
        <v>100</v>
      </c>
      <c r="V42" s="714" t="s">
        <v>17</v>
      </c>
      <c r="W42" s="715">
        <f t="shared" si="14"/>
        <v>102</v>
      </c>
      <c r="X42" s="1539"/>
      <c r="Y42" s="3450"/>
      <c r="Z42" s="1540" t="str">
        <f t="shared" si="15"/>
        <v>内部装修</v>
      </c>
      <c r="AA42" s="1537">
        <f t="shared" si="3"/>
        <v>1</v>
      </c>
      <c r="AB42" s="1537">
        <f t="shared" si="4"/>
        <v>1</v>
      </c>
      <c r="AC42" s="1537">
        <f t="shared" si="5"/>
        <v>0.98039215686274506</v>
      </c>
    </row>
    <row r="43" spans="1:29" ht="28.8">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48"/>
      <c r="Q43" s="1536" t="str">
        <f t="shared" si="11"/>
        <v>内部装修维护情况</v>
      </c>
      <c r="R43" s="714" t="s">
        <v>17</v>
      </c>
      <c r="S43" s="715">
        <f t="shared" si="12"/>
        <v>100</v>
      </c>
      <c r="T43" s="714" t="s">
        <v>17</v>
      </c>
      <c r="U43" s="715">
        <f t="shared" si="13"/>
        <v>100</v>
      </c>
      <c r="V43" s="714" t="s">
        <v>17</v>
      </c>
      <c r="W43" s="715">
        <f t="shared" si="14"/>
        <v>100</v>
      </c>
      <c r="X43" s="1539"/>
      <c r="Y43" s="3450"/>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48"/>
      <c r="Q44" s="1527">
        <f t="shared" si="11"/>
        <v>0</v>
      </c>
      <c r="R44" s="710" t="s">
        <v>17</v>
      </c>
      <c r="S44" s="711">
        <f t="shared" si="12"/>
        <v>100</v>
      </c>
      <c r="T44" s="710" t="s">
        <v>17</v>
      </c>
      <c r="U44" s="711">
        <f t="shared" si="13"/>
        <v>100</v>
      </c>
      <c r="V44" s="710" t="s">
        <v>17</v>
      </c>
      <c r="W44" s="711">
        <f t="shared" si="14"/>
        <v>100</v>
      </c>
      <c r="X44" s="712"/>
      <c r="Y44" s="3450"/>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48"/>
      <c r="Q45" s="1536">
        <f t="shared" si="11"/>
        <v>111</v>
      </c>
      <c r="R45" s="714" t="s">
        <v>17</v>
      </c>
      <c r="S45" s="715">
        <f t="shared" si="12"/>
        <v>100</v>
      </c>
      <c r="T45" s="714" t="s">
        <v>17</v>
      </c>
      <c r="U45" s="715">
        <f t="shared" si="13"/>
        <v>100</v>
      </c>
      <c r="V45" s="714" t="s">
        <v>17</v>
      </c>
      <c r="W45" s="715">
        <f t="shared" si="14"/>
        <v>100</v>
      </c>
      <c r="X45" s="1539"/>
      <c r="Y45" s="3450"/>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49"/>
      <c r="Q46" s="1536">
        <f t="shared" si="11"/>
        <v>111</v>
      </c>
      <c r="R46" s="714" t="s">
        <v>17</v>
      </c>
      <c r="S46" s="715">
        <f t="shared" si="12"/>
        <v>100</v>
      </c>
      <c r="T46" s="714" t="s">
        <v>17</v>
      </c>
      <c r="U46" s="715">
        <f t="shared" si="13"/>
        <v>100</v>
      </c>
      <c r="V46" s="714" t="s">
        <v>17</v>
      </c>
      <c r="W46" s="715">
        <f t="shared" si="14"/>
        <v>100</v>
      </c>
      <c r="X46" s="1539"/>
      <c r="Y46" s="3451"/>
      <c r="Z46" s="1540">
        <f t="shared" si="15"/>
        <v>111</v>
      </c>
      <c r="AA46" s="1537">
        <f t="shared" si="3"/>
        <v>1</v>
      </c>
      <c r="AB46" s="1537">
        <f t="shared" si="4"/>
        <v>1</v>
      </c>
      <c r="AC46" s="1537">
        <f t="shared" si="5"/>
        <v>1</v>
      </c>
    </row>
    <row r="47" spans="1:29" ht="14.4">
      <c r="A47" s="438" t="s">
        <v>2398</v>
      </c>
      <c r="B47" s="439"/>
      <c r="C47" s="1316" t="s">
        <v>1</v>
      </c>
      <c r="D47" s="1317"/>
      <c r="E47" s="1318">
        <f>ROUND(10/C50,1)</f>
        <v>13.3</v>
      </c>
      <c r="F47" s="1319"/>
      <c r="G47" s="1320">
        <f>ROUND(9.74/C50,1)</f>
        <v>13</v>
      </c>
      <c r="H47" s="1321"/>
      <c r="I47" s="1318">
        <f>ROUND(10/C50,1)</f>
        <v>13.3</v>
      </c>
      <c r="J47" s="1321"/>
      <c r="K47" s="723"/>
      <c r="L47" s="2951"/>
      <c r="M47" s="2952"/>
      <c r="N47" s="2943"/>
      <c r="O47" s="2952"/>
      <c r="P47" s="3443" t="str">
        <f>A47</f>
        <v>成交单价（元/平方米）</v>
      </c>
      <c r="Q47" s="3443"/>
      <c r="R47" s="3438">
        <f>E47</f>
        <v>13.3</v>
      </c>
      <c r="S47" s="3438"/>
      <c r="T47" s="3438">
        <f>G47</f>
        <v>13</v>
      </c>
      <c r="U47" s="3438"/>
      <c r="V47" s="3438">
        <f>I47</f>
        <v>13.3</v>
      </c>
      <c r="W47" s="3438"/>
      <c r="X47" s="699"/>
      <c r="Y47" s="721"/>
      <c r="Z47" s="699"/>
      <c r="AA47" s="699"/>
      <c r="AB47" s="699"/>
      <c r="AC47" s="699"/>
    </row>
    <row r="48" spans="1:29" ht="15" thickBot="1">
      <c r="A48" s="445" t="s">
        <v>2490</v>
      </c>
      <c r="B48" s="446"/>
      <c r="C48" s="1322">
        <f>R49</f>
        <v>12.6</v>
      </c>
      <c r="D48" s="2538" t="s">
        <v>2881</v>
      </c>
      <c r="E48" s="1323">
        <f>R48</f>
        <v>12.4</v>
      </c>
      <c r="F48" s="2539"/>
      <c r="G48" s="1322">
        <f>T48</f>
        <v>12.5</v>
      </c>
      <c r="H48" s="2539"/>
      <c r="I48" s="1323">
        <f>V48</f>
        <v>13</v>
      </c>
      <c r="J48" s="2539"/>
      <c r="K48" s="2541">
        <f>F48+H48+J48</f>
        <v>0</v>
      </c>
      <c r="L48" s="2951"/>
      <c r="M48" s="2952"/>
      <c r="N48" s="2943"/>
      <c r="O48" s="2952"/>
      <c r="P48" s="3443" t="str">
        <f>A48</f>
        <v>比较价值（元/平方米）</v>
      </c>
      <c r="Q48" s="3443"/>
      <c r="R48" s="3444">
        <f>IF(F1="售价",ROUND(PRODUCT(R47,AA7:AA46),0),ROUND(PRODUCT(R47,AA7:AA46),1))</f>
        <v>12.4</v>
      </c>
      <c r="S48" s="3444"/>
      <c r="T48" s="3444">
        <f>IF(F1="售价",ROUND(PRODUCT(T47,AB7:AB46),0),ROUND(PRODUCT(T47,AB7:AB46),1))</f>
        <v>12.5</v>
      </c>
      <c r="U48" s="3444"/>
      <c r="V48" s="3444">
        <f>IF(F1="售价",ROUND(PRODUCT(V47,AC7:AC46),0),ROUND(PRODUCT(V47,AC7:AC46),1))</f>
        <v>13</v>
      </c>
      <c r="W48" s="3444"/>
      <c r="X48" s="699"/>
      <c r="Y48" s="699"/>
      <c r="Z48" s="699"/>
      <c r="AA48" s="699"/>
      <c r="AB48" s="699"/>
      <c r="AC48" s="699"/>
    </row>
    <row r="49" spans="1:29" ht="15" thickBot="1">
      <c r="A49" s="449" t="s">
        <v>2491</v>
      </c>
      <c r="B49" s="450"/>
      <c r="C49" s="1325">
        <f>R49</f>
        <v>12.6</v>
      </c>
      <c r="D49" s="1325"/>
      <c r="E49" s="1325"/>
      <c r="F49" s="1325"/>
      <c r="G49" s="1325"/>
      <c r="H49" s="1325"/>
      <c r="I49" s="1325"/>
      <c r="J49" s="1325"/>
      <c r="K49" s="724"/>
      <c r="L49" s="2951"/>
      <c r="M49" s="2952"/>
      <c r="N49" s="2943"/>
      <c r="O49" s="2952"/>
      <c r="P49" s="3440" t="str">
        <f>A49</f>
        <v>估价对象XX用房的比较价值（楼面单价，元/平方米）</v>
      </c>
      <c r="Q49" s="3441"/>
      <c r="R49" s="3442">
        <f>IF(F1="售价",ROUND(IF(D48="简单平均",AVERAGE(R48:V48),R48*F48+T48*H48+V48*J48),0),ROUND(IF(D48="简单平均",AVERAGE(R48:V48),R48*F48+T48*H48+V48*J48),1))</f>
        <v>12.6</v>
      </c>
      <c r="S49" s="3442"/>
      <c r="T49" s="3442"/>
      <c r="U49" s="3442"/>
      <c r="V49" s="3442"/>
      <c r="W49" s="3442"/>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7.2580645161290258E-2</v>
      </c>
      <c r="F52" s="457" t="str">
        <f>IF(OR(E52&gt;=0.3,E52&lt;=-0.3),"超过30%","")</f>
        <v/>
      </c>
      <c r="G52" s="456">
        <f>IF(G47&lt;G48,G48/G47-1,G47/G48-1)</f>
        <v>4.0000000000000036E-2</v>
      </c>
      <c r="H52" s="457" t="str">
        <f>IF(OR(G52&gt;=0.3,G52&lt;=-0.3),"超过30%","")</f>
        <v/>
      </c>
      <c r="I52" s="456">
        <f>IF(I47&lt;I48,I48/I47-1,I47/I48-1)</f>
        <v>2.3076923076923217E-2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8.0645161290322509E-3</v>
      </c>
      <c r="F53" s="457" t="str">
        <f>IF(OR(E53&gt;=0.2,E53&lt;=-0.2),"超过20%","")</f>
        <v/>
      </c>
      <c r="G53" s="456">
        <f>IF(G48&lt;I48,I48/G48-1,G48/I48-1)</f>
        <v>4.0000000000000036E-2</v>
      </c>
      <c r="H53" s="457" t="str">
        <f>IF(OR(G53&gt;=0.2,G53&lt;=-0.2),"超过20%","")</f>
        <v/>
      </c>
      <c r="I53" s="456">
        <f>IF(I48&lt;E48,E48/I48-1,I48/E48-1)</f>
        <v>4.8387096774193505E-2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2.2"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4.4">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28.8">
      <c r="A61" s="478" t="s">
        <v>2371</v>
      </c>
      <c r="B61" s="467"/>
      <c r="C61" s="479" t="s">
        <v>2473</v>
      </c>
      <c r="D61" s="3138" t="s">
        <v>3233</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4.4"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ht="14.4">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4.4"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 thickTop="1">
      <c r="A67" s="491"/>
      <c r="B67" s="503" t="s">
        <v>2379</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4.4"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4.4"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4.4"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4.4"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4.4"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4.4"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ht="14.4">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4.4"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4.4"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4.4"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4.4"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4.4"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4.4"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4.4"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4.4"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 thickTop="1">
      <c r="A90" s="510"/>
      <c r="B90" s="495" t="str">
        <f>B27</f>
        <v>人流量</v>
      </c>
      <c r="C90" s="3140" t="s">
        <v>3261</v>
      </c>
      <c r="D90" s="3140" t="s">
        <v>3262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4.4"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 thickTop="1">
      <c r="A92" s="491"/>
      <c r="B92" s="495" t="str">
        <f>B28</f>
        <v>楼层</v>
      </c>
      <c r="C92" s="511" t="s">
        <v>3266</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4.4"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4.4"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4.4"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4.4"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4.4"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4.4"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4.4"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ht="14.4">
      <c r="A100" s="484" t="s">
        <v>2384</v>
      </c>
      <c r="B100" s="485" t="s">
        <v>2502</v>
      </c>
      <c r="C100" s="3141" t="s">
        <v>3245</v>
      </c>
      <c r="D100" s="3141" t="s">
        <v>3246</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4.4"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28.2" thickTop="1">
      <c r="A102" s="491"/>
      <c r="B102" s="495" t="s">
        <v>2434</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4.4"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3241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4.4"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3235</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4.4"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4.4"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4.4"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3243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4.4"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4.4"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3235</v>
      </c>
      <c r="D122" s="3140" t="s">
        <v>3257</v>
      </c>
      <c r="E122" s="3140" t="s">
        <v>3258</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4.4"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4.4"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4.4"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4.4"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4.4"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4.4"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4.4"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4.4"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4.4">
      <c r="A4" s="361" t="s">
        <v>2466</v>
      </c>
      <c r="B4" s="362"/>
      <c r="C4" s="3426" t="s">
        <v>2467</v>
      </c>
      <c r="D4" s="3427"/>
      <c r="E4" s="3428" t="s">
        <v>2468</v>
      </c>
      <c r="F4" s="3429"/>
      <c r="G4" s="3426" t="s">
        <v>2469</v>
      </c>
      <c r="H4" s="3427"/>
      <c r="I4" s="3426" t="s">
        <v>2470</v>
      </c>
      <c r="J4" s="3427"/>
      <c r="K4" s="567" t="s">
        <v>2471</v>
      </c>
      <c r="L4" s="2942"/>
      <c r="M4" s="2943"/>
      <c r="N4" s="2943"/>
      <c r="O4" s="2943"/>
      <c r="P4" s="3462" t="s">
        <v>2472</v>
      </c>
      <c r="Q4" s="3463"/>
      <c r="R4" s="3457" t="s">
        <v>2468</v>
      </c>
      <c r="S4" s="3458"/>
      <c r="T4" s="3457" t="s">
        <v>2469</v>
      </c>
      <c r="U4" s="3458"/>
      <c r="V4" s="3466" t="s">
        <v>2470</v>
      </c>
      <c r="W4" s="3466"/>
      <c r="X4" s="2144"/>
      <c r="Y4" s="3457" t="s">
        <v>2472</v>
      </c>
      <c r="Z4" s="3458"/>
      <c r="AA4" s="3456" t="s">
        <v>2468</v>
      </c>
      <c r="AB4" s="3456" t="s">
        <v>2469</v>
      </c>
      <c r="AC4" s="3459" t="s">
        <v>2470</v>
      </c>
    </row>
    <row r="5" spans="1:29">
      <c r="A5" s="364"/>
      <c r="B5" s="365"/>
      <c r="C5" s="3419" t="s">
        <v>2363</v>
      </c>
      <c r="D5" s="3420"/>
      <c r="E5" s="3417" t="s">
        <v>2364</v>
      </c>
      <c r="F5" s="3418"/>
      <c r="G5" s="3419" t="s">
        <v>2365</v>
      </c>
      <c r="H5" s="3420"/>
      <c r="I5" s="3419" t="s">
        <v>2366</v>
      </c>
      <c r="J5" s="3420"/>
      <c r="K5" s="567"/>
      <c r="L5" s="2942"/>
      <c r="M5" s="2943"/>
      <c r="N5" s="2943"/>
      <c r="O5" s="2943"/>
      <c r="P5" s="3464"/>
      <c r="Q5" s="3433"/>
      <c r="R5" s="3415"/>
      <c r="S5" s="3416"/>
      <c r="T5" s="3415"/>
      <c r="U5" s="3416"/>
      <c r="V5" s="3438"/>
      <c r="W5" s="3438"/>
      <c r="X5" s="1539"/>
      <c r="Y5" s="3415"/>
      <c r="Z5" s="3416"/>
      <c r="AA5" s="3409"/>
      <c r="AB5" s="3409"/>
      <c r="AC5" s="3460"/>
    </row>
    <row r="6" spans="1:29" ht="15" thickBot="1">
      <c r="A6" s="366"/>
      <c r="B6" s="367"/>
      <c r="C6" s="3421" t="s">
        <v>2367</v>
      </c>
      <c r="D6" s="3422"/>
      <c r="E6" s="3423" t="s">
        <v>2367</v>
      </c>
      <c r="F6" s="3424"/>
      <c r="G6" s="3421" t="s">
        <v>2367</v>
      </c>
      <c r="H6" s="3422"/>
      <c r="I6" s="3421" t="s">
        <v>2367</v>
      </c>
      <c r="J6" s="3422"/>
      <c r="K6" s="567" t="s">
        <v>2368</v>
      </c>
      <c r="L6" s="2942"/>
      <c r="M6" s="2943"/>
      <c r="N6" s="2943"/>
      <c r="O6" s="2943"/>
      <c r="P6" s="3465"/>
      <c r="Q6" s="3435"/>
      <c r="R6" s="3415"/>
      <c r="S6" s="3416"/>
      <c r="T6" s="3436"/>
      <c r="U6" s="3437"/>
      <c r="V6" s="3438"/>
      <c r="W6" s="3438"/>
      <c r="X6" s="1539"/>
      <c r="Y6" s="3436"/>
      <c r="Z6" s="3437"/>
      <c r="AA6" s="3410"/>
      <c r="AB6" s="3410"/>
      <c r="AC6" s="3461"/>
    </row>
    <row r="7" spans="1:29" s="113" customFormat="1" ht="15" thickBot="1">
      <c r="A7" s="368" t="s">
        <v>2369</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67" t="s">
        <v>2370</v>
      </c>
      <c r="Q7" s="3439"/>
      <c r="R7" s="710" t="s">
        <v>17</v>
      </c>
      <c r="S7" s="711">
        <f t="shared" ref="S7:S15" si="0">F7</f>
        <v>0</v>
      </c>
      <c r="T7" s="710" t="s">
        <v>17</v>
      </c>
      <c r="U7" s="711">
        <f t="shared" ref="U7:U15" si="1">H7</f>
        <v>0</v>
      </c>
      <c r="V7" s="710" t="s">
        <v>17</v>
      </c>
      <c r="W7" s="711">
        <f t="shared" ref="W7:W15" si="2">J7</f>
        <v>0</v>
      </c>
      <c r="X7" s="712"/>
      <c r="Y7" s="3411" t="s">
        <v>2370</v>
      </c>
      <c r="Z7" s="3412"/>
      <c r="AA7" s="713" t="e">
        <f>D7/F7</f>
        <v>#DIV/0!</v>
      </c>
      <c r="AB7" s="713" t="e">
        <f>D7/H7</f>
        <v>#DIV/0!</v>
      </c>
      <c r="AC7" s="2145" t="e">
        <f>D7/J7</f>
        <v>#DIV/0!</v>
      </c>
    </row>
    <row r="8" spans="1:29" s="113" customFormat="1" ht="1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67" t="s">
        <v>2373</v>
      </c>
      <c r="Q8" s="3412"/>
      <c r="R8" s="710" t="s">
        <v>17</v>
      </c>
      <c r="S8" s="711">
        <f t="shared" si="0"/>
        <v>0</v>
      </c>
      <c r="T8" s="710" t="s">
        <v>17</v>
      </c>
      <c r="U8" s="711">
        <f t="shared" si="1"/>
        <v>0</v>
      </c>
      <c r="V8" s="710" t="s">
        <v>17</v>
      </c>
      <c r="W8" s="711">
        <f t="shared" si="2"/>
        <v>0</v>
      </c>
      <c r="X8" s="712"/>
      <c r="Y8" s="3411" t="s">
        <v>2373</v>
      </c>
      <c r="Z8" s="3412"/>
      <c r="AA8" s="713" t="e">
        <f t="shared" ref="AA8:AA47" si="3">D8/F8</f>
        <v>#DIV/0!</v>
      </c>
      <c r="AB8" s="713" t="e">
        <f t="shared" ref="AB8:AB47" si="4">D8/H8</f>
        <v>#DIV/0!</v>
      </c>
      <c r="AC8" s="2145" t="e">
        <f t="shared" ref="AC8:AC47" si="5">D8/J8</f>
        <v>#DIV/0!</v>
      </c>
    </row>
    <row r="9" spans="1:29" s="113" customFormat="1" ht="14.4">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5"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2145">
        <f t="shared" si="5"/>
        <v>1</v>
      </c>
    </row>
    <row r="10" spans="1:29" s="386" customFormat="1" ht="28.8">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5"/>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5"/>
      <c r="Q11" s="1527"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5"/>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5"/>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5"/>
      <c r="Q14" s="1527">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2145">
        <f t="shared" si="5"/>
        <v>1</v>
      </c>
    </row>
    <row r="15" spans="1:29" ht="69">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52" t="s">
        <v>2381</v>
      </c>
      <c r="Q15" s="1536" t="str">
        <f t="shared" si="6"/>
        <v>办公集聚程度</v>
      </c>
      <c r="R15" s="714" t="s">
        <v>17</v>
      </c>
      <c r="S15" s="715">
        <f t="shared" si="0"/>
        <v>100</v>
      </c>
      <c r="T15" s="714" t="s">
        <v>17</v>
      </c>
      <c r="U15" s="715">
        <f t="shared" si="1"/>
        <v>100</v>
      </c>
      <c r="V15" s="714" t="s">
        <v>17</v>
      </c>
      <c r="W15" s="715">
        <f t="shared" si="2"/>
        <v>100</v>
      </c>
      <c r="X15" s="1539"/>
      <c r="Y15" s="344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53"/>
      <c r="Q16" s="1536"/>
      <c r="R16" s="714"/>
      <c r="S16" s="715"/>
      <c r="T16" s="714"/>
      <c r="U16" s="715"/>
      <c r="V16" s="714"/>
      <c r="W16" s="715"/>
      <c r="X16" s="1539"/>
      <c r="Y16" s="3446"/>
      <c r="Z16" s="1540"/>
      <c r="AA16" s="1537">
        <v>1</v>
      </c>
      <c r="AB16" s="1537">
        <v>1</v>
      </c>
      <c r="AC16" s="2148">
        <v>1</v>
      </c>
    </row>
    <row r="17" spans="1:29" ht="82.8">
      <c r="A17" s="387"/>
      <c r="B17" s="587" t="s">
        <v>1945</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53"/>
      <c r="Q17" s="1536" t="str">
        <f>B17</f>
        <v>交通便捷度</v>
      </c>
      <c r="R17" s="714" t="s">
        <v>17</v>
      </c>
      <c r="S17" s="715">
        <f>F17</f>
        <v>100</v>
      </c>
      <c r="T17" s="714" t="s">
        <v>17</v>
      </c>
      <c r="U17" s="715">
        <f>H17</f>
        <v>100</v>
      </c>
      <c r="V17" s="714" t="s">
        <v>17</v>
      </c>
      <c r="W17" s="715">
        <f>J17</f>
        <v>100</v>
      </c>
      <c r="X17" s="1539"/>
      <c r="Y17" s="344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53"/>
      <c r="Q18" s="1536"/>
      <c r="R18" s="714"/>
      <c r="S18" s="715"/>
      <c r="T18" s="714"/>
      <c r="U18" s="715"/>
      <c r="V18" s="714"/>
      <c r="W18" s="715"/>
      <c r="X18" s="1539"/>
      <c r="Y18" s="3446"/>
      <c r="Z18" s="1540"/>
      <c r="AA18" s="1537">
        <v>1</v>
      </c>
      <c r="AB18" s="1537">
        <v>1</v>
      </c>
      <c r="AC18" s="2148">
        <v>1</v>
      </c>
    </row>
    <row r="19" spans="1:29" ht="41.4">
      <c r="A19" s="387"/>
      <c r="B19" s="587" t="s">
        <v>2509</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53"/>
      <c r="Q19" s="1536" t="str">
        <f>B19</f>
        <v>公共配套设施</v>
      </c>
      <c r="R19" s="714" t="s">
        <v>17</v>
      </c>
      <c r="S19" s="715">
        <f>F19</f>
        <v>100</v>
      </c>
      <c r="T19" s="714" t="s">
        <v>17</v>
      </c>
      <c r="U19" s="715">
        <f>H19</f>
        <v>100</v>
      </c>
      <c r="V19" s="714" t="s">
        <v>17</v>
      </c>
      <c r="W19" s="715">
        <f>J19</f>
        <v>100</v>
      </c>
      <c r="X19" s="1539"/>
      <c r="Y19" s="344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53"/>
      <c r="Q20" s="1536"/>
      <c r="R20" s="714"/>
      <c r="S20" s="715"/>
      <c r="T20" s="714"/>
      <c r="U20" s="715"/>
      <c r="V20" s="714"/>
      <c r="W20" s="715"/>
      <c r="X20" s="1539"/>
      <c r="Y20" s="3446"/>
      <c r="Z20" s="1540"/>
      <c r="AA20" s="1537">
        <v>1</v>
      </c>
      <c r="AB20" s="1537">
        <v>1</v>
      </c>
      <c r="AC20" s="2148">
        <v>1</v>
      </c>
    </row>
    <row r="21" spans="1:29" ht="27.6">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53"/>
      <c r="Q21" s="1536" t="str">
        <f>B21</f>
        <v>基础设施水平</v>
      </c>
      <c r="R21" s="714" t="s">
        <v>17</v>
      </c>
      <c r="S21" s="715">
        <f>F21</f>
        <v>100</v>
      </c>
      <c r="T21" s="714" t="s">
        <v>17</v>
      </c>
      <c r="U21" s="715">
        <f>H21</f>
        <v>100</v>
      </c>
      <c r="V21" s="714" t="s">
        <v>17</v>
      </c>
      <c r="W21" s="715">
        <f>J21</f>
        <v>100</v>
      </c>
      <c r="X21" s="1539"/>
      <c r="Y21" s="344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53"/>
      <c r="Q22" s="1536"/>
      <c r="R22" s="714"/>
      <c r="S22" s="715"/>
      <c r="T22" s="714"/>
      <c r="U22" s="715"/>
      <c r="V22" s="714"/>
      <c r="W22" s="715"/>
      <c r="X22" s="1539"/>
      <c r="Y22" s="3446"/>
      <c r="Z22" s="1540"/>
      <c r="AA22" s="1537">
        <v>1</v>
      </c>
      <c r="AB22" s="1537">
        <v>1</v>
      </c>
      <c r="AC22" s="2148">
        <v>1</v>
      </c>
    </row>
    <row r="23" spans="1:29" ht="55.2">
      <c r="A23" s="387"/>
      <c r="B23" s="587" t="s">
        <v>2511</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53"/>
      <c r="Q23" s="1536" t="str">
        <f>B23</f>
        <v>环境质量</v>
      </c>
      <c r="R23" s="714" t="s">
        <v>17</v>
      </c>
      <c r="S23" s="715">
        <f>F23</f>
        <v>100</v>
      </c>
      <c r="T23" s="714" t="s">
        <v>17</v>
      </c>
      <c r="U23" s="715">
        <f>H23</f>
        <v>100</v>
      </c>
      <c r="V23" s="714" t="s">
        <v>17</v>
      </c>
      <c r="W23" s="715">
        <f>J23</f>
        <v>100</v>
      </c>
      <c r="X23" s="1539"/>
      <c r="Y23" s="344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53"/>
      <c r="Q24" s="1536"/>
      <c r="R24" s="714"/>
      <c r="S24" s="715"/>
      <c r="T24" s="714"/>
      <c r="U24" s="715"/>
      <c r="V24" s="714"/>
      <c r="W24" s="715"/>
      <c r="X24" s="1539"/>
      <c r="Y24" s="3446"/>
      <c r="Z24" s="1540"/>
      <c r="AA24" s="1537">
        <v>1</v>
      </c>
      <c r="AB24" s="1537">
        <v>1</v>
      </c>
      <c r="AC24" s="2148">
        <v>1</v>
      </c>
    </row>
    <row r="25" spans="1:29" ht="28.8">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53"/>
      <c r="Q25" s="1536" t="str">
        <f>B25</f>
        <v>毗邻道路的类型与等级</v>
      </c>
      <c r="R25" s="714" t="s">
        <v>17</v>
      </c>
      <c r="S25" s="715">
        <f>F25</f>
        <v>100</v>
      </c>
      <c r="T25" s="714" t="s">
        <v>17</v>
      </c>
      <c r="U25" s="715">
        <f>H25</f>
        <v>100</v>
      </c>
      <c r="V25" s="714" t="s">
        <v>17</v>
      </c>
      <c r="W25" s="715">
        <f>J25</f>
        <v>100</v>
      </c>
      <c r="X25" s="1539"/>
      <c r="Y25" s="344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53"/>
      <c r="Q26" s="1536"/>
      <c r="R26" s="714"/>
      <c r="S26" s="715"/>
      <c r="T26" s="714"/>
      <c r="U26" s="715"/>
      <c r="V26" s="714"/>
      <c r="W26" s="715"/>
      <c r="X26" s="1539"/>
      <c r="Y26" s="344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53"/>
      <c r="Q27" s="1536" t="str">
        <f t="shared" ref="Q27:Q47" si="11">B27</f>
        <v>楼层</v>
      </c>
      <c r="R27" s="714" t="s">
        <v>17</v>
      </c>
      <c r="S27" s="715">
        <f>F27</f>
        <v>100</v>
      </c>
      <c r="T27" s="714" t="s">
        <v>17</v>
      </c>
      <c r="U27" s="715">
        <f>H27</f>
        <v>100</v>
      </c>
      <c r="V27" s="714" t="s">
        <v>17</v>
      </c>
      <c r="W27" s="715">
        <f>J27</f>
        <v>100</v>
      </c>
      <c r="X27" s="1539"/>
      <c r="Y27" s="344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53"/>
      <c r="Q28" s="1527" t="str">
        <f t="shared" si="11"/>
        <v>朝向</v>
      </c>
      <c r="R28" s="710" t="s">
        <v>17</v>
      </c>
      <c r="S28" s="711">
        <f>F28</f>
        <v>100</v>
      </c>
      <c r="T28" s="710" t="s">
        <v>17</v>
      </c>
      <c r="U28" s="711">
        <f>H28</f>
        <v>100</v>
      </c>
      <c r="V28" s="710" t="s">
        <v>17</v>
      </c>
      <c r="W28" s="711">
        <f>J28</f>
        <v>100</v>
      </c>
      <c r="X28" s="712"/>
      <c r="Y28" s="344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53"/>
      <c r="Q29" s="1536">
        <f t="shared" si="11"/>
        <v>111</v>
      </c>
      <c r="R29" s="714" t="s">
        <v>17</v>
      </c>
      <c r="S29" s="715">
        <f t="shared" ref="S29:S47" si="12">F29</f>
        <v>100</v>
      </c>
      <c r="T29" s="714" t="s">
        <v>17</v>
      </c>
      <c r="U29" s="715">
        <f t="shared" ref="U29:U47" si="13">H29</f>
        <v>100</v>
      </c>
      <c r="V29" s="714" t="s">
        <v>17</v>
      </c>
      <c r="W29" s="715">
        <f t="shared" ref="W29:W47" si="14">J29</f>
        <v>100</v>
      </c>
      <c r="X29" s="1539"/>
      <c r="Y29" s="344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53"/>
      <c r="Q30" s="1536">
        <f t="shared" si="11"/>
        <v>111</v>
      </c>
      <c r="R30" s="714" t="s">
        <v>17</v>
      </c>
      <c r="S30" s="715">
        <f t="shared" si="12"/>
        <v>100</v>
      </c>
      <c r="T30" s="714" t="s">
        <v>17</v>
      </c>
      <c r="U30" s="715">
        <f t="shared" si="13"/>
        <v>100</v>
      </c>
      <c r="V30" s="714" t="s">
        <v>17</v>
      </c>
      <c r="W30" s="715">
        <f t="shared" si="14"/>
        <v>100</v>
      </c>
      <c r="X30" s="1539"/>
      <c r="Y30" s="344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53"/>
      <c r="Q31" s="1536">
        <f t="shared" si="11"/>
        <v>111</v>
      </c>
      <c r="R31" s="714" t="s">
        <v>17</v>
      </c>
      <c r="S31" s="715">
        <f t="shared" si="12"/>
        <v>100</v>
      </c>
      <c r="T31" s="714" t="s">
        <v>17</v>
      </c>
      <c r="U31" s="715">
        <f t="shared" si="13"/>
        <v>100</v>
      </c>
      <c r="V31" s="714" t="s">
        <v>17</v>
      </c>
      <c r="W31" s="715">
        <f t="shared" si="14"/>
        <v>100</v>
      </c>
      <c r="X31" s="1539"/>
      <c r="Y31" s="3446"/>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53"/>
      <c r="Q32" s="1536">
        <f t="shared" si="11"/>
        <v>111</v>
      </c>
      <c r="R32" s="714" t="s">
        <v>17</v>
      </c>
      <c r="S32" s="715">
        <f t="shared" si="12"/>
        <v>100</v>
      </c>
      <c r="T32" s="714" t="s">
        <v>17</v>
      </c>
      <c r="U32" s="715">
        <f t="shared" si="13"/>
        <v>100</v>
      </c>
      <c r="V32" s="714" t="s">
        <v>17</v>
      </c>
      <c r="W32" s="715">
        <f t="shared" si="14"/>
        <v>100</v>
      </c>
      <c r="X32" s="1539"/>
      <c r="Y32" s="344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47" t="s">
        <v>2386</v>
      </c>
      <c r="Q33" s="1536" t="str">
        <f t="shared" si="11"/>
        <v>建筑类型</v>
      </c>
      <c r="R33" s="714" t="s">
        <v>17</v>
      </c>
      <c r="S33" s="715">
        <f t="shared" si="12"/>
        <v>100</v>
      </c>
      <c r="T33" s="714" t="s">
        <v>17</v>
      </c>
      <c r="U33" s="715">
        <f t="shared" si="13"/>
        <v>100</v>
      </c>
      <c r="V33" s="714" t="s">
        <v>17</v>
      </c>
      <c r="W33" s="715">
        <f t="shared" si="14"/>
        <v>100</v>
      </c>
      <c r="X33" s="1539"/>
      <c r="Y33" s="345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48"/>
      <c r="Q34" s="716" t="str">
        <f t="shared" si="11"/>
        <v>项目建筑规模</v>
      </c>
      <c r="R34" s="717" t="s">
        <v>17</v>
      </c>
      <c r="S34" s="718" t="e">
        <f t="shared" si="12"/>
        <v>#N/A</v>
      </c>
      <c r="T34" s="717" t="s">
        <v>17</v>
      </c>
      <c r="U34" s="718" t="e">
        <f t="shared" si="13"/>
        <v>#N/A</v>
      </c>
      <c r="V34" s="717" t="s">
        <v>17</v>
      </c>
      <c r="W34" s="718" t="e">
        <f t="shared" si="14"/>
        <v>#N/A</v>
      </c>
      <c r="X34" s="719"/>
      <c r="Y34" s="345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48"/>
      <c r="Q35" s="1536" t="str">
        <f t="shared" si="11"/>
        <v>建筑结构</v>
      </c>
      <c r="R35" s="714" t="s">
        <v>17</v>
      </c>
      <c r="S35" s="715">
        <f t="shared" si="12"/>
        <v>100</v>
      </c>
      <c r="T35" s="714" t="s">
        <v>17</v>
      </c>
      <c r="U35" s="715">
        <f t="shared" si="13"/>
        <v>100</v>
      </c>
      <c r="V35" s="714" t="s">
        <v>17</v>
      </c>
      <c r="W35" s="715">
        <f t="shared" si="14"/>
        <v>100</v>
      </c>
      <c r="X35" s="1539"/>
      <c r="Y35" s="345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48"/>
      <c r="Q36" s="1536" t="str">
        <f t="shared" si="11"/>
        <v>公共部分装修</v>
      </c>
      <c r="R36" s="714" t="s">
        <v>17</v>
      </c>
      <c r="S36" s="715">
        <f t="shared" si="12"/>
        <v>100</v>
      </c>
      <c r="T36" s="714" t="s">
        <v>17</v>
      </c>
      <c r="U36" s="715">
        <f t="shared" si="13"/>
        <v>100</v>
      </c>
      <c r="V36" s="714" t="s">
        <v>17</v>
      </c>
      <c r="W36" s="715">
        <f t="shared" si="14"/>
        <v>100</v>
      </c>
      <c r="X36" s="1539"/>
      <c r="Y36" s="345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48"/>
      <c r="Q37" s="1536" t="str">
        <f t="shared" si="11"/>
        <v>成新度</v>
      </c>
      <c r="R37" s="714" t="s">
        <v>17</v>
      </c>
      <c r="S37" s="715" t="e">
        <f t="shared" si="12"/>
        <v>#N/A</v>
      </c>
      <c r="T37" s="714" t="s">
        <v>17</v>
      </c>
      <c r="U37" s="715" t="e">
        <f t="shared" si="13"/>
        <v>#N/A</v>
      </c>
      <c r="V37" s="714" t="s">
        <v>17</v>
      </c>
      <c r="W37" s="715" t="e">
        <f t="shared" si="14"/>
        <v>#N/A</v>
      </c>
      <c r="X37" s="1539"/>
      <c r="Y37" s="345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48"/>
      <c r="Q38" s="1527" t="str">
        <f t="shared" si="11"/>
        <v>写字楼等级</v>
      </c>
      <c r="R38" s="710" t="s">
        <v>17</v>
      </c>
      <c r="S38" s="711">
        <f t="shared" si="12"/>
        <v>100</v>
      </c>
      <c r="T38" s="710" t="s">
        <v>17</v>
      </c>
      <c r="U38" s="711">
        <f t="shared" si="13"/>
        <v>100</v>
      </c>
      <c r="V38" s="710" t="s">
        <v>17</v>
      </c>
      <c r="W38" s="711">
        <f t="shared" si="14"/>
        <v>100</v>
      </c>
      <c r="X38" s="712"/>
      <c r="Y38" s="345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48" t="s">
        <v>2386</v>
      </c>
      <c r="Q39" s="1536" t="str">
        <f t="shared" si="11"/>
        <v>物业管理</v>
      </c>
      <c r="R39" s="714" t="s">
        <v>17</v>
      </c>
      <c r="S39" s="715">
        <f t="shared" si="12"/>
        <v>100</v>
      </c>
      <c r="T39" s="714" t="s">
        <v>17</v>
      </c>
      <c r="U39" s="715">
        <f t="shared" si="13"/>
        <v>100</v>
      </c>
      <c r="V39" s="714" t="s">
        <v>17</v>
      </c>
      <c r="W39" s="715">
        <f t="shared" si="14"/>
        <v>100</v>
      </c>
      <c r="X39" s="1539"/>
      <c r="Y39" s="345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48"/>
      <c r="Q40" s="1536" t="str">
        <f t="shared" si="11"/>
        <v>市政基础设施</v>
      </c>
      <c r="R40" s="714" t="s">
        <v>17</v>
      </c>
      <c r="S40" s="715">
        <f t="shared" si="12"/>
        <v>100</v>
      </c>
      <c r="T40" s="714" t="s">
        <v>17</v>
      </c>
      <c r="U40" s="715">
        <f t="shared" si="13"/>
        <v>100</v>
      </c>
      <c r="V40" s="714" t="s">
        <v>17</v>
      </c>
      <c r="W40" s="715">
        <f t="shared" si="14"/>
        <v>100</v>
      </c>
      <c r="X40" s="1539"/>
      <c r="Y40" s="345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48"/>
      <c r="Q41" s="1536" t="str">
        <f t="shared" si="11"/>
        <v>层高</v>
      </c>
      <c r="R41" s="714" t="s">
        <v>17</v>
      </c>
      <c r="S41" s="715">
        <f t="shared" si="12"/>
        <v>100</v>
      </c>
      <c r="T41" s="714" t="s">
        <v>17</v>
      </c>
      <c r="U41" s="715">
        <f t="shared" si="13"/>
        <v>100</v>
      </c>
      <c r="V41" s="714" t="s">
        <v>17</v>
      </c>
      <c r="W41" s="715">
        <f t="shared" si="14"/>
        <v>100</v>
      </c>
      <c r="X41" s="1539"/>
      <c r="Y41" s="345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48"/>
      <c r="Q42" s="716" t="str">
        <f t="shared" si="11"/>
        <v>单套建筑面积</v>
      </c>
      <c r="R42" s="717" t="s">
        <v>17</v>
      </c>
      <c r="S42" s="718">
        <f t="shared" si="12"/>
        <v>100</v>
      </c>
      <c r="T42" s="717" t="s">
        <v>17</v>
      </c>
      <c r="U42" s="718">
        <f t="shared" si="13"/>
        <v>100</v>
      </c>
      <c r="V42" s="717" t="s">
        <v>17</v>
      </c>
      <c r="W42" s="718">
        <f t="shared" si="14"/>
        <v>100</v>
      </c>
      <c r="X42" s="719"/>
      <c r="Y42" s="345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48"/>
      <c r="Q43" s="1536" t="str">
        <f t="shared" si="11"/>
        <v>内部装修</v>
      </c>
      <c r="R43" s="714" t="s">
        <v>17</v>
      </c>
      <c r="S43" s="715">
        <f t="shared" si="12"/>
        <v>100</v>
      </c>
      <c r="T43" s="714" t="s">
        <v>17</v>
      </c>
      <c r="U43" s="715">
        <f t="shared" si="13"/>
        <v>100</v>
      </c>
      <c r="V43" s="714" t="s">
        <v>17</v>
      </c>
      <c r="W43" s="715">
        <f t="shared" si="14"/>
        <v>100</v>
      </c>
      <c r="X43" s="1539"/>
      <c r="Y43" s="3450"/>
      <c r="Z43" s="1540" t="str">
        <f t="shared" si="15"/>
        <v>内部装修</v>
      </c>
      <c r="AA43" s="1537">
        <f t="shared" si="3"/>
        <v>1</v>
      </c>
      <c r="AB43" s="1537">
        <f t="shared" si="4"/>
        <v>1</v>
      </c>
      <c r="AC43" s="2148">
        <f t="shared" si="5"/>
        <v>1</v>
      </c>
    </row>
    <row r="44" spans="1:29" ht="28.8">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48"/>
      <c r="Q44" s="1536" t="str">
        <f t="shared" si="11"/>
        <v>内部装修维护情况</v>
      </c>
      <c r="R44" s="714" t="s">
        <v>17</v>
      </c>
      <c r="S44" s="715">
        <f t="shared" si="12"/>
        <v>100</v>
      </c>
      <c r="T44" s="714" t="s">
        <v>17</v>
      </c>
      <c r="U44" s="715">
        <f t="shared" si="13"/>
        <v>100</v>
      </c>
      <c r="V44" s="714" t="s">
        <v>17</v>
      </c>
      <c r="W44" s="715">
        <f t="shared" si="14"/>
        <v>100</v>
      </c>
      <c r="X44" s="1539"/>
      <c r="Y44" s="345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48"/>
      <c r="Q45" s="1527">
        <f t="shared" si="11"/>
        <v>111</v>
      </c>
      <c r="R45" s="710" t="s">
        <v>17</v>
      </c>
      <c r="S45" s="711">
        <f t="shared" si="12"/>
        <v>100</v>
      </c>
      <c r="T45" s="710" t="s">
        <v>17</v>
      </c>
      <c r="U45" s="711">
        <f t="shared" si="13"/>
        <v>100</v>
      </c>
      <c r="V45" s="710" t="s">
        <v>17</v>
      </c>
      <c r="W45" s="711">
        <f t="shared" si="14"/>
        <v>100</v>
      </c>
      <c r="X45" s="712"/>
      <c r="Y45" s="345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48"/>
      <c r="Q46" s="1536">
        <f t="shared" si="11"/>
        <v>111</v>
      </c>
      <c r="R46" s="714" t="s">
        <v>17</v>
      </c>
      <c r="S46" s="715">
        <f t="shared" si="12"/>
        <v>100</v>
      </c>
      <c r="T46" s="714" t="s">
        <v>17</v>
      </c>
      <c r="U46" s="715">
        <f t="shared" si="13"/>
        <v>100</v>
      </c>
      <c r="V46" s="714" t="s">
        <v>17</v>
      </c>
      <c r="W46" s="715">
        <f t="shared" si="14"/>
        <v>100</v>
      </c>
      <c r="X46" s="1539"/>
      <c r="Y46" s="3450"/>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49"/>
      <c r="Q47" s="1536">
        <f t="shared" si="11"/>
        <v>111</v>
      </c>
      <c r="R47" s="714" t="s">
        <v>17</v>
      </c>
      <c r="S47" s="715">
        <f t="shared" si="12"/>
        <v>100</v>
      </c>
      <c r="T47" s="714" t="s">
        <v>17</v>
      </c>
      <c r="U47" s="715">
        <f t="shared" si="13"/>
        <v>100</v>
      </c>
      <c r="V47" s="714" t="s">
        <v>17</v>
      </c>
      <c r="W47" s="715">
        <f t="shared" si="14"/>
        <v>100</v>
      </c>
      <c r="X47" s="1539"/>
      <c r="Y47" s="3451"/>
      <c r="Z47" s="1540">
        <f t="shared" si="15"/>
        <v>111</v>
      </c>
      <c r="AA47" s="1537">
        <f t="shared" si="3"/>
        <v>1</v>
      </c>
      <c r="AB47" s="1537">
        <f t="shared" si="4"/>
        <v>1</v>
      </c>
      <c r="AC47" s="2148">
        <f t="shared" si="5"/>
        <v>1</v>
      </c>
    </row>
    <row r="48" spans="1:29" ht="14.4">
      <c r="A48" s="438" t="s">
        <v>2398</v>
      </c>
      <c r="B48" s="439"/>
      <c r="C48" s="1316" t="s">
        <v>1</v>
      </c>
      <c r="D48" s="1317"/>
      <c r="E48" s="1318"/>
      <c r="F48" s="1319"/>
      <c r="G48" s="1320"/>
      <c r="H48" s="1321"/>
      <c r="I48" s="1318"/>
      <c r="J48" s="444"/>
      <c r="K48" s="723"/>
      <c r="L48" s="2951"/>
      <c r="M48" s="2943"/>
      <c r="N48" s="2943"/>
      <c r="O48" s="2943"/>
      <c r="P48" s="3425" t="str">
        <f>A48</f>
        <v>成交单价（元/平方米）</v>
      </c>
      <c r="Q48" s="3443"/>
      <c r="R48" s="3444">
        <f>E48</f>
        <v>0</v>
      </c>
      <c r="S48" s="3444"/>
      <c r="T48" s="3444">
        <f>G48</f>
        <v>0</v>
      </c>
      <c r="U48" s="3444"/>
      <c r="V48" s="3444">
        <f>I48</f>
        <v>0</v>
      </c>
      <c r="W48" s="3444"/>
      <c r="X48" s="405"/>
      <c r="Y48" s="721"/>
      <c r="Z48" s="405"/>
      <c r="AA48" s="405"/>
      <c r="AB48" s="405"/>
      <c r="AC48" s="586"/>
    </row>
    <row r="49" spans="1:29" ht="1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425"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405"/>
      <c r="Y49" s="405"/>
      <c r="Z49" s="405"/>
      <c r="AA49" s="405"/>
      <c r="AB49" s="405"/>
      <c r="AC49" s="586"/>
    </row>
    <row r="50" spans="1:29" ht="15" thickBot="1">
      <c r="A50" s="449" t="s">
        <v>2491</v>
      </c>
      <c r="B50" s="450"/>
      <c r="C50" s="1325" t="e">
        <f>R50</f>
        <v>#DIV/0!</v>
      </c>
      <c r="D50" s="1325"/>
      <c r="E50" s="1325"/>
      <c r="F50" s="1325"/>
      <c r="G50" s="1325"/>
      <c r="H50" s="1325"/>
      <c r="I50" s="1325"/>
      <c r="J50" s="451"/>
      <c r="K50" s="724"/>
      <c r="L50" s="2951"/>
      <c r="M50" s="2943"/>
      <c r="N50" s="2943"/>
      <c r="O50" s="2943"/>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2.2"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4.4">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4.4">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4.4"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ht="14.4">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4.4"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4.4"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4.4"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4.4"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4.4"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4.4"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4.4"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ht="14.4">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9.4"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4.4"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4.4"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4.4"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4.4"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4.4"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4.4"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4.4"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4.4"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ht="14.4">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4.4"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4.4"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4.4"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4.4"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4.4"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4.4"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4.4"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4.4"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受贵公司委托，我公司对北京市房地产市场价值进行了预评估。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7.399999999999999">
      <c r="A14" s="1670" t="s">
        <v>1583</v>
      </c>
    </row>
    <row r="15" spans="1:1" ht="17.399999999999999">
      <c r="A15" s="1671" t="str">
        <f>TEXT(项目基本情况!D3,"yyyy年m月d日;;")&amp;IF(项目基本情况!D3=项目基本情况!B3,"（评估专业人员实地查勘之日）","")</f>
        <v>2021年5月25日（评估专业人员实地查勘之日）</v>
      </c>
    </row>
    <row r="16" spans="1:1" ht="17.399999999999999">
      <c r="A16" s="1670" t="s">
        <v>1584</v>
      </c>
    </row>
    <row r="17" spans="1:1" ht="69.599999999999994">
      <c r="A17" s="1665" t="s">
        <v>1585</v>
      </c>
    </row>
    <row r="18" spans="1:1" ht="52.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65" t="str">
        <f>IF(项目基本情况!B9="房地产市场价值","——",IF(项目基本情况!E8="房地产抵押价值",定义!C54,IF(项目基本情况!E8="已注销",定义!C55,定义!C56)))</f>
        <v>——</v>
      </c>
    </row>
    <row r="21" spans="1:1" ht="17.399999999999999">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65" t="str">
        <f>IF(项目基本情况!B9="房地产市场价值","——",IF(项目基本情况!E9="——","",定义!C57))</f>
        <v>——</v>
      </c>
    </row>
    <row r="23" spans="1:1" ht="17.399999999999999">
      <c r="A23" s="1670" t="s">
        <v>1574</v>
      </c>
    </row>
    <row r="24" spans="1:1" ht="17.399999999999999">
      <c r="A24" s="1672" t="str">
        <f>"本次评估采用的主估价方法为"&amp;结果表!K4&amp;"和"&amp;结果表!L4&amp;"。"</f>
        <v>本次评估采用的主估价方法为基准地价系数修正法和基准地价系数修正法。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426" t="s">
        <v>2467</v>
      </c>
      <c r="D4" s="3427"/>
      <c r="E4" s="3428" t="s">
        <v>2468</v>
      </c>
      <c r="F4" s="3429"/>
      <c r="G4" s="3426" t="s">
        <v>2469</v>
      </c>
      <c r="H4" s="3427"/>
      <c r="I4" s="3426" t="s">
        <v>2470</v>
      </c>
      <c r="J4" s="3427"/>
      <c r="K4" s="567" t="s">
        <v>2471</v>
      </c>
      <c r="L4" s="1044"/>
      <c r="M4" s="1045"/>
      <c r="N4" s="1045"/>
      <c r="O4" s="1045"/>
      <c r="P4" s="3430" t="s">
        <v>2472</v>
      </c>
      <c r="Q4" s="3431"/>
      <c r="R4" s="3413" t="s">
        <v>2468</v>
      </c>
      <c r="S4" s="3414"/>
      <c r="T4" s="3413" t="s">
        <v>2469</v>
      </c>
      <c r="U4" s="3414"/>
      <c r="V4" s="3438" t="s">
        <v>2470</v>
      </c>
      <c r="W4" s="3438"/>
      <c r="X4" s="1539"/>
      <c r="Y4" s="3413" t="s">
        <v>2472</v>
      </c>
      <c r="Z4" s="3414"/>
      <c r="AA4" s="3408" t="s">
        <v>2468</v>
      </c>
      <c r="AB4" s="3409" t="s">
        <v>2469</v>
      </c>
      <c r="AC4" s="3408" t="s">
        <v>2470</v>
      </c>
    </row>
    <row r="5" spans="1:29">
      <c r="A5" s="364"/>
      <c r="B5" s="365"/>
      <c r="C5" s="3419" t="s">
        <v>2363</v>
      </c>
      <c r="D5" s="3420"/>
      <c r="E5" s="3417" t="s">
        <v>2364</v>
      </c>
      <c r="F5" s="3418"/>
      <c r="G5" s="3419" t="s">
        <v>2365</v>
      </c>
      <c r="H5" s="3420"/>
      <c r="I5" s="3419" t="s">
        <v>2366</v>
      </c>
      <c r="J5" s="3420"/>
      <c r="K5" s="567"/>
      <c r="L5" s="1044"/>
      <c r="M5" s="1045"/>
      <c r="N5" s="1045"/>
      <c r="O5" s="1045"/>
      <c r="P5" s="3432"/>
      <c r="Q5" s="3433"/>
      <c r="R5" s="3415"/>
      <c r="S5" s="3416"/>
      <c r="T5" s="3415"/>
      <c r="U5" s="3416"/>
      <c r="V5" s="3438"/>
      <c r="W5" s="3438"/>
      <c r="X5" s="1539"/>
      <c r="Y5" s="3415"/>
      <c r="Z5" s="3416"/>
      <c r="AA5" s="3409"/>
      <c r="AB5" s="3409"/>
      <c r="AC5" s="3409"/>
    </row>
    <row r="6" spans="1:29" ht="15" thickBot="1">
      <c r="A6" s="366"/>
      <c r="B6" s="367"/>
      <c r="C6" s="3421" t="s">
        <v>2367</v>
      </c>
      <c r="D6" s="3422"/>
      <c r="E6" s="3423" t="s">
        <v>2367</v>
      </c>
      <c r="F6" s="3424"/>
      <c r="G6" s="3421" t="s">
        <v>2367</v>
      </c>
      <c r="H6" s="3422"/>
      <c r="I6" s="3421" t="s">
        <v>2367</v>
      </c>
      <c r="J6" s="3422"/>
      <c r="K6" s="567" t="s">
        <v>2368</v>
      </c>
      <c r="L6" s="1044"/>
      <c r="M6" s="1045"/>
      <c r="N6" s="1045"/>
      <c r="O6" s="1045"/>
      <c r="P6" s="3434"/>
      <c r="Q6" s="3435"/>
      <c r="R6" s="3415"/>
      <c r="S6" s="3416"/>
      <c r="T6" s="3436"/>
      <c r="U6" s="3437"/>
      <c r="V6" s="3438"/>
      <c r="W6" s="3438"/>
      <c r="X6" s="1539"/>
      <c r="Y6" s="3436"/>
      <c r="Z6" s="3437"/>
      <c r="AA6" s="3410"/>
      <c r="AB6" s="3410"/>
      <c r="AC6" s="3410"/>
    </row>
    <row r="7" spans="1:29" s="113" customFormat="1" ht="15" thickBot="1">
      <c r="A7" s="368" t="s">
        <v>2369</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1" t="s">
        <v>2370</v>
      </c>
      <c r="Q7" s="3439"/>
      <c r="R7" s="710" t="s">
        <v>17</v>
      </c>
      <c r="S7" s="711">
        <f t="shared" ref="S7:S15" si="0">F7</f>
        <v>0</v>
      </c>
      <c r="T7" s="710" t="s">
        <v>17</v>
      </c>
      <c r="U7" s="711">
        <f t="shared" ref="U7:U15" si="1">H7</f>
        <v>0</v>
      </c>
      <c r="V7" s="710" t="s">
        <v>17</v>
      </c>
      <c r="W7" s="711">
        <f t="shared" ref="W7:W15" si="2">J7</f>
        <v>0</v>
      </c>
      <c r="X7" s="712"/>
      <c r="Y7" s="3411" t="s">
        <v>2370</v>
      </c>
      <c r="Z7" s="3412"/>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1" t="s">
        <v>2373</v>
      </c>
      <c r="Q8" s="3412"/>
      <c r="R8" s="710" t="s">
        <v>17</v>
      </c>
      <c r="S8" s="711">
        <f t="shared" si="0"/>
        <v>0</v>
      </c>
      <c r="T8" s="710" t="s">
        <v>17</v>
      </c>
      <c r="U8" s="711">
        <f t="shared" si="1"/>
        <v>0</v>
      </c>
      <c r="V8" s="710" t="s">
        <v>17</v>
      </c>
      <c r="W8" s="711">
        <f t="shared" si="2"/>
        <v>0</v>
      </c>
      <c r="X8" s="712"/>
      <c r="Y8" s="3411" t="s">
        <v>2373</v>
      </c>
      <c r="Z8" s="3412"/>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3"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3"/>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3"/>
      <c r="Q11" s="1527"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43"/>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43"/>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43"/>
      <c r="Q14" s="1527">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69">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5" t="s">
        <v>2381</v>
      </c>
      <c r="Q15" s="1536" t="str">
        <f t="shared" si="6"/>
        <v>产业集聚程度</v>
      </c>
      <c r="R15" s="714" t="s">
        <v>17</v>
      </c>
      <c r="S15" s="715">
        <f t="shared" si="0"/>
        <v>100</v>
      </c>
      <c r="T15" s="714" t="s">
        <v>17</v>
      </c>
      <c r="U15" s="715">
        <f t="shared" si="1"/>
        <v>100</v>
      </c>
      <c r="V15" s="714" t="s">
        <v>17</v>
      </c>
      <c r="W15" s="715">
        <f t="shared" si="2"/>
        <v>100</v>
      </c>
      <c r="X15" s="1539"/>
      <c r="Y15" s="344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46"/>
      <c r="Q16" s="1536"/>
      <c r="R16" s="714"/>
      <c r="S16" s="715"/>
      <c r="T16" s="714"/>
      <c r="U16" s="715"/>
      <c r="V16" s="714"/>
      <c r="W16" s="715"/>
      <c r="X16" s="1539"/>
      <c r="Y16" s="3446"/>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6"/>
      <c r="Q17" s="1536" t="str">
        <f>B17</f>
        <v>交通便捷度</v>
      </c>
      <c r="R17" s="714" t="s">
        <v>17</v>
      </c>
      <c r="S17" s="715">
        <f>F17</f>
        <v>100</v>
      </c>
      <c r="T17" s="714" t="s">
        <v>17</v>
      </c>
      <c r="U17" s="715">
        <f>H17</f>
        <v>100</v>
      </c>
      <c r="V17" s="714" t="s">
        <v>17</v>
      </c>
      <c r="W17" s="715">
        <f>J17</f>
        <v>100</v>
      </c>
      <c r="X17" s="1539"/>
      <c r="Y17" s="344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46"/>
      <c r="Q18" s="1536"/>
      <c r="R18" s="714"/>
      <c r="S18" s="715"/>
      <c r="T18" s="714"/>
      <c r="U18" s="715"/>
      <c r="V18" s="714"/>
      <c r="W18" s="715"/>
      <c r="X18" s="1539"/>
      <c r="Y18" s="3446"/>
      <c r="Z18" s="1540"/>
      <c r="AA18" s="1537">
        <v>1</v>
      </c>
      <c r="AB18" s="1537">
        <v>1</v>
      </c>
      <c r="AC18" s="1537">
        <v>1</v>
      </c>
    </row>
    <row r="19" spans="1:29" ht="41.4">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6"/>
      <c r="Q19" s="1536" t="str">
        <f>B19</f>
        <v>公共配套设施</v>
      </c>
      <c r="R19" s="714" t="s">
        <v>17</v>
      </c>
      <c r="S19" s="715">
        <f>F19</f>
        <v>100</v>
      </c>
      <c r="T19" s="714" t="s">
        <v>17</v>
      </c>
      <c r="U19" s="715">
        <f>H19</f>
        <v>100</v>
      </c>
      <c r="V19" s="714" t="s">
        <v>17</v>
      </c>
      <c r="W19" s="715">
        <f>J19</f>
        <v>100</v>
      </c>
      <c r="X19" s="1539"/>
      <c r="Y19" s="344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46"/>
      <c r="Q20" s="1536"/>
      <c r="R20" s="714"/>
      <c r="S20" s="715"/>
      <c r="T20" s="714"/>
      <c r="U20" s="715"/>
      <c r="V20" s="714"/>
      <c r="W20" s="715"/>
      <c r="X20" s="1539"/>
      <c r="Y20" s="3446"/>
      <c r="Z20" s="1540"/>
      <c r="AA20" s="1537">
        <v>1</v>
      </c>
      <c r="AB20" s="1537">
        <v>1</v>
      </c>
      <c r="AC20" s="1537">
        <v>1</v>
      </c>
    </row>
    <row r="21" spans="1:29" ht="41.4">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6"/>
      <c r="Q21" s="1536" t="str">
        <f>B21</f>
        <v>基础设施水平</v>
      </c>
      <c r="R21" s="714" t="s">
        <v>17</v>
      </c>
      <c r="S21" s="715">
        <f>F21</f>
        <v>100</v>
      </c>
      <c r="T21" s="714" t="s">
        <v>17</v>
      </c>
      <c r="U21" s="715">
        <f>H21</f>
        <v>100</v>
      </c>
      <c r="V21" s="714" t="s">
        <v>17</v>
      </c>
      <c r="W21" s="715">
        <f>J21</f>
        <v>100</v>
      </c>
      <c r="X21" s="1539"/>
      <c r="Y21" s="344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46"/>
      <c r="Q22" s="1536"/>
      <c r="R22" s="714"/>
      <c r="S22" s="715"/>
      <c r="T22" s="714"/>
      <c r="U22" s="715"/>
      <c r="V22" s="714"/>
      <c r="W22" s="715"/>
      <c r="X22" s="1539"/>
      <c r="Y22" s="3446"/>
      <c r="Z22" s="1540"/>
      <c r="AA22" s="1537">
        <v>1</v>
      </c>
      <c r="AB22" s="1537">
        <v>1</v>
      </c>
      <c r="AC22" s="1537">
        <v>1</v>
      </c>
    </row>
    <row r="23" spans="1:29" ht="82.8">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6"/>
      <c r="Q23" s="1536" t="str">
        <f>B23</f>
        <v>环境质量</v>
      </c>
      <c r="R23" s="714" t="s">
        <v>17</v>
      </c>
      <c r="S23" s="715">
        <f>F23</f>
        <v>100</v>
      </c>
      <c r="T23" s="714" t="s">
        <v>17</v>
      </c>
      <c r="U23" s="715">
        <f>H23</f>
        <v>100</v>
      </c>
      <c r="V23" s="714" t="s">
        <v>17</v>
      </c>
      <c r="W23" s="715">
        <f>J23</f>
        <v>100</v>
      </c>
      <c r="X23" s="1539"/>
      <c r="Y23" s="344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46"/>
      <c r="Q24" s="1536"/>
      <c r="R24" s="714"/>
      <c r="S24" s="715"/>
      <c r="T24" s="714"/>
      <c r="U24" s="715"/>
      <c r="V24" s="714"/>
      <c r="W24" s="715"/>
      <c r="X24" s="1539"/>
      <c r="Y24" s="344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6"/>
      <c r="Q25" s="1536">
        <f>B25</f>
        <v>111</v>
      </c>
      <c r="R25" s="714" t="s">
        <v>17</v>
      </c>
      <c r="S25" s="715">
        <f>F25</f>
        <v>100</v>
      </c>
      <c r="T25" s="714" t="s">
        <v>17</v>
      </c>
      <c r="U25" s="715">
        <f>H25</f>
        <v>100</v>
      </c>
      <c r="V25" s="714" t="s">
        <v>17</v>
      </c>
      <c r="W25" s="715">
        <f>J25</f>
        <v>100</v>
      </c>
      <c r="X25" s="1539"/>
      <c r="Y25" s="344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6"/>
      <c r="Q26" s="1536">
        <f t="shared" ref="Q26:Q40" si="11">B26</f>
        <v>111</v>
      </c>
      <c r="R26" s="714" t="s">
        <v>17</v>
      </c>
      <c r="S26" s="715">
        <f>F26</f>
        <v>100</v>
      </c>
      <c r="T26" s="714" t="s">
        <v>17</v>
      </c>
      <c r="U26" s="715">
        <f>H26</f>
        <v>100</v>
      </c>
      <c r="V26" s="714" t="s">
        <v>17</v>
      </c>
      <c r="W26" s="715">
        <f>J26</f>
        <v>100</v>
      </c>
      <c r="X26" s="1539"/>
      <c r="Y26" s="344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6"/>
      <c r="Q27" s="1527">
        <f t="shared" si="11"/>
        <v>111</v>
      </c>
      <c r="R27" s="710" t="s">
        <v>17</v>
      </c>
      <c r="S27" s="711">
        <f>F27</f>
        <v>100</v>
      </c>
      <c r="T27" s="710" t="s">
        <v>17</v>
      </c>
      <c r="U27" s="711">
        <f>H27</f>
        <v>100</v>
      </c>
      <c r="V27" s="710" t="s">
        <v>17</v>
      </c>
      <c r="W27" s="711">
        <f>J27</f>
        <v>100</v>
      </c>
      <c r="X27" s="712"/>
      <c r="Y27" s="3446"/>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6"/>
      <c r="Q28" s="1536">
        <f t="shared" si="11"/>
        <v>111</v>
      </c>
      <c r="R28" s="714" t="s">
        <v>17</v>
      </c>
      <c r="S28" s="715">
        <f t="shared" ref="S28:S40" si="12">F28</f>
        <v>100</v>
      </c>
      <c r="T28" s="714" t="s">
        <v>17</v>
      </c>
      <c r="U28" s="715">
        <f t="shared" ref="U28:U40" si="13">H28</f>
        <v>100</v>
      </c>
      <c r="V28" s="714" t="s">
        <v>17</v>
      </c>
      <c r="W28" s="715">
        <f t="shared" ref="W28:W40" si="14">J28</f>
        <v>100</v>
      </c>
      <c r="X28" s="1539"/>
      <c r="Y28" s="3446"/>
      <c r="Z28" s="1540">
        <f t="shared" ref="Z28:Z40" si="15">Q28</f>
        <v>111</v>
      </c>
      <c r="AA28" s="1537">
        <f t="shared" si="3"/>
        <v>1</v>
      </c>
      <c r="AB28" s="1537">
        <f t="shared" si="4"/>
        <v>1</v>
      </c>
      <c r="AC28" s="1537">
        <f t="shared" si="5"/>
        <v>1</v>
      </c>
    </row>
    <row r="29" spans="1:29" ht="30">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1" t="s">
        <v>2386</v>
      </c>
      <c r="Q29" s="1536" t="str">
        <f t="shared" si="11"/>
        <v>建筑类型</v>
      </c>
      <c r="R29" s="714" t="s">
        <v>17</v>
      </c>
      <c r="S29" s="715">
        <f t="shared" si="12"/>
        <v>100</v>
      </c>
      <c r="T29" s="714" t="s">
        <v>17</v>
      </c>
      <c r="U29" s="715">
        <f t="shared" si="13"/>
        <v>100</v>
      </c>
      <c r="V29" s="714" t="s">
        <v>17</v>
      </c>
      <c r="W29" s="715">
        <f t="shared" si="14"/>
        <v>100</v>
      </c>
      <c r="X29" s="1539"/>
      <c r="Y29" s="345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0"/>
      <c r="Q30" s="716" t="str">
        <f t="shared" si="11"/>
        <v>项目建筑规模</v>
      </c>
      <c r="R30" s="717" t="s">
        <v>17</v>
      </c>
      <c r="S30" s="718" t="e">
        <f t="shared" si="12"/>
        <v>#N/A</v>
      </c>
      <c r="T30" s="717" t="s">
        <v>17</v>
      </c>
      <c r="U30" s="718" t="e">
        <f t="shared" si="13"/>
        <v>#N/A</v>
      </c>
      <c r="V30" s="717" t="s">
        <v>17</v>
      </c>
      <c r="W30" s="718" t="e">
        <f t="shared" si="14"/>
        <v>#N/A</v>
      </c>
      <c r="X30" s="719"/>
      <c r="Y30" s="345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0"/>
      <c r="Q31" s="1536" t="str">
        <f t="shared" si="11"/>
        <v>建筑结构</v>
      </c>
      <c r="R31" s="714" t="s">
        <v>17</v>
      </c>
      <c r="S31" s="715">
        <f t="shared" si="12"/>
        <v>100</v>
      </c>
      <c r="T31" s="714" t="s">
        <v>17</v>
      </c>
      <c r="U31" s="715">
        <f t="shared" si="13"/>
        <v>100</v>
      </c>
      <c r="V31" s="714" t="s">
        <v>17</v>
      </c>
      <c r="W31" s="715">
        <f t="shared" si="14"/>
        <v>100</v>
      </c>
      <c r="X31" s="1539"/>
      <c r="Y31" s="345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0"/>
      <c r="Q32" s="1536" t="str">
        <f t="shared" si="11"/>
        <v>公共部分装修</v>
      </c>
      <c r="R32" s="714" t="s">
        <v>17</v>
      </c>
      <c r="S32" s="715">
        <f t="shared" si="12"/>
        <v>100</v>
      </c>
      <c r="T32" s="714" t="s">
        <v>17</v>
      </c>
      <c r="U32" s="715">
        <f t="shared" si="13"/>
        <v>100</v>
      </c>
      <c r="V32" s="714" t="s">
        <v>17</v>
      </c>
      <c r="W32" s="715">
        <f t="shared" si="14"/>
        <v>100</v>
      </c>
      <c r="X32" s="1539"/>
      <c r="Y32" s="345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0"/>
      <c r="Q33" s="1536" t="str">
        <f t="shared" si="11"/>
        <v>成新度</v>
      </c>
      <c r="R33" s="714" t="s">
        <v>17</v>
      </c>
      <c r="S33" s="715" t="e">
        <f t="shared" si="12"/>
        <v>#N/A</v>
      </c>
      <c r="T33" s="714" t="s">
        <v>17</v>
      </c>
      <c r="U33" s="715" t="e">
        <f t="shared" si="13"/>
        <v>#N/A</v>
      </c>
      <c r="V33" s="714" t="s">
        <v>17</v>
      </c>
      <c r="W33" s="715" t="e">
        <f t="shared" si="14"/>
        <v>#N/A</v>
      </c>
      <c r="X33" s="1539"/>
      <c r="Y33" s="345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0"/>
      <c r="Q34" s="1527" t="str">
        <f t="shared" si="11"/>
        <v>物业管理</v>
      </c>
      <c r="R34" s="710" t="s">
        <v>17</v>
      </c>
      <c r="S34" s="711">
        <f t="shared" si="12"/>
        <v>100</v>
      </c>
      <c r="T34" s="710" t="s">
        <v>17</v>
      </c>
      <c r="U34" s="711">
        <f t="shared" si="13"/>
        <v>100</v>
      </c>
      <c r="V34" s="710" t="s">
        <v>17</v>
      </c>
      <c r="W34" s="711">
        <f t="shared" si="14"/>
        <v>100</v>
      </c>
      <c r="X34" s="712"/>
      <c r="Y34" s="345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0" t="s">
        <v>2386</v>
      </c>
      <c r="Q35" s="1536" t="str">
        <f t="shared" si="11"/>
        <v>市政基础设施</v>
      </c>
      <c r="R35" s="714" t="s">
        <v>17</v>
      </c>
      <c r="S35" s="715">
        <f t="shared" si="12"/>
        <v>100</v>
      </c>
      <c r="T35" s="714" t="s">
        <v>17</v>
      </c>
      <c r="U35" s="715">
        <f t="shared" si="13"/>
        <v>100</v>
      </c>
      <c r="V35" s="714" t="s">
        <v>17</v>
      </c>
      <c r="W35" s="715">
        <f t="shared" si="14"/>
        <v>100</v>
      </c>
      <c r="X35" s="1539"/>
      <c r="Y35" s="345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0"/>
      <c r="Q36" s="1536" t="str">
        <f t="shared" si="11"/>
        <v>内部装修</v>
      </c>
      <c r="R36" s="714" t="s">
        <v>17</v>
      </c>
      <c r="S36" s="715">
        <f t="shared" si="12"/>
        <v>100</v>
      </c>
      <c r="T36" s="714" t="s">
        <v>17</v>
      </c>
      <c r="U36" s="715">
        <f t="shared" si="13"/>
        <v>100</v>
      </c>
      <c r="V36" s="714" t="s">
        <v>17</v>
      </c>
      <c r="W36" s="715">
        <f t="shared" si="14"/>
        <v>100</v>
      </c>
      <c r="X36" s="1539"/>
      <c r="Y36" s="345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0"/>
      <c r="Q37" s="1536" t="str">
        <f t="shared" si="11"/>
        <v>内部装修状况</v>
      </c>
      <c r="R37" s="714" t="s">
        <v>17</v>
      </c>
      <c r="S37" s="715">
        <f t="shared" si="12"/>
        <v>100</v>
      </c>
      <c r="T37" s="714" t="s">
        <v>17</v>
      </c>
      <c r="U37" s="715">
        <f t="shared" si="13"/>
        <v>100</v>
      </c>
      <c r="V37" s="714" t="s">
        <v>17</v>
      </c>
      <c r="W37" s="715">
        <f t="shared" si="14"/>
        <v>100</v>
      </c>
      <c r="X37" s="1539"/>
      <c r="Y37" s="345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0"/>
      <c r="Q38" s="716">
        <f t="shared" si="11"/>
        <v>111</v>
      </c>
      <c r="R38" s="717" t="s">
        <v>17</v>
      </c>
      <c r="S38" s="718">
        <f t="shared" si="12"/>
        <v>100</v>
      </c>
      <c r="T38" s="717" t="s">
        <v>17</v>
      </c>
      <c r="U38" s="718">
        <f t="shared" si="13"/>
        <v>100</v>
      </c>
      <c r="V38" s="717" t="s">
        <v>17</v>
      </c>
      <c r="W38" s="718">
        <f t="shared" si="14"/>
        <v>100</v>
      </c>
      <c r="X38" s="719"/>
      <c r="Y38" s="345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0"/>
      <c r="Q39" s="1536">
        <f t="shared" si="11"/>
        <v>111</v>
      </c>
      <c r="R39" s="714" t="s">
        <v>17</v>
      </c>
      <c r="S39" s="715">
        <f t="shared" si="12"/>
        <v>100</v>
      </c>
      <c r="T39" s="714" t="s">
        <v>17</v>
      </c>
      <c r="U39" s="715">
        <f t="shared" si="13"/>
        <v>100</v>
      </c>
      <c r="V39" s="714" t="s">
        <v>17</v>
      </c>
      <c r="W39" s="715">
        <f t="shared" si="14"/>
        <v>100</v>
      </c>
      <c r="X39" s="1539"/>
      <c r="Y39" s="3450"/>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1"/>
      <c r="Q40" s="1536">
        <f t="shared" si="11"/>
        <v>111</v>
      </c>
      <c r="R40" s="714" t="s">
        <v>17</v>
      </c>
      <c r="S40" s="715">
        <f t="shared" si="12"/>
        <v>100</v>
      </c>
      <c r="T40" s="714" t="s">
        <v>17</v>
      </c>
      <c r="U40" s="715">
        <f t="shared" si="13"/>
        <v>100</v>
      </c>
      <c r="V40" s="714" t="s">
        <v>17</v>
      </c>
      <c r="W40" s="715">
        <f t="shared" si="14"/>
        <v>100</v>
      </c>
      <c r="X40" s="1539"/>
      <c r="Y40" s="3451"/>
      <c r="Z40" s="1540">
        <f t="shared" si="15"/>
        <v>111</v>
      </c>
      <c r="AA40" s="1537">
        <f t="shared" si="3"/>
        <v>1</v>
      </c>
      <c r="AB40" s="1537">
        <f t="shared" si="4"/>
        <v>1</v>
      </c>
      <c r="AC40" s="1537">
        <f t="shared" si="5"/>
        <v>1</v>
      </c>
    </row>
    <row r="41" spans="1:29" ht="14.4">
      <c r="A41" s="438" t="s">
        <v>2398</v>
      </c>
      <c r="B41" s="439"/>
      <c r="C41" s="1316" t="s">
        <v>1</v>
      </c>
      <c r="D41" s="1317"/>
      <c r="E41" s="1318"/>
      <c r="F41" s="1319"/>
      <c r="G41" s="1320"/>
      <c r="H41" s="1321"/>
      <c r="I41" s="1318"/>
      <c r="J41" s="1321"/>
      <c r="K41" s="723"/>
      <c r="L41" s="1057"/>
      <c r="M41" s="1058"/>
      <c r="N41" s="1045"/>
      <c r="O41" s="1058"/>
      <c r="P41" s="3443" t="str">
        <f>A41</f>
        <v>成交单价（元/平方米）</v>
      </c>
      <c r="Q41" s="3443"/>
      <c r="R41" s="3444">
        <f>E41</f>
        <v>0</v>
      </c>
      <c r="S41" s="3444"/>
      <c r="T41" s="3444">
        <f>G41</f>
        <v>0</v>
      </c>
      <c r="U41" s="3444"/>
      <c r="V41" s="3444">
        <f>I41</f>
        <v>0</v>
      </c>
      <c r="W41" s="3444"/>
      <c r="X41" s="699"/>
      <c r="Y41" s="721"/>
      <c r="Z41" s="699"/>
      <c r="AA41" s="699"/>
      <c r="AB41" s="699"/>
      <c r="AC41" s="699"/>
    </row>
    <row r="42" spans="1:29" ht="1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7"/>
      <c r="O54" s="2998"/>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4.4">
      <c r="A4" s="361" t="s">
        <v>2466</v>
      </c>
      <c r="B4" s="362"/>
      <c r="C4" s="3426" t="s">
        <v>2467</v>
      </c>
      <c r="D4" s="3427"/>
      <c r="E4" s="3428" t="s">
        <v>2468</v>
      </c>
      <c r="F4" s="3429"/>
      <c r="G4" s="3426" t="s">
        <v>2469</v>
      </c>
      <c r="H4" s="3427"/>
      <c r="I4" s="3426" t="s">
        <v>2470</v>
      </c>
      <c r="J4" s="3427"/>
      <c r="K4" s="567" t="s">
        <v>2471</v>
      </c>
      <c r="L4" s="2942"/>
      <c r="M4" s="2943"/>
      <c r="N4" s="2943"/>
      <c r="O4" s="2943"/>
      <c r="P4" s="3430" t="s">
        <v>2472</v>
      </c>
      <c r="Q4" s="3431"/>
      <c r="R4" s="3413" t="s">
        <v>2468</v>
      </c>
      <c r="S4" s="3414"/>
      <c r="T4" s="3413" t="s">
        <v>2469</v>
      </c>
      <c r="U4" s="3414"/>
      <c r="V4" s="3438" t="s">
        <v>2470</v>
      </c>
      <c r="W4" s="3438"/>
      <c r="X4" s="1539"/>
      <c r="Y4" s="3413" t="s">
        <v>2472</v>
      </c>
      <c r="Z4" s="3414"/>
      <c r="AA4" s="3408" t="s">
        <v>2468</v>
      </c>
      <c r="AB4" s="3409" t="s">
        <v>2469</v>
      </c>
      <c r="AC4" s="3408" t="s">
        <v>2470</v>
      </c>
    </row>
    <row r="5" spans="1:29">
      <c r="A5" s="364"/>
      <c r="B5" s="365"/>
      <c r="C5" s="3419" t="s">
        <v>2363</v>
      </c>
      <c r="D5" s="3420"/>
      <c r="E5" s="3417" t="s">
        <v>2364</v>
      </c>
      <c r="F5" s="3418"/>
      <c r="G5" s="3419" t="s">
        <v>2365</v>
      </c>
      <c r="H5" s="3420"/>
      <c r="I5" s="3419" t="s">
        <v>2366</v>
      </c>
      <c r="J5" s="3420"/>
      <c r="K5" s="567"/>
      <c r="L5" s="2942"/>
      <c r="M5" s="2943"/>
      <c r="N5" s="2943"/>
      <c r="O5" s="2943"/>
      <c r="P5" s="3432"/>
      <c r="Q5" s="3433"/>
      <c r="R5" s="3415"/>
      <c r="S5" s="3416"/>
      <c r="T5" s="3415"/>
      <c r="U5" s="3416"/>
      <c r="V5" s="3438"/>
      <c r="W5" s="3438"/>
      <c r="X5" s="1539"/>
      <c r="Y5" s="3415"/>
      <c r="Z5" s="3416"/>
      <c r="AA5" s="3409"/>
      <c r="AB5" s="3409"/>
      <c r="AC5" s="3409"/>
    </row>
    <row r="6" spans="1:29" ht="15" thickBot="1">
      <c r="A6" s="366"/>
      <c r="B6" s="367"/>
      <c r="C6" s="3421" t="s">
        <v>2367</v>
      </c>
      <c r="D6" s="3422"/>
      <c r="E6" s="3423" t="s">
        <v>2367</v>
      </c>
      <c r="F6" s="3424"/>
      <c r="G6" s="3421" t="s">
        <v>2367</v>
      </c>
      <c r="H6" s="3422"/>
      <c r="I6" s="3421" t="s">
        <v>2367</v>
      </c>
      <c r="J6" s="3422"/>
      <c r="K6" s="567" t="s">
        <v>2368</v>
      </c>
      <c r="L6" s="2942"/>
      <c r="M6" s="2943"/>
      <c r="N6" s="2943"/>
      <c r="O6" s="2943"/>
      <c r="P6" s="3434"/>
      <c r="Q6" s="3435"/>
      <c r="R6" s="3415"/>
      <c r="S6" s="3416"/>
      <c r="T6" s="3436"/>
      <c r="U6" s="3437"/>
      <c r="V6" s="3438"/>
      <c r="W6" s="3438"/>
      <c r="X6" s="1539"/>
      <c r="Y6" s="3436"/>
      <c r="Z6" s="3437"/>
      <c r="AA6" s="3410"/>
      <c r="AB6" s="3410"/>
      <c r="AC6" s="3410"/>
    </row>
    <row r="7" spans="1:29" s="113" customFormat="1" ht="15" thickBot="1">
      <c r="A7" s="368" t="s">
        <v>2369</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11" t="s">
        <v>2370</v>
      </c>
      <c r="Q7" s="3439"/>
      <c r="R7" s="710" t="s">
        <v>17</v>
      </c>
      <c r="S7" s="711">
        <f t="shared" ref="S7:S14" si="0">F7</f>
        <v>0</v>
      </c>
      <c r="T7" s="710" t="s">
        <v>17</v>
      </c>
      <c r="U7" s="711">
        <f t="shared" ref="U7:U14" si="1">H7</f>
        <v>0</v>
      </c>
      <c r="V7" s="710" t="s">
        <v>17</v>
      </c>
      <c r="W7" s="711">
        <f t="shared" ref="W7:W14" si="2">J7</f>
        <v>0</v>
      </c>
      <c r="X7" s="712"/>
      <c r="Y7" s="3411" t="s">
        <v>2370</v>
      </c>
      <c r="Z7" s="3412"/>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11" t="s">
        <v>2373</v>
      </c>
      <c r="Q8" s="3412"/>
      <c r="R8" s="710" t="s">
        <v>17</v>
      </c>
      <c r="S8" s="711">
        <f t="shared" si="0"/>
        <v>0</v>
      </c>
      <c r="T8" s="710" t="s">
        <v>17</v>
      </c>
      <c r="U8" s="711">
        <f t="shared" si="1"/>
        <v>0</v>
      </c>
      <c r="V8" s="710" t="s">
        <v>17</v>
      </c>
      <c r="W8" s="711">
        <f t="shared" si="2"/>
        <v>0</v>
      </c>
      <c r="X8" s="712"/>
      <c r="Y8" s="3411" t="s">
        <v>2373</v>
      </c>
      <c r="Z8" s="3412"/>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43" t="s">
        <v>2376</v>
      </c>
      <c r="Q9" s="1527" t="str">
        <f t="shared" ref="Q9:Q14" si="6">B9</f>
        <v>用途</v>
      </c>
      <c r="R9" s="710" t="s">
        <v>17</v>
      </c>
      <c r="S9" s="711">
        <f t="shared" si="0"/>
        <v>100</v>
      </c>
      <c r="T9" s="710" t="s">
        <v>17</v>
      </c>
      <c r="U9" s="711">
        <f t="shared" si="1"/>
        <v>100</v>
      </c>
      <c r="V9" s="710" t="s">
        <v>17</v>
      </c>
      <c r="W9" s="711">
        <f t="shared" si="2"/>
        <v>100</v>
      </c>
      <c r="X9" s="712"/>
      <c r="Y9" s="3308"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43"/>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43"/>
      <c r="Q11" s="1527">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43"/>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43"/>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96.6">
      <c r="A14" s="361" t="s">
        <v>2380</v>
      </c>
      <c r="B14" s="58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45" t="s">
        <v>2381</v>
      </c>
      <c r="Q14" s="1536" t="str">
        <f t="shared" si="6"/>
        <v>交通便捷度</v>
      </c>
      <c r="R14" s="714" t="s">
        <v>17</v>
      </c>
      <c r="S14" s="715">
        <f t="shared" si="0"/>
        <v>100</v>
      </c>
      <c r="T14" s="714" t="s">
        <v>17</v>
      </c>
      <c r="U14" s="715">
        <f t="shared" si="1"/>
        <v>100</v>
      </c>
      <c r="V14" s="714" t="s">
        <v>17</v>
      </c>
      <c r="W14" s="715">
        <f t="shared" si="2"/>
        <v>100</v>
      </c>
      <c r="X14" s="1539"/>
      <c r="Y14" s="344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46"/>
      <c r="Q15" s="1536"/>
      <c r="R15" s="714"/>
      <c r="S15" s="715"/>
      <c r="T15" s="714"/>
      <c r="U15" s="715"/>
      <c r="V15" s="714"/>
      <c r="W15" s="715"/>
      <c r="X15" s="1539"/>
      <c r="Y15" s="3446"/>
      <c r="Z15" s="1540"/>
      <c r="AA15" s="1537">
        <v>1</v>
      </c>
      <c r="AB15" s="1537">
        <v>1</v>
      </c>
      <c r="AC15" s="1537">
        <v>1</v>
      </c>
    </row>
    <row r="16" spans="1:29" ht="41.4">
      <c r="A16" s="364"/>
      <c r="B16" s="587"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46"/>
      <c r="Q16" s="1536" t="str">
        <f>B16</f>
        <v>公共配套设施</v>
      </c>
      <c r="R16" s="714" t="s">
        <v>17</v>
      </c>
      <c r="S16" s="715">
        <f>F16</f>
        <v>100</v>
      </c>
      <c r="T16" s="714" t="s">
        <v>17</v>
      </c>
      <c r="U16" s="715">
        <f>H16</f>
        <v>100</v>
      </c>
      <c r="V16" s="714" t="s">
        <v>17</v>
      </c>
      <c r="W16" s="715">
        <f>J16</f>
        <v>100</v>
      </c>
      <c r="X16" s="1539"/>
      <c r="Y16" s="344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46"/>
      <c r="Q17" s="1536"/>
      <c r="R17" s="714"/>
      <c r="S17" s="715"/>
      <c r="T17" s="714"/>
      <c r="U17" s="715"/>
      <c r="V17" s="714"/>
      <c r="W17" s="715"/>
      <c r="X17" s="1539"/>
      <c r="Y17" s="3446"/>
      <c r="Z17" s="1540"/>
      <c r="AA17" s="1537">
        <v>1</v>
      </c>
      <c r="AB17" s="1537">
        <v>1</v>
      </c>
      <c r="AC17" s="1537">
        <v>1</v>
      </c>
    </row>
    <row r="18" spans="1:29" ht="41.4">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46"/>
      <c r="Q18" s="1536" t="str">
        <f>B18</f>
        <v>基础设施水平</v>
      </c>
      <c r="R18" s="714" t="s">
        <v>17</v>
      </c>
      <c r="S18" s="715">
        <f>F18</f>
        <v>100</v>
      </c>
      <c r="T18" s="714" t="s">
        <v>17</v>
      </c>
      <c r="U18" s="715">
        <f>H18</f>
        <v>100</v>
      </c>
      <c r="V18" s="714" t="s">
        <v>17</v>
      </c>
      <c r="W18" s="715">
        <f>J18</f>
        <v>100</v>
      </c>
      <c r="X18" s="1539"/>
      <c r="Y18" s="344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46"/>
      <c r="Q19" s="1536"/>
      <c r="R19" s="714"/>
      <c r="S19" s="715"/>
      <c r="T19" s="714"/>
      <c r="U19" s="715"/>
      <c r="V19" s="714"/>
      <c r="W19" s="715"/>
      <c r="X19" s="1539"/>
      <c r="Y19" s="3446"/>
      <c r="Z19" s="1540"/>
      <c r="AA19" s="1537">
        <v>1</v>
      </c>
      <c r="AB19" s="1537">
        <v>1</v>
      </c>
      <c r="AC19" s="1537">
        <v>1</v>
      </c>
    </row>
    <row r="20" spans="1:29" ht="55.2">
      <c r="A20" s="364"/>
      <c r="B20" s="587"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46"/>
      <c r="Q20" s="1536" t="str">
        <f>B20</f>
        <v>自然及人文环境</v>
      </c>
      <c r="R20" s="714" t="s">
        <v>17</v>
      </c>
      <c r="S20" s="715">
        <f>F20</f>
        <v>100</v>
      </c>
      <c r="T20" s="714" t="s">
        <v>17</v>
      </c>
      <c r="U20" s="715">
        <f>H20</f>
        <v>100</v>
      </c>
      <c r="V20" s="714" t="s">
        <v>17</v>
      </c>
      <c r="W20" s="715">
        <f>J20</f>
        <v>100</v>
      </c>
      <c r="X20" s="1539"/>
      <c r="Y20" s="344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46"/>
      <c r="Q21" s="1536"/>
      <c r="R21" s="714"/>
      <c r="S21" s="715"/>
      <c r="T21" s="714"/>
      <c r="U21" s="715"/>
      <c r="V21" s="714"/>
      <c r="W21" s="715"/>
      <c r="X21" s="1539"/>
      <c r="Y21" s="344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46"/>
      <c r="Q22" s="1536" t="str">
        <f>B22</f>
        <v>楼层</v>
      </c>
      <c r="R22" s="714" t="s">
        <v>17</v>
      </c>
      <c r="S22" s="715">
        <f>F22</f>
        <v>100</v>
      </c>
      <c r="T22" s="714" t="s">
        <v>17</v>
      </c>
      <c r="U22" s="715">
        <f>H22</f>
        <v>100</v>
      </c>
      <c r="V22" s="714" t="s">
        <v>17</v>
      </c>
      <c r="W22" s="715">
        <f>J22</f>
        <v>100</v>
      </c>
      <c r="X22" s="1539"/>
      <c r="Y22" s="344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46"/>
      <c r="Q23" s="1536">
        <f>B23</f>
        <v>111</v>
      </c>
      <c r="R23" s="714" t="s">
        <v>17</v>
      </c>
      <c r="S23" s="715">
        <f>F23</f>
        <v>100</v>
      </c>
      <c r="T23" s="714" t="s">
        <v>17</v>
      </c>
      <c r="U23" s="715">
        <f>H23</f>
        <v>100</v>
      </c>
      <c r="V23" s="714" t="s">
        <v>17</v>
      </c>
      <c r="W23" s="715">
        <f>J23</f>
        <v>100</v>
      </c>
      <c r="X23" s="1539"/>
      <c r="Y23" s="344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46"/>
      <c r="Q24" s="1536">
        <f t="shared" ref="Q24:Q36" si="11">B24</f>
        <v>111</v>
      </c>
      <c r="R24" s="714" t="s">
        <v>17</v>
      </c>
      <c r="S24" s="715">
        <f>F24</f>
        <v>100</v>
      </c>
      <c r="T24" s="714" t="s">
        <v>17</v>
      </c>
      <c r="U24" s="715">
        <f>H24</f>
        <v>100</v>
      </c>
      <c r="V24" s="714" t="s">
        <v>17</v>
      </c>
      <c r="W24" s="715">
        <f>J24</f>
        <v>100</v>
      </c>
      <c r="X24" s="1539"/>
      <c r="Y24" s="3446"/>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46"/>
      <c r="Q25" s="1527">
        <f t="shared" si="11"/>
        <v>111</v>
      </c>
      <c r="R25" s="710" t="s">
        <v>17</v>
      </c>
      <c r="S25" s="711">
        <f>F25</f>
        <v>100</v>
      </c>
      <c r="T25" s="710" t="s">
        <v>17</v>
      </c>
      <c r="U25" s="711">
        <f>H25</f>
        <v>100</v>
      </c>
      <c r="V25" s="710" t="s">
        <v>17</v>
      </c>
      <c r="W25" s="711">
        <f>J25</f>
        <v>100</v>
      </c>
      <c r="X25" s="712"/>
      <c r="Y25" s="3446"/>
      <c r="Z25" s="55">
        <f>Q25</f>
        <v>111</v>
      </c>
      <c r="AA25" s="1537">
        <f>D25/F25</f>
        <v>1</v>
      </c>
      <c r="AB25" s="1537">
        <f>D25/H25</f>
        <v>1</v>
      </c>
      <c r="AC25" s="1537">
        <f>D25/J25</f>
        <v>1</v>
      </c>
    </row>
    <row r="26" spans="1:29" ht="30">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5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50"/>
      <c r="Q27" s="716" t="str">
        <f t="shared" si="11"/>
        <v>项目停车位配比</v>
      </c>
      <c r="R27" s="717" t="s">
        <v>17</v>
      </c>
      <c r="S27" s="718">
        <f t="shared" si="12"/>
        <v>100</v>
      </c>
      <c r="T27" s="717" t="s">
        <v>17</v>
      </c>
      <c r="U27" s="718">
        <f t="shared" si="13"/>
        <v>100</v>
      </c>
      <c r="V27" s="717" t="s">
        <v>17</v>
      </c>
      <c r="W27" s="718">
        <f t="shared" si="14"/>
        <v>100</v>
      </c>
      <c r="X27" s="719"/>
      <c r="Y27" s="345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50"/>
      <c r="Q28" s="1536" t="str">
        <f t="shared" si="11"/>
        <v>公共部分装修</v>
      </c>
      <c r="R28" s="714" t="s">
        <v>17</v>
      </c>
      <c r="S28" s="715">
        <f t="shared" si="12"/>
        <v>100</v>
      </c>
      <c r="T28" s="714" t="s">
        <v>17</v>
      </c>
      <c r="U28" s="715">
        <f t="shared" si="13"/>
        <v>100</v>
      </c>
      <c r="V28" s="714" t="s">
        <v>17</v>
      </c>
      <c r="W28" s="715">
        <f t="shared" si="14"/>
        <v>100</v>
      </c>
      <c r="X28" s="1539"/>
      <c r="Y28" s="345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50"/>
      <c r="Q29" s="1536" t="str">
        <f t="shared" si="11"/>
        <v>成新率</v>
      </c>
      <c r="R29" s="714" t="s">
        <v>17</v>
      </c>
      <c r="S29" s="715" t="e">
        <f t="shared" si="12"/>
        <v>#N/A</v>
      </c>
      <c r="T29" s="714" t="s">
        <v>17</v>
      </c>
      <c r="U29" s="715" t="e">
        <f t="shared" si="13"/>
        <v>#N/A</v>
      </c>
      <c r="V29" s="714" t="s">
        <v>17</v>
      </c>
      <c r="W29" s="715" t="e">
        <f t="shared" si="14"/>
        <v>#N/A</v>
      </c>
      <c r="X29" s="1539"/>
      <c r="Y29" s="345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50"/>
      <c r="Q30" s="1536" t="str">
        <f t="shared" si="11"/>
        <v>物业等级</v>
      </c>
      <c r="R30" s="714" t="s">
        <v>17</v>
      </c>
      <c r="S30" s="715">
        <f t="shared" si="12"/>
        <v>100</v>
      </c>
      <c r="T30" s="714" t="s">
        <v>17</v>
      </c>
      <c r="U30" s="715">
        <f t="shared" si="13"/>
        <v>100</v>
      </c>
      <c r="V30" s="714" t="s">
        <v>17</v>
      </c>
      <c r="W30" s="715">
        <f t="shared" si="14"/>
        <v>100</v>
      </c>
      <c r="X30" s="1539"/>
      <c r="Y30" s="345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50"/>
      <c r="Q31" s="1527" t="str">
        <f t="shared" si="11"/>
        <v>停车位面积</v>
      </c>
      <c r="R31" s="710" t="s">
        <v>17</v>
      </c>
      <c r="S31" s="711" t="e">
        <f t="shared" si="12"/>
        <v>#N/A</v>
      </c>
      <c r="T31" s="710" t="s">
        <v>17</v>
      </c>
      <c r="U31" s="711" t="e">
        <f t="shared" si="13"/>
        <v>#N/A</v>
      </c>
      <c r="V31" s="710" t="s">
        <v>17</v>
      </c>
      <c r="W31" s="711" t="e">
        <f t="shared" si="14"/>
        <v>#N/A</v>
      </c>
      <c r="X31" s="712"/>
      <c r="Y31" s="345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50" t="s">
        <v>2386</v>
      </c>
      <c r="Q32" s="1536" t="str">
        <f t="shared" si="11"/>
        <v>车位类型</v>
      </c>
      <c r="R32" s="714" t="s">
        <v>17</v>
      </c>
      <c r="S32" s="715">
        <f t="shared" si="12"/>
        <v>100</v>
      </c>
      <c r="T32" s="714" t="s">
        <v>17</v>
      </c>
      <c r="U32" s="715">
        <f t="shared" si="13"/>
        <v>100</v>
      </c>
      <c r="V32" s="714" t="s">
        <v>17</v>
      </c>
      <c r="W32" s="715">
        <f t="shared" si="14"/>
        <v>100</v>
      </c>
      <c r="X32" s="1539"/>
      <c r="Y32" s="345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50"/>
      <c r="Q33" s="1536" t="str">
        <f t="shared" si="11"/>
        <v>是否直接入户</v>
      </c>
      <c r="R33" s="714" t="s">
        <v>17</v>
      </c>
      <c r="S33" s="715">
        <f t="shared" si="12"/>
        <v>100</v>
      </c>
      <c r="T33" s="714" t="s">
        <v>17</v>
      </c>
      <c r="U33" s="715">
        <f t="shared" si="13"/>
        <v>100</v>
      </c>
      <c r="V33" s="714" t="s">
        <v>17</v>
      </c>
      <c r="W33" s="715">
        <f t="shared" si="14"/>
        <v>100</v>
      </c>
      <c r="X33" s="1539"/>
      <c r="Y33" s="345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50"/>
      <c r="Q34" s="1536">
        <f t="shared" si="11"/>
        <v>111</v>
      </c>
      <c r="R34" s="714" t="s">
        <v>17</v>
      </c>
      <c r="S34" s="715">
        <f t="shared" si="12"/>
        <v>100</v>
      </c>
      <c r="T34" s="714" t="s">
        <v>17</v>
      </c>
      <c r="U34" s="715">
        <f t="shared" si="13"/>
        <v>100</v>
      </c>
      <c r="V34" s="714" t="s">
        <v>17</v>
      </c>
      <c r="W34" s="715">
        <f t="shared" si="14"/>
        <v>100</v>
      </c>
      <c r="X34" s="1539"/>
      <c r="Y34" s="345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50"/>
      <c r="Q35" s="716">
        <f t="shared" si="11"/>
        <v>111</v>
      </c>
      <c r="R35" s="717" t="s">
        <v>17</v>
      </c>
      <c r="S35" s="718">
        <f t="shared" si="12"/>
        <v>100</v>
      </c>
      <c r="T35" s="717" t="s">
        <v>17</v>
      </c>
      <c r="U35" s="718">
        <f t="shared" si="13"/>
        <v>100</v>
      </c>
      <c r="V35" s="717" t="s">
        <v>17</v>
      </c>
      <c r="W35" s="718">
        <f t="shared" si="14"/>
        <v>100</v>
      </c>
      <c r="X35" s="719"/>
      <c r="Y35" s="3450"/>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50"/>
      <c r="Q36" s="1536">
        <f t="shared" si="11"/>
        <v>111</v>
      </c>
      <c r="R36" s="714" t="s">
        <v>17</v>
      </c>
      <c r="S36" s="715">
        <f t="shared" si="12"/>
        <v>100</v>
      </c>
      <c r="T36" s="714" t="s">
        <v>17</v>
      </c>
      <c r="U36" s="715">
        <f t="shared" si="13"/>
        <v>100</v>
      </c>
      <c r="V36" s="714" t="s">
        <v>17</v>
      </c>
      <c r="W36" s="715">
        <f t="shared" si="14"/>
        <v>100</v>
      </c>
      <c r="X36" s="1539"/>
      <c r="Y36" s="3450"/>
      <c r="Z36" s="1540">
        <f t="shared" si="15"/>
        <v>111</v>
      </c>
      <c r="AA36" s="1537">
        <f t="shared" si="3"/>
        <v>1</v>
      </c>
      <c r="AB36" s="1537">
        <f t="shared" si="4"/>
        <v>1</v>
      </c>
      <c r="AC36" s="1537">
        <f t="shared" si="5"/>
        <v>1</v>
      </c>
    </row>
    <row r="37" spans="1:29" ht="14.4">
      <c r="A37" s="438" t="s">
        <v>2541</v>
      </c>
      <c r="B37" s="2159" t="s">
        <v>2542</v>
      </c>
      <c r="C37" s="1316" t="s">
        <v>1</v>
      </c>
      <c r="D37" s="1317"/>
      <c r="E37" s="1318"/>
      <c r="F37" s="1319"/>
      <c r="G37" s="1320"/>
      <c r="H37" s="1321"/>
      <c r="I37" s="1318"/>
      <c r="J37" s="1321"/>
      <c r="K37" s="576"/>
      <c r="L37" s="2951"/>
      <c r="M37" s="2952"/>
      <c r="N37" s="2943"/>
      <c r="O37" s="2952"/>
      <c r="P37" s="3443" t="str">
        <f>A37</f>
        <v>成交单价</v>
      </c>
      <c r="Q37" s="3443"/>
      <c r="R37" s="3444">
        <f>E37</f>
        <v>0</v>
      </c>
      <c r="S37" s="3444"/>
      <c r="T37" s="3444">
        <f>G37</f>
        <v>0</v>
      </c>
      <c r="U37" s="3444"/>
      <c r="V37" s="3444">
        <f>I37</f>
        <v>0</v>
      </c>
      <c r="W37" s="3444"/>
      <c r="X37" s="699"/>
      <c r="Y37" s="721"/>
      <c r="Z37" s="699"/>
      <c r="AA37" s="699"/>
      <c r="AB37" s="699"/>
      <c r="AC37" s="699"/>
    </row>
    <row r="38" spans="1:29" ht="1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1"/>
      <c r="M39" s="2952"/>
      <c r="N39" s="2952"/>
      <c r="O39" s="2952"/>
      <c r="P39" s="3440" t="str">
        <f>A39</f>
        <v>估价对象XX用房的比较价值（楼面单价，元/平方米）</v>
      </c>
      <c r="Q39" s="3441"/>
      <c r="R39" s="3472" t="e">
        <f>IF(F1="售价",ROUND(IF(D38="简单平均",AVERAGE(R38:W38),R38*F38+T38*H38+V38*J38),0),ROUND(IF(D38="简单平均",AVERAGE(R38:V38),R38*F38+T38*H38+V38*J38),1))</f>
        <v>#DIV/0!</v>
      </c>
      <c r="S39" s="3472"/>
      <c r="T39" s="3472"/>
      <c r="U39" s="3472"/>
      <c r="V39" s="3472"/>
      <c r="W39" s="3472"/>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2.2"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4.4">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4.4">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4.4"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ht="14.4">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4.4"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4.4"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4.4"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4.4"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4.4"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4.4"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4.4"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4.4"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4.4"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4.4"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4.4"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4.4"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4.4"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9.4"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4.4"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4.4"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4.4"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4.4"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4.4"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4.4"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4.4"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4.4"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4.4"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2466</v>
      </c>
      <c r="B4" s="362"/>
      <c r="C4" s="3426" t="s">
        <v>2467</v>
      </c>
      <c r="D4" s="3427"/>
      <c r="E4" s="3428" t="s">
        <v>2468</v>
      </c>
      <c r="F4" s="3429"/>
      <c r="G4" s="3426" t="s">
        <v>2469</v>
      </c>
      <c r="H4" s="3427"/>
      <c r="I4" s="3426" t="s">
        <v>2470</v>
      </c>
      <c r="J4" s="3427"/>
      <c r="K4" s="567" t="s">
        <v>2471</v>
      </c>
      <c r="L4" s="2942"/>
      <c r="M4" s="2943"/>
      <c r="N4" s="2943"/>
      <c r="O4" s="2943"/>
      <c r="P4" s="3430" t="s">
        <v>2472</v>
      </c>
      <c r="Q4" s="3431"/>
      <c r="R4" s="3413" t="s">
        <v>2468</v>
      </c>
      <c r="S4" s="3414"/>
      <c r="T4" s="3413" t="s">
        <v>2469</v>
      </c>
      <c r="U4" s="3414"/>
      <c r="V4" s="3438" t="s">
        <v>2470</v>
      </c>
      <c r="W4" s="3438"/>
      <c r="X4" s="1539"/>
      <c r="Y4" s="3413" t="s">
        <v>2472</v>
      </c>
      <c r="Z4" s="3414"/>
      <c r="AA4" s="3408" t="s">
        <v>2468</v>
      </c>
      <c r="AB4" s="3409" t="s">
        <v>2469</v>
      </c>
      <c r="AC4" s="3408" t="s">
        <v>2470</v>
      </c>
    </row>
    <row r="5" spans="1:29">
      <c r="A5" s="364"/>
      <c r="B5" s="365"/>
      <c r="C5" s="3419" t="s">
        <v>2363</v>
      </c>
      <c r="D5" s="3420"/>
      <c r="E5" s="3417" t="s">
        <v>2364</v>
      </c>
      <c r="F5" s="3418"/>
      <c r="G5" s="3419" t="s">
        <v>2365</v>
      </c>
      <c r="H5" s="3420"/>
      <c r="I5" s="3419" t="s">
        <v>2366</v>
      </c>
      <c r="J5" s="3420"/>
      <c r="K5" s="567"/>
      <c r="L5" s="2942"/>
      <c r="M5" s="2943"/>
      <c r="N5" s="2943"/>
      <c r="O5" s="2943"/>
      <c r="P5" s="3432"/>
      <c r="Q5" s="3433"/>
      <c r="R5" s="3415"/>
      <c r="S5" s="3416"/>
      <c r="T5" s="3415"/>
      <c r="U5" s="3416"/>
      <c r="V5" s="3438"/>
      <c r="W5" s="3438"/>
      <c r="X5" s="1539"/>
      <c r="Y5" s="3415"/>
      <c r="Z5" s="3416"/>
      <c r="AA5" s="3409"/>
      <c r="AB5" s="3409"/>
      <c r="AC5" s="3409"/>
    </row>
    <row r="6" spans="1:29" ht="15" thickBot="1">
      <c r="A6" s="366"/>
      <c r="B6" s="367"/>
      <c r="C6" s="3421" t="s">
        <v>2367</v>
      </c>
      <c r="D6" s="3422"/>
      <c r="E6" s="3423" t="s">
        <v>2367</v>
      </c>
      <c r="F6" s="3424"/>
      <c r="G6" s="3421" t="s">
        <v>2367</v>
      </c>
      <c r="H6" s="3422"/>
      <c r="I6" s="3421" t="s">
        <v>2367</v>
      </c>
      <c r="J6" s="3422"/>
      <c r="K6" s="567" t="s">
        <v>2368</v>
      </c>
      <c r="L6" s="2942"/>
      <c r="M6" s="2943"/>
      <c r="N6" s="2943"/>
      <c r="O6" s="2943"/>
      <c r="P6" s="3434"/>
      <c r="Q6" s="3435"/>
      <c r="R6" s="3415"/>
      <c r="S6" s="3416"/>
      <c r="T6" s="3436"/>
      <c r="U6" s="3437"/>
      <c r="V6" s="3438"/>
      <c r="W6" s="3438"/>
      <c r="X6" s="1539"/>
      <c r="Y6" s="3436"/>
      <c r="Z6" s="3437"/>
      <c r="AA6" s="3410"/>
      <c r="AB6" s="3410"/>
      <c r="AC6" s="3410"/>
    </row>
    <row r="7" spans="1:29" s="113" customFormat="1" ht="15" thickBot="1">
      <c r="A7" s="368" t="s">
        <v>2369</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11" t="s">
        <v>2370</v>
      </c>
      <c r="Q7" s="3439"/>
      <c r="R7" s="710" t="s">
        <v>17</v>
      </c>
      <c r="S7" s="711">
        <f t="shared" ref="S7:S14" si="0">F7</f>
        <v>0</v>
      </c>
      <c r="T7" s="710" t="s">
        <v>17</v>
      </c>
      <c r="U7" s="711">
        <f t="shared" ref="U7:U14" si="1">H7</f>
        <v>0</v>
      </c>
      <c r="V7" s="710" t="s">
        <v>17</v>
      </c>
      <c r="W7" s="711">
        <f t="shared" ref="W7:W14" si="2">J7</f>
        <v>0</v>
      </c>
      <c r="X7" s="712"/>
      <c r="Y7" s="3411" t="s">
        <v>2370</v>
      </c>
      <c r="Z7" s="3412"/>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11" t="s">
        <v>2373</v>
      </c>
      <c r="Q8" s="3412"/>
      <c r="R8" s="710" t="s">
        <v>17</v>
      </c>
      <c r="S8" s="711">
        <f t="shared" si="0"/>
        <v>0</v>
      </c>
      <c r="T8" s="710" t="s">
        <v>17</v>
      </c>
      <c r="U8" s="711">
        <f t="shared" si="1"/>
        <v>0</v>
      </c>
      <c r="V8" s="710" t="s">
        <v>17</v>
      </c>
      <c r="W8" s="711">
        <f t="shared" si="2"/>
        <v>0</v>
      </c>
      <c r="X8" s="712"/>
      <c r="Y8" s="3411" t="s">
        <v>2373</v>
      </c>
      <c r="Z8" s="3412"/>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43" t="s">
        <v>2376</v>
      </c>
      <c r="Q9" s="1527" t="str">
        <f t="shared" ref="Q9:Q14" si="6">B9</f>
        <v>用途</v>
      </c>
      <c r="R9" s="710" t="s">
        <v>17</v>
      </c>
      <c r="S9" s="711">
        <f t="shared" si="0"/>
        <v>100</v>
      </c>
      <c r="T9" s="710" t="s">
        <v>17</v>
      </c>
      <c r="U9" s="711">
        <f t="shared" si="1"/>
        <v>100</v>
      </c>
      <c r="V9" s="710" t="s">
        <v>17</v>
      </c>
      <c r="W9" s="711">
        <f t="shared" si="2"/>
        <v>100</v>
      </c>
      <c r="X9" s="712"/>
      <c r="Y9" s="3308"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43"/>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43"/>
      <c r="Q11" s="1527">
        <f t="shared" si="6"/>
        <v>111</v>
      </c>
      <c r="R11" s="710" t="s">
        <v>17</v>
      </c>
      <c r="S11" s="711">
        <f t="shared" si="0"/>
        <v>100</v>
      </c>
      <c r="T11" s="710" t="s">
        <v>17</v>
      </c>
      <c r="U11" s="711">
        <f t="shared" si="1"/>
        <v>100</v>
      </c>
      <c r="V11" s="710" t="s">
        <v>17</v>
      </c>
      <c r="W11" s="711">
        <f t="shared" si="2"/>
        <v>100</v>
      </c>
      <c r="X11" s="712"/>
      <c r="Y11" s="330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43"/>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43"/>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96.6">
      <c r="A14" s="399" t="s">
        <v>2380</v>
      </c>
      <c r="B14" s="6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45" t="s">
        <v>2381</v>
      </c>
      <c r="Q14" s="1536" t="str">
        <f t="shared" si="6"/>
        <v>交通便捷度</v>
      </c>
      <c r="R14" s="714" t="s">
        <v>17</v>
      </c>
      <c r="S14" s="715">
        <f t="shared" si="0"/>
        <v>100</v>
      </c>
      <c r="T14" s="714" t="s">
        <v>17</v>
      </c>
      <c r="U14" s="715">
        <f t="shared" si="1"/>
        <v>100</v>
      </c>
      <c r="V14" s="714" t="s">
        <v>17</v>
      </c>
      <c r="W14" s="715">
        <f t="shared" si="2"/>
        <v>100</v>
      </c>
      <c r="X14" s="1539"/>
      <c r="Y14" s="344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46"/>
      <c r="Q15" s="1536"/>
      <c r="R15" s="714"/>
      <c r="S15" s="715"/>
      <c r="T15" s="714"/>
      <c r="U15" s="715"/>
      <c r="V15" s="714"/>
      <c r="W15" s="715"/>
      <c r="X15" s="1539"/>
      <c r="Y15" s="3446"/>
      <c r="Z15" s="1540"/>
      <c r="AA15" s="1537">
        <v>1</v>
      </c>
      <c r="AB15" s="1537">
        <v>1</v>
      </c>
      <c r="AC15" s="1537">
        <v>1</v>
      </c>
    </row>
    <row r="16" spans="1:29" ht="41.4">
      <c r="A16" s="387"/>
      <c r="B16" s="410"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46"/>
      <c r="Q16" s="1536" t="str">
        <f>B16</f>
        <v>公共配套设施</v>
      </c>
      <c r="R16" s="714" t="s">
        <v>17</v>
      </c>
      <c r="S16" s="715">
        <f>F16</f>
        <v>100</v>
      </c>
      <c r="T16" s="714" t="s">
        <v>17</v>
      </c>
      <c r="U16" s="715">
        <f>H16</f>
        <v>100</v>
      </c>
      <c r="V16" s="714" t="s">
        <v>17</v>
      </c>
      <c r="W16" s="715">
        <f>J16</f>
        <v>100</v>
      </c>
      <c r="X16" s="1539"/>
      <c r="Y16" s="344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46"/>
      <c r="Q17" s="1536"/>
      <c r="R17" s="714"/>
      <c r="S17" s="715"/>
      <c r="T17" s="714"/>
      <c r="U17" s="715"/>
      <c r="V17" s="714"/>
      <c r="W17" s="715"/>
      <c r="X17" s="1539"/>
      <c r="Y17" s="3446"/>
      <c r="Z17" s="1540"/>
      <c r="AA17" s="1537">
        <v>1</v>
      </c>
      <c r="AB17" s="1537">
        <v>1</v>
      </c>
      <c r="AC17" s="1537">
        <v>1</v>
      </c>
    </row>
    <row r="18" spans="1:29" ht="41.4">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46"/>
      <c r="Q18" s="1536" t="str">
        <f>B18</f>
        <v>基础设施水平</v>
      </c>
      <c r="R18" s="714" t="s">
        <v>17</v>
      </c>
      <c r="S18" s="715">
        <f>F18</f>
        <v>100</v>
      </c>
      <c r="T18" s="714" t="s">
        <v>17</v>
      </c>
      <c r="U18" s="715">
        <f>H18</f>
        <v>100</v>
      </c>
      <c r="V18" s="714" t="s">
        <v>17</v>
      </c>
      <c r="W18" s="715">
        <f>J18</f>
        <v>100</v>
      </c>
      <c r="X18" s="1539"/>
      <c r="Y18" s="344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46"/>
      <c r="Q19" s="1536"/>
      <c r="R19" s="714"/>
      <c r="S19" s="715"/>
      <c r="T19" s="714"/>
      <c r="U19" s="715"/>
      <c r="V19" s="714"/>
      <c r="W19" s="715"/>
      <c r="X19" s="1539"/>
      <c r="Y19" s="3446"/>
      <c r="Z19" s="1540"/>
      <c r="AA19" s="1537">
        <v>1</v>
      </c>
      <c r="AB19" s="1537">
        <v>1</v>
      </c>
      <c r="AC19" s="1537">
        <v>1</v>
      </c>
    </row>
    <row r="20" spans="1:29" ht="55.2">
      <c r="A20" s="387"/>
      <c r="B20" s="410"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46"/>
      <c r="Q20" s="1536" t="str">
        <f>B20</f>
        <v>自然及人文环境</v>
      </c>
      <c r="R20" s="714" t="s">
        <v>17</v>
      </c>
      <c r="S20" s="715">
        <f>F20</f>
        <v>100</v>
      </c>
      <c r="T20" s="714" t="s">
        <v>17</v>
      </c>
      <c r="U20" s="715">
        <f>H20</f>
        <v>100</v>
      </c>
      <c r="V20" s="714" t="s">
        <v>17</v>
      </c>
      <c r="W20" s="715">
        <f>J20</f>
        <v>100</v>
      </c>
      <c r="X20" s="1539"/>
      <c r="Y20" s="344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46"/>
      <c r="Q21" s="1536"/>
      <c r="R21" s="714"/>
      <c r="S21" s="715"/>
      <c r="T21" s="714"/>
      <c r="U21" s="715"/>
      <c r="V21" s="714"/>
      <c r="W21" s="715"/>
      <c r="X21" s="1539"/>
      <c r="Y21" s="344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46"/>
      <c r="Q22" s="1536" t="str">
        <f>B22</f>
        <v>楼层</v>
      </c>
      <c r="R22" s="714" t="s">
        <v>17</v>
      </c>
      <c r="S22" s="715">
        <f>F22</f>
        <v>100</v>
      </c>
      <c r="T22" s="714" t="s">
        <v>17</v>
      </c>
      <c r="U22" s="715">
        <f>H22</f>
        <v>100</v>
      </c>
      <c r="V22" s="714" t="s">
        <v>17</v>
      </c>
      <c r="W22" s="715">
        <f>J22</f>
        <v>100</v>
      </c>
      <c r="X22" s="1539"/>
      <c r="Y22" s="344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46"/>
      <c r="Q23" s="1536">
        <f>B23</f>
        <v>111</v>
      </c>
      <c r="R23" s="714" t="s">
        <v>17</v>
      </c>
      <c r="S23" s="715">
        <f>F23</f>
        <v>100</v>
      </c>
      <c r="T23" s="714" t="s">
        <v>17</v>
      </c>
      <c r="U23" s="715">
        <f>H23</f>
        <v>100</v>
      </c>
      <c r="V23" s="714" t="s">
        <v>17</v>
      </c>
      <c r="W23" s="715">
        <f>J23</f>
        <v>100</v>
      </c>
      <c r="X23" s="1539"/>
      <c r="Y23" s="344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46"/>
      <c r="Q24" s="1536">
        <f t="shared" ref="Q24:Q34" si="11">B24</f>
        <v>111</v>
      </c>
      <c r="R24" s="714" t="s">
        <v>17</v>
      </c>
      <c r="S24" s="715">
        <f>F24</f>
        <v>100</v>
      </c>
      <c r="T24" s="714" t="s">
        <v>17</v>
      </c>
      <c r="U24" s="715">
        <f>H24</f>
        <v>100</v>
      </c>
      <c r="V24" s="714" t="s">
        <v>17</v>
      </c>
      <c r="W24" s="715">
        <f>J24</f>
        <v>100</v>
      </c>
      <c r="X24" s="1539"/>
      <c r="Y24" s="3446"/>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46"/>
      <c r="Q25" s="1527">
        <f t="shared" si="11"/>
        <v>111</v>
      </c>
      <c r="R25" s="710" t="s">
        <v>17</v>
      </c>
      <c r="S25" s="711">
        <f>F25</f>
        <v>100</v>
      </c>
      <c r="T25" s="710" t="s">
        <v>17</v>
      </c>
      <c r="U25" s="711">
        <f>H25</f>
        <v>100</v>
      </c>
      <c r="V25" s="710" t="s">
        <v>17</v>
      </c>
      <c r="W25" s="711">
        <f>J25</f>
        <v>100</v>
      </c>
      <c r="X25" s="712"/>
      <c r="Y25" s="3446"/>
      <c r="Z25" s="55">
        <f>Q25</f>
        <v>111</v>
      </c>
      <c r="AA25" s="1537">
        <f>D25/F25</f>
        <v>1</v>
      </c>
      <c r="AB25" s="1537">
        <f>D25/H25</f>
        <v>1</v>
      </c>
      <c r="AC25" s="1537">
        <f>D25/J25</f>
        <v>1</v>
      </c>
    </row>
    <row r="26" spans="1:29" ht="30">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5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50"/>
      <c r="Q27" s="716" t="str">
        <f t="shared" si="11"/>
        <v>成新率</v>
      </c>
      <c r="R27" s="717" t="s">
        <v>17</v>
      </c>
      <c r="S27" s="718" t="e">
        <f t="shared" si="12"/>
        <v>#N/A</v>
      </c>
      <c r="T27" s="717" t="s">
        <v>17</v>
      </c>
      <c r="U27" s="718" t="e">
        <f t="shared" si="13"/>
        <v>#N/A</v>
      </c>
      <c r="V27" s="717" t="s">
        <v>17</v>
      </c>
      <c r="W27" s="718" t="e">
        <f t="shared" si="14"/>
        <v>#N/A</v>
      </c>
      <c r="X27" s="719"/>
      <c r="Y27" s="345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50"/>
      <c r="Q28" s="1536" t="str">
        <f t="shared" si="11"/>
        <v>物业等级</v>
      </c>
      <c r="R28" s="714" t="s">
        <v>17</v>
      </c>
      <c r="S28" s="715">
        <f t="shared" si="12"/>
        <v>100</v>
      </c>
      <c r="T28" s="714" t="s">
        <v>17</v>
      </c>
      <c r="U28" s="715">
        <f t="shared" si="13"/>
        <v>100</v>
      </c>
      <c r="V28" s="714" t="s">
        <v>17</v>
      </c>
      <c r="W28" s="715">
        <f t="shared" si="14"/>
        <v>100</v>
      </c>
      <c r="X28" s="1539"/>
      <c r="Y28" s="345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50"/>
      <c r="Q29" s="1536" t="str">
        <f t="shared" si="11"/>
        <v>有无电梯</v>
      </c>
      <c r="R29" s="714" t="s">
        <v>17</v>
      </c>
      <c r="S29" s="715">
        <f t="shared" si="12"/>
        <v>100</v>
      </c>
      <c r="T29" s="714" t="s">
        <v>17</v>
      </c>
      <c r="U29" s="715">
        <f t="shared" si="13"/>
        <v>100</v>
      </c>
      <c r="V29" s="714" t="s">
        <v>17</v>
      </c>
      <c r="W29" s="715">
        <f t="shared" si="14"/>
        <v>100</v>
      </c>
      <c r="X29" s="1539"/>
      <c r="Y29" s="345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50"/>
      <c r="Q30" s="1536" t="str">
        <f t="shared" si="11"/>
        <v>建筑面积</v>
      </c>
      <c r="R30" s="714" t="s">
        <v>17</v>
      </c>
      <c r="S30" s="715" t="e">
        <f t="shared" si="12"/>
        <v>#N/A</v>
      </c>
      <c r="T30" s="714" t="s">
        <v>17</v>
      </c>
      <c r="U30" s="715" t="e">
        <f t="shared" si="13"/>
        <v>#N/A</v>
      </c>
      <c r="V30" s="714" t="s">
        <v>17</v>
      </c>
      <c r="W30" s="715" t="e">
        <f t="shared" si="14"/>
        <v>#N/A</v>
      </c>
      <c r="X30" s="1539"/>
      <c r="Y30" s="345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50"/>
      <c r="Q31" s="1527" t="str">
        <f t="shared" si="11"/>
        <v>是否封闭</v>
      </c>
      <c r="R31" s="710" t="s">
        <v>17</v>
      </c>
      <c r="S31" s="711">
        <f t="shared" si="12"/>
        <v>100</v>
      </c>
      <c r="T31" s="710" t="s">
        <v>17</v>
      </c>
      <c r="U31" s="711">
        <f t="shared" si="13"/>
        <v>100</v>
      </c>
      <c r="V31" s="710" t="s">
        <v>17</v>
      </c>
      <c r="W31" s="711">
        <f t="shared" si="14"/>
        <v>100</v>
      </c>
      <c r="X31" s="712"/>
      <c r="Y31" s="345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50" t="s">
        <v>2386</v>
      </c>
      <c r="Q32" s="1536">
        <f t="shared" si="11"/>
        <v>111</v>
      </c>
      <c r="R32" s="714" t="s">
        <v>17</v>
      </c>
      <c r="S32" s="715">
        <f t="shared" si="12"/>
        <v>100</v>
      </c>
      <c r="T32" s="714" t="s">
        <v>17</v>
      </c>
      <c r="U32" s="715">
        <f t="shared" si="13"/>
        <v>100</v>
      </c>
      <c r="V32" s="714" t="s">
        <v>17</v>
      </c>
      <c r="W32" s="715">
        <f t="shared" si="14"/>
        <v>100</v>
      </c>
      <c r="X32" s="1539"/>
      <c r="Y32" s="345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50"/>
      <c r="Q33" s="1536">
        <f t="shared" si="11"/>
        <v>111</v>
      </c>
      <c r="R33" s="714" t="s">
        <v>17</v>
      </c>
      <c r="S33" s="715">
        <f t="shared" si="12"/>
        <v>100</v>
      </c>
      <c r="T33" s="714" t="s">
        <v>17</v>
      </c>
      <c r="U33" s="715">
        <f t="shared" si="13"/>
        <v>100</v>
      </c>
      <c r="V33" s="714" t="s">
        <v>17</v>
      </c>
      <c r="W33" s="715">
        <f t="shared" si="14"/>
        <v>100</v>
      </c>
      <c r="X33" s="1539"/>
      <c r="Y33" s="3450"/>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50"/>
      <c r="Q34" s="1536">
        <f t="shared" si="11"/>
        <v>111</v>
      </c>
      <c r="R34" s="714" t="s">
        <v>17</v>
      </c>
      <c r="S34" s="715">
        <f t="shared" si="12"/>
        <v>100</v>
      </c>
      <c r="T34" s="714" t="s">
        <v>17</v>
      </c>
      <c r="U34" s="715">
        <f t="shared" si="13"/>
        <v>100</v>
      </c>
      <c r="V34" s="714" t="s">
        <v>17</v>
      </c>
      <c r="W34" s="715">
        <f t="shared" si="14"/>
        <v>100</v>
      </c>
      <c r="X34" s="1539"/>
      <c r="Y34" s="3450"/>
      <c r="Z34" s="1540">
        <f t="shared" si="15"/>
        <v>111</v>
      </c>
      <c r="AA34" s="1537">
        <f t="shared" si="3"/>
        <v>1</v>
      </c>
      <c r="AB34" s="1537">
        <f t="shared" si="4"/>
        <v>1</v>
      </c>
      <c r="AC34" s="1537">
        <f t="shared" si="5"/>
        <v>1</v>
      </c>
    </row>
    <row r="35" spans="1:30" ht="14.4">
      <c r="A35" s="438" t="s">
        <v>2398</v>
      </c>
      <c r="B35" s="439"/>
      <c r="C35" s="1316" t="s">
        <v>1</v>
      </c>
      <c r="D35" s="1317"/>
      <c r="E35" s="1318"/>
      <c r="F35" s="1319"/>
      <c r="G35" s="1320"/>
      <c r="H35" s="1321"/>
      <c r="I35" s="1318"/>
      <c r="J35" s="1321"/>
      <c r="K35" s="723"/>
      <c r="L35" s="2951"/>
      <c r="M35" s="2952"/>
      <c r="N35" s="2943"/>
      <c r="O35" s="2952"/>
      <c r="P35" s="3443" t="str">
        <f>A35</f>
        <v>成交单价（元/平方米）</v>
      </c>
      <c r="Q35" s="3443"/>
      <c r="R35" s="3444">
        <f>E35</f>
        <v>0</v>
      </c>
      <c r="S35" s="3444"/>
      <c r="T35" s="3444">
        <f>G35</f>
        <v>0</v>
      </c>
      <c r="U35" s="3444"/>
      <c r="V35" s="3444">
        <f>I35</f>
        <v>0</v>
      </c>
      <c r="W35" s="3444"/>
      <c r="X35" s="699"/>
      <c r="Y35" s="721"/>
      <c r="Z35" s="699"/>
      <c r="AA35" s="699"/>
      <c r="AB35" s="699"/>
      <c r="AC35" s="699"/>
    </row>
    <row r="36" spans="1:30" ht="1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1"/>
      <c r="M37" s="2952"/>
      <c r="N37" s="2952"/>
      <c r="O37" s="2952"/>
      <c r="P37" s="3440" t="str">
        <f>A37</f>
        <v>估价对象XX用房的比较价值（楼面单价，元/平方米）</v>
      </c>
      <c r="Q37" s="3441"/>
      <c r="R37" s="3472" t="e">
        <f>IF(F1="售价",ROUND(IF(D36="简单平均",AVERAGE(R36:W36),R36*F36+T36*H36+V36*J36),0),ROUND(IF(D36="简单平均",AVERAGE(R36:V36),R36*F36+T36*H36+V36*J36),1))</f>
        <v>#DIV/0!</v>
      </c>
      <c r="S37" s="3472"/>
      <c r="T37" s="3472"/>
      <c r="U37" s="3472"/>
      <c r="V37" s="3472"/>
      <c r="W37" s="3472"/>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2.2"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4.4">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4.4">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4.4"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ht="14.4">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4.4"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4.4"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4.4"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4.4"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4.4"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4.4"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4.4"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9.4"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4.4"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4.4"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4.4"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4.4"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4.4"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4.4"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4.4"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4.4"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4.4"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4.4"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4.4"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4.4"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4.4"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4.4"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4.4"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4.4"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4.4">
      <c r="A4" s="361" t="s">
        <v>2466</v>
      </c>
      <c r="B4" s="362"/>
      <c r="C4" s="3426" t="s">
        <v>2467</v>
      </c>
      <c r="D4" s="3427"/>
      <c r="E4" s="3428" t="s">
        <v>2468</v>
      </c>
      <c r="F4" s="3429"/>
      <c r="G4" s="3426" t="s">
        <v>2469</v>
      </c>
      <c r="H4" s="3427"/>
      <c r="I4" s="3426" t="s">
        <v>2470</v>
      </c>
      <c r="J4" s="3427"/>
      <c r="K4" s="567" t="s">
        <v>2471</v>
      </c>
      <c r="L4" s="2942"/>
      <c r="M4" s="2943"/>
      <c r="N4" s="2943"/>
      <c r="O4" s="2943"/>
      <c r="P4" s="3430" t="s">
        <v>2472</v>
      </c>
      <c r="Q4" s="3431"/>
      <c r="R4" s="3413" t="s">
        <v>2468</v>
      </c>
      <c r="S4" s="3414"/>
      <c r="T4" s="3413" t="s">
        <v>2469</v>
      </c>
      <c r="U4" s="3414"/>
      <c r="V4" s="3438" t="s">
        <v>2470</v>
      </c>
      <c r="W4" s="3438"/>
      <c r="X4" s="1539"/>
      <c r="Y4" s="3413" t="s">
        <v>2472</v>
      </c>
      <c r="Z4" s="3414"/>
      <c r="AA4" s="3408" t="s">
        <v>2468</v>
      </c>
      <c r="AB4" s="3409" t="s">
        <v>2469</v>
      </c>
      <c r="AC4" s="3408" t="s">
        <v>2470</v>
      </c>
    </row>
    <row r="5" spans="1:30">
      <c r="A5" s="364"/>
      <c r="B5" s="365"/>
      <c r="C5" s="3419" t="s">
        <v>2363</v>
      </c>
      <c r="D5" s="3420"/>
      <c r="E5" s="3417" t="s">
        <v>2364</v>
      </c>
      <c r="F5" s="3418"/>
      <c r="G5" s="3419" t="s">
        <v>2365</v>
      </c>
      <c r="H5" s="3420"/>
      <c r="I5" s="3419" t="s">
        <v>2366</v>
      </c>
      <c r="J5" s="3420"/>
      <c r="K5" s="567"/>
      <c r="L5" s="2942"/>
      <c r="M5" s="2943"/>
      <c r="N5" s="2943"/>
      <c r="O5" s="2943"/>
      <c r="P5" s="3432"/>
      <c r="Q5" s="3433"/>
      <c r="R5" s="3415"/>
      <c r="S5" s="3416"/>
      <c r="T5" s="3415"/>
      <c r="U5" s="3416"/>
      <c r="V5" s="3438"/>
      <c r="W5" s="3438"/>
      <c r="X5" s="1539"/>
      <c r="Y5" s="3415"/>
      <c r="Z5" s="3416"/>
      <c r="AA5" s="3409"/>
      <c r="AB5" s="3409"/>
      <c r="AC5" s="3409"/>
    </row>
    <row r="6" spans="1:30" ht="15" thickBot="1">
      <c r="A6" s="366"/>
      <c r="B6" s="367"/>
      <c r="C6" s="3421" t="s">
        <v>2367</v>
      </c>
      <c r="D6" s="3422"/>
      <c r="E6" s="3423" t="s">
        <v>2367</v>
      </c>
      <c r="F6" s="3424"/>
      <c r="G6" s="3421" t="s">
        <v>2367</v>
      </c>
      <c r="H6" s="3422"/>
      <c r="I6" s="3421" t="s">
        <v>2367</v>
      </c>
      <c r="J6" s="3422"/>
      <c r="K6" s="567" t="s">
        <v>2368</v>
      </c>
      <c r="L6" s="2942"/>
      <c r="M6" s="2943"/>
      <c r="N6" s="2943"/>
      <c r="O6" s="2943"/>
      <c r="P6" s="3434"/>
      <c r="Q6" s="3435"/>
      <c r="R6" s="3415"/>
      <c r="S6" s="3416"/>
      <c r="T6" s="3436"/>
      <c r="U6" s="3437"/>
      <c r="V6" s="3438"/>
      <c r="W6" s="3438"/>
      <c r="X6" s="1539"/>
      <c r="Y6" s="3436"/>
      <c r="Z6" s="3437"/>
      <c r="AA6" s="3410"/>
      <c r="AB6" s="3410"/>
      <c r="AC6" s="3410"/>
    </row>
    <row r="7" spans="1:30" s="113" customFormat="1" ht="15" thickBot="1">
      <c r="A7" s="368" t="s">
        <v>2369</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11" t="s">
        <v>2370</v>
      </c>
      <c r="Q7" s="3439"/>
      <c r="R7" s="710" t="s">
        <v>17</v>
      </c>
      <c r="S7" s="711">
        <f t="shared" ref="S7:S15" si="0">F7</f>
        <v>0</v>
      </c>
      <c r="T7" s="710" t="s">
        <v>17</v>
      </c>
      <c r="U7" s="711">
        <f t="shared" ref="U7:U15" si="1">H7</f>
        <v>0</v>
      </c>
      <c r="V7" s="710" t="s">
        <v>17</v>
      </c>
      <c r="W7" s="711">
        <f t="shared" ref="W7:W15" si="2">J7</f>
        <v>0</v>
      </c>
      <c r="X7" s="712"/>
      <c r="Y7" s="3411" t="s">
        <v>2370</v>
      </c>
      <c r="Z7" s="3412"/>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11" t="s">
        <v>2373</v>
      </c>
      <c r="Q8" s="3412"/>
      <c r="R8" s="710" t="s">
        <v>17</v>
      </c>
      <c r="S8" s="711">
        <f t="shared" si="0"/>
        <v>0</v>
      </c>
      <c r="T8" s="710" t="s">
        <v>17</v>
      </c>
      <c r="U8" s="711">
        <f t="shared" si="1"/>
        <v>0</v>
      </c>
      <c r="V8" s="710" t="s">
        <v>17</v>
      </c>
      <c r="W8" s="711">
        <f t="shared" si="2"/>
        <v>0</v>
      </c>
      <c r="X8" s="712"/>
      <c r="Y8" s="3411" t="s">
        <v>2373</v>
      </c>
      <c r="Z8" s="3412"/>
      <c r="AA8" s="713" t="e">
        <f t="shared" ref="AA8:AA45" si="3">D8/F8</f>
        <v>#DIV/0!</v>
      </c>
      <c r="AB8" s="713" t="e">
        <f t="shared" ref="AB8:AB45" si="4">D8/H8</f>
        <v>#DIV/0!</v>
      </c>
      <c r="AC8" s="713" t="e">
        <f t="shared" ref="AC8:AC45" si="5">D8/J8</f>
        <v>#DIV/0!</v>
      </c>
    </row>
    <row r="9" spans="1:30" s="113" customFormat="1" ht="14.4">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43"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43"/>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43"/>
      <c r="Q11" s="1527"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43"/>
      <c r="Q12" s="1527" t="str">
        <f t="shared" si="6"/>
        <v>配建</v>
      </c>
      <c r="R12" s="710" t="s">
        <v>17</v>
      </c>
      <c r="S12" s="711">
        <f t="shared" si="0"/>
        <v>100</v>
      </c>
      <c r="T12" s="710" t="s">
        <v>17</v>
      </c>
      <c r="U12" s="711">
        <f t="shared" si="1"/>
        <v>100</v>
      </c>
      <c r="V12" s="710" t="s">
        <v>17</v>
      </c>
      <c r="W12" s="711">
        <f t="shared" si="2"/>
        <v>100</v>
      </c>
      <c r="X12" s="712"/>
      <c r="Y12" s="330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43"/>
      <c r="Q13" s="1527">
        <f t="shared" si="6"/>
        <v>111</v>
      </c>
      <c r="R13" s="710" t="s">
        <v>17</v>
      </c>
      <c r="S13" s="711">
        <f t="shared" si="0"/>
        <v>100</v>
      </c>
      <c r="T13" s="710" t="s">
        <v>17</v>
      </c>
      <c r="U13" s="711">
        <f t="shared" si="1"/>
        <v>100</v>
      </c>
      <c r="V13" s="710" t="s">
        <v>17</v>
      </c>
      <c r="W13" s="711">
        <f t="shared" si="2"/>
        <v>100</v>
      </c>
      <c r="X13" s="712"/>
      <c r="Y13" s="3308"/>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43"/>
      <c r="Q14" s="1527">
        <f t="shared" si="6"/>
        <v>111</v>
      </c>
      <c r="R14" s="710" t="s">
        <v>17</v>
      </c>
      <c r="S14" s="711">
        <f t="shared" si="0"/>
        <v>100</v>
      </c>
      <c r="T14" s="710" t="s">
        <v>17</v>
      </c>
      <c r="U14" s="711">
        <f t="shared" si="1"/>
        <v>100</v>
      </c>
      <c r="V14" s="710" t="s">
        <v>17</v>
      </c>
      <c r="W14" s="711">
        <f t="shared" si="2"/>
        <v>100</v>
      </c>
      <c r="X14" s="712"/>
      <c r="Y14" s="3308"/>
      <c r="Z14" s="55">
        <f t="shared" si="7"/>
        <v>111</v>
      </c>
      <c r="AA14" s="713">
        <f>D14/F14</f>
        <v>1</v>
      </c>
      <c r="AB14" s="713">
        <f>D14/H14</f>
        <v>1</v>
      </c>
      <c r="AC14" s="713">
        <f>D14/J14</f>
        <v>1</v>
      </c>
    </row>
    <row r="15" spans="1:30" ht="96.6">
      <c r="A15" s="399" t="s">
        <v>2380</v>
      </c>
      <c r="B15" s="65" t="s">
        <v>1943</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45" t="s">
        <v>2381</v>
      </c>
      <c r="Q15" s="1536" t="str">
        <f t="shared" si="6"/>
        <v>居住社区成熟度</v>
      </c>
      <c r="R15" s="714" t="s">
        <v>17</v>
      </c>
      <c r="S15" s="715">
        <f t="shared" si="0"/>
        <v>100</v>
      </c>
      <c r="T15" s="714" t="s">
        <v>17</v>
      </c>
      <c r="U15" s="715">
        <f t="shared" si="1"/>
        <v>100</v>
      </c>
      <c r="V15" s="714" t="s">
        <v>17</v>
      </c>
      <c r="W15" s="715">
        <f t="shared" si="2"/>
        <v>100</v>
      </c>
      <c r="X15" s="1539"/>
      <c r="Y15" s="344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46"/>
      <c r="Q16" s="1536"/>
      <c r="R16" s="714"/>
      <c r="S16" s="715"/>
      <c r="T16" s="714"/>
      <c r="U16" s="715"/>
      <c r="V16" s="714"/>
      <c r="W16" s="715"/>
      <c r="X16" s="1539"/>
      <c r="Y16" s="3446"/>
      <c r="Z16" s="1540"/>
      <c r="AA16" s="1537">
        <v>1</v>
      </c>
      <c r="AB16" s="1537">
        <v>1</v>
      </c>
      <c r="AC16" s="1537">
        <v>1</v>
      </c>
    </row>
    <row r="17" spans="1:29" ht="82.8">
      <c r="A17" s="387"/>
      <c r="B17" s="410" t="s">
        <v>2474</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46"/>
      <c r="Q17" s="1536" t="str">
        <f>B17</f>
        <v>商业繁华度</v>
      </c>
      <c r="R17" s="714" t="s">
        <v>17</v>
      </c>
      <c r="S17" s="715">
        <f>F17</f>
        <v>100</v>
      </c>
      <c r="T17" s="714" t="s">
        <v>17</v>
      </c>
      <c r="U17" s="715">
        <f>H17</f>
        <v>100</v>
      </c>
      <c r="V17" s="714" t="s">
        <v>17</v>
      </c>
      <c r="W17" s="715">
        <f>J17</f>
        <v>100</v>
      </c>
      <c r="X17" s="1539"/>
      <c r="Y17" s="344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46"/>
      <c r="Q18" s="1536"/>
      <c r="R18" s="714"/>
      <c r="S18" s="715"/>
      <c r="T18" s="714"/>
      <c r="U18" s="715"/>
      <c r="V18" s="714"/>
      <c r="W18" s="715"/>
      <c r="X18" s="1539"/>
      <c r="Y18" s="3446"/>
      <c r="Z18" s="1540"/>
      <c r="AA18" s="1537">
        <v>1</v>
      </c>
      <c r="AB18" s="1537">
        <v>1</v>
      </c>
      <c r="AC18" s="1537">
        <v>1</v>
      </c>
    </row>
    <row r="19" spans="1:29" ht="82.8">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46"/>
      <c r="Q19" s="1536" t="str">
        <f>B19</f>
        <v>办公集聚程度</v>
      </c>
      <c r="R19" s="714" t="s">
        <v>17</v>
      </c>
      <c r="S19" s="715">
        <f>F19</f>
        <v>100</v>
      </c>
      <c r="T19" s="714" t="s">
        <v>17</v>
      </c>
      <c r="U19" s="715">
        <f>H19</f>
        <v>100</v>
      </c>
      <c r="V19" s="714" t="s">
        <v>17</v>
      </c>
      <c r="W19" s="715">
        <f>J19</f>
        <v>100</v>
      </c>
      <c r="X19" s="1539"/>
      <c r="Y19" s="344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46"/>
      <c r="Q20" s="1536"/>
      <c r="R20" s="714"/>
      <c r="S20" s="715"/>
      <c r="T20" s="714"/>
      <c r="U20" s="715"/>
      <c r="V20" s="714"/>
      <c r="W20" s="715"/>
      <c r="X20" s="1539"/>
      <c r="Y20" s="3446"/>
      <c r="Z20" s="1540"/>
      <c r="AA20" s="1537">
        <v>1</v>
      </c>
      <c r="AB20" s="1537">
        <v>1</v>
      </c>
      <c r="AC20" s="1537">
        <v>1</v>
      </c>
    </row>
    <row r="21" spans="1:29" ht="96.6">
      <c r="A21" s="387"/>
      <c r="B21" s="410" t="s">
        <v>2530</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46"/>
      <c r="Q21" s="1536" t="str">
        <f>B21</f>
        <v>交通便捷度</v>
      </c>
      <c r="R21" s="714" t="s">
        <v>17</v>
      </c>
      <c r="S21" s="715">
        <f>F21</f>
        <v>100</v>
      </c>
      <c r="T21" s="714" t="s">
        <v>17</v>
      </c>
      <c r="U21" s="715">
        <f>H21</f>
        <v>100</v>
      </c>
      <c r="V21" s="714" t="s">
        <v>17</v>
      </c>
      <c r="W21" s="715">
        <f>J21</f>
        <v>100</v>
      </c>
      <c r="X21" s="1539"/>
      <c r="Y21" s="344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46"/>
      <c r="Q22" s="1536"/>
      <c r="R22" s="714"/>
      <c r="S22" s="715"/>
      <c r="T22" s="714"/>
      <c r="U22" s="715"/>
      <c r="V22" s="714"/>
      <c r="W22" s="715"/>
      <c r="X22" s="1539"/>
      <c r="Y22" s="3446"/>
      <c r="Z22" s="1540"/>
      <c r="AA22" s="1537">
        <v>1</v>
      </c>
      <c r="AB22" s="1537">
        <v>1</v>
      </c>
      <c r="AC22" s="1537">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46"/>
      <c r="Q23" s="1536" t="str">
        <f t="shared" ref="Q23:Q37" si="8">B23</f>
        <v>区域土地利用方向</v>
      </c>
      <c r="R23" s="714" t="s">
        <v>17</v>
      </c>
      <c r="S23" s="715">
        <f>F23</f>
        <v>100</v>
      </c>
      <c r="T23" s="714" t="s">
        <v>17</v>
      </c>
      <c r="U23" s="715">
        <f>H23</f>
        <v>100</v>
      </c>
      <c r="V23" s="714" t="s">
        <v>17</v>
      </c>
      <c r="W23" s="715">
        <f>J23</f>
        <v>100</v>
      </c>
      <c r="X23" s="1539"/>
      <c r="Y23" s="344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46"/>
      <c r="Q24" s="1536"/>
      <c r="R24" s="714"/>
      <c r="S24" s="715"/>
      <c r="T24" s="714"/>
      <c r="U24" s="715"/>
      <c r="V24" s="714"/>
      <c r="W24" s="715"/>
      <c r="X24" s="1539"/>
      <c r="Y24" s="3446"/>
      <c r="Z24" s="1540"/>
      <c r="AA24" s="1537"/>
      <c r="AB24" s="1537"/>
      <c r="AC24" s="1537"/>
    </row>
    <row r="25" spans="1:29" ht="55.2">
      <c r="A25" s="364"/>
      <c r="B25" s="1293" t="s">
        <v>2570</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46"/>
      <c r="Q25" s="1536" t="str">
        <f t="shared" si="8"/>
        <v>自然及人文环境状况</v>
      </c>
      <c r="R25" s="714" t="s">
        <v>17</v>
      </c>
      <c r="S25" s="715">
        <f>F25</f>
        <v>100</v>
      </c>
      <c r="T25" s="714" t="s">
        <v>17</v>
      </c>
      <c r="U25" s="715">
        <f>H25</f>
        <v>100</v>
      </c>
      <c r="V25" s="714" t="s">
        <v>17</v>
      </c>
      <c r="W25" s="715">
        <f>J25</f>
        <v>100</v>
      </c>
      <c r="X25" s="1539"/>
      <c r="Y25" s="344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46"/>
      <c r="Q26" s="1536"/>
      <c r="R26" s="714"/>
      <c r="S26" s="715"/>
      <c r="T26" s="714"/>
      <c r="U26" s="715"/>
      <c r="V26" s="714"/>
      <c r="W26" s="715"/>
      <c r="X26" s="1539"/>
      <c r="Y26" s="3446"/>
      <c r="Z26" s="1540"/>
      <c r="AA26" s="1537">
        <v>1</v>
      </c>
      <c r="AB26" s="1537">
        <v>1</v>
      </c>
      <c r="AC26" s="1537">
        <v>1</v>
      </c>
    </row>
    <row r="27" spans="1:29" s="113" customFormat="1" ht="41.4">
      <c r="A27" s="605"/>
      <c r="B27" s="1293" t="s">
        <v>2475</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46"/>
      <c r="Q27" s="1527" t="str">
        <f t="shared" si="8"/>
        <v>公共配套设施</v>
      </c>
      <c r="R27" s="710" t="s">
        <v>17</v>
      </c>
      <c r="S27" s="711">
        <f>F27</f>
        <v>100</v>
      </c>
      <c r="T27" s="710" t="s">
        <v>17</v>
      </c>
      <c r="U27" s="711">
        <f>H27</f>
        <v>100</v>
      </c>
      <c r="V27" s="710" t="s">
        <v>17</v>
      </c>
      <c r="W27" s="711">
        <f>J27</f>
        <v>100</v>
      </c>
      <c r="X27" s="712"/>
      <c r="Y27" s="344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46"/>
      <c r="Q28" s="1527"/>
      <c r="R28" s="710"/>
      <c r="S28" s="711"/>
      <c r="T28" s="710"/>
      <c r="U28" s="711"/>
      <c r="V28" s="710"/>
      <c r="W28" s="711"/>
      <c r="X28" s="712"/>
      <c r="Y28" s="3446"/>
      <c r="Z28" s="55"/>
      <c r="AA28" s="1537">
        <v>1</v>
      </c>
      <c r="AB28" s="1537">
        <v>1</v>
      </c>
      <c r="AC28" s="1537">
        <v>1</v>
      </c>
    </row>
    <row r="29" spans="1:29" s="113" customFormat="1" ht="41.4">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46"/>
      <c r="Q29" s="1527" t="str">
        <f t="shared" ref="Q29" si="9">B29</f>
        <v>基础设施水平</v>
      </c>
      <c r="R29" s="710" t="s">
        <v>17</v>
      </c>
      <c r="S29" s="711">
        <f>F29</f>
        <v>100</v>
      </c>
      <c r="T29" s="710" t="s">
        <v>17</v>
      </c>
      <c r="U29" s="711">
        <f>H29</f>
        <v>100</v>
      </c>
      <c r="V29" s="710" t="s">
        <v>17</v>
      </c>
      <c r="W29" s="711">
        <f>J29</f>
        <v>100</v>
      </c>
      <c r="X29" s="712"/>
      <c r="Y29" s="344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46"/>
      <c r="Q30" s="1527"/>
      <c r="R30" s="710"/>
      <c r="S30" s="711"/>
      <c r="T30" s="710"/>
      <c r="U30" s="711"/>
      <c r="V30" s="710"/>
      <c r="W30" s="711"/>
      <c r="X30" s="712"/>
      <c r="Y30" s="344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4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46"/>
      <c r="Z31" s="1540" t="str">
        <f t="shared" ref="Z31:Z45" si="13">Q31</f>
        <v>临街状况</v>
      </c>
      <c r="AA31" s="1537">
        <f t="shared" si="3"/>
        <v>1</v>
      </c>
      <c r="AB31" s="1537">
        <f t="shared" si="4"/>
        <v>1</v>
      </c>
      <c r="AC31" s="1537">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46"/>
      <c r="Q32" s="1536" t="str">
        <f t="shared" si="8"/>
        <v>毗邻道路的类型与等级</v>
      </c>
      <c r="R32" s="714" t="s">
        <v>17</v>
      </c>
      <c r="S32" s="715">
        <f t="shared" si="10"/>
        <v>100</v>
      </c>
      <c r="T32" s="714" t="s">
        <v>17</v>
      </c>
      <c r="U32" s="715">
        <f t="shared" si="11"/>
        <v>100</v>
      </c>
      <c r="V32" s="714" t="s">
        <v>17</v>
      </c>
      <c r="W32" s="715">
        <f t="shared" si="12"/>
        <v>100</v>
      </c>
      <c r="X32" s="1539"/>
      <c r="Y32" s="344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46"/>
      <c r="Q33" s="1536"/>
      <c r="R33" s="714"/>
      <c r="S33" s="715"/>
      <c r="T33" s="714"/>
      <c r="U33" s="715"/>
      <c r="V33" s="714"/>
      <c r="W33" s="715"/>
      <c r="X33" s="1539"/>
      <c r="Y33" s="344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46"/>
      <c r="Q34" s="1536" t="str">
        <f t="shared" si="8"/>
        <v>土地级别</v>
      </c>
      <c r="R34" s="714" t="s">
        <v>17</v>
      </c>
      <c r="S34" s="715">
        <f t="shared" si="10"/>
        <v>100</v>
      </c>
      <c r="T34" s="714" t="s">
        <v>17</v>
      </c>
      <c r="U34" s="715">
        <f t="shared" si="11"/>
        <v>100</v>
      </c>
      <c r="V34" s="714" t="s">
        <v>17</v>
      </c>
      <c r="W34" s="715">
        <f t="shared" si="12"/>
        <v>100</v>
      </c>
      <c r="X34" s="1539"/>
      <c r="Y34" s="344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46"/>
      <c r="Q35" s="1536">
        <f t="shared" si="8"/>
        <v>111</v>
      </c>
      <c r="R35" s="714" t="s">
        <v>17</v>
      </c>
      <c r="S35" s="715">
        <f t="shared" si="10"/>
        <v>100</v>
      </c>
      <c r="T35" s="714" t="s">
        <v>17</v>
      </c>
      <c r="U35" s="715">
        <f t="shared" si="11"/>
        <v>100</v>
      </c>
      <c r="V35" s="714" t="s">
        <v>17</v>
      </c>
      <c r="W35" s="715">
        <f t="shared" si="12"/>
        <v>100</v>
      </c>
      <c r="X35" s="1539"/>
      <c r="Y35" s="344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1" t="s">
        <v>2386</v>
      </c>
      <c r="Q36" s="1536">
        <f t="shared" si="8"/>
        <v>111</v>
      </c>
      <c r="R36" s="714" t="s">
        <v>17</v>
      </c>
      <c r="S36" s="715">
        <f t="shared" si="10"/>
        <v>100</v>
      </c>
      <c r="T36" s="714" t="s">
        <v>17</v>
      </c>
      <c r="U36" s="715">
        <f t="shared" si="11"/>
        <v>100</v>
      </c>
      <c r="V36" s="714" t="s">
        <v>17</v>
      </c>
      <c r="W36" s="715">
        <f t="shared" si="12"/>
        <v>100</v>
      </c>
      <c r="X36" s="1539"/>
      <c r="Y36" s="3450" t="s">
        <v>2386</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50"/>
      <c r="Q37" s="1536">
        <f t="shared" si="8"/>
        <v>111</v>
      </c>
      <c r="R37" s="717" t="s">
        <v>17</v>
      </c>
      <c r="S37" s="718">
        <f t="shared" si="10"/>
        <v>100</v>
      </c>
      <c r="T37" s="717" t="s">
        <v>17</v>
      </c>
      <c r="U37" s="718">
        <f t="shared" si="11"/>
        <v>100</v>
      </c>
      <c r="V37" s="717" t="s">
        <v>17</v>
      </c>
      <c r="W37" s="718">
        <f t="shared" si="12"/>
        <v>100</v>
      </c>
      <c r="X37" s="719"/>
      <c r="Y37" s="3450"/>
      <c r="Z37" s="720">
        <f t="shared" si="13"/>
        <v>111</v>
      </c>
      <c r="AA37" s="1537">
        <f t="shared" si="3"/>
        <v>1</v>
      </c>
      <c r="AB37" s="1537">
        <f t="shared" si="4"/>
        <v>1</v>
      </c>
      <c r="AC37" s="1537">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50"/>
      <c r="Q38" s="1536" t="str">
        <f>B38</f>
        <v>宗地面积</v>
      </c>
      <c r="R38" s="714" t="s">
        <v>17</v>
      </c>
      <c r="S38" s="715" t="e">
        <f t="shared" si="10"/>
        <v>#N/A</v>
      </c>
      <c r="T38" s="714" t="s">
        <v>17</v>
      </c>
      <c r="U38" s="715" t="e">
        <f t="shared" si="11"/>
        <v>#N/A</v>
      </c>
      <c r="V38" s="714" t="s">
        <v>17</v>
      </c>
      <c r="W38" s="715" t="e">
        <f t="shared" si="12"/>
        <v>#N/A</v>
      </c>
      <c r="X38" s="1539"/>
      <c r="Y38" s="345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50"/>
      <c r="Q39" s="1536" t="str">
        <f t="shared" ref="Q39:Q45" si="14">B39</f>
        <v>宗地形状</v>
      </c>
      <c r="R39" s="714" t="s">
        <v>17</v>
      </c>
      <c r="S39" s="715">
        <f t="shared" si="10"/>
        <v>100</v>
      </c>
      <c r="T39" s="714" t="s">
        <v>17</v>
      </c>
      <c r="U39" s="715">
        <f t="shared" si="11"/>
        <v>100</v>
      </c>
      <c r="V39" s="714" t="s">
        <v>17</v>
      </c>
      <c r="W39" s="715">
        <f t="shared" si="12"/>
        <v>100</v>
      </c>
      <c r="X39" s="1539"/>
      <c r="Y39" s="345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50"/>
      <c r="Q40" s="1536" t="str">
        <f t="shared" si="14"/>
        <v>临街宽度及深度</v>
      </c>
      <c r="R40" s="714" t="s">
        <v>17</v>
      </c>
      <c r="S40" s="715">
        <f t="shared" si="10"/>
        <v>100</v>
      </c>
      <c r="T40" s="714" t="s">
        <v>17</v>
      </c>
      <c r="U40" s="715">
        <f t="shared" si="11"/>
        <v>100</v>
      </c>
      <c r="V40" s="714" t="s">
        <v>17</v>
      </c>
      <c r="W40" s="715">
        <f t="shared" si="12"/>
        <v>100</v>
      </c>
      <c r="X40" s="1539"/>
      <c r="Y40" s="345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50"/>
      <c r="Q41" s="1536" t="str">
        <f t="shared" si="14"/>
        <v>宗地开发程度</v>
      </c>
      <c r="R41" s="710" t="s">
        <v>17</v>
      </c>
      <c r="S41" s="711">
        <f t="shared" si="10"/>
        <v>100</v>
      </c>
      <c r="T41" s="710" t="s">
        <v>17</v>
      </c>
      <c r="U41" s="711">
        <f t="shared" si="11"/>
        <v>100</v>
      </c>
      <c r="V41" s="710" t="s">
        <v>17</v>
      </c>
      <c r="W41" s="711">
        <f t="shared" si="12"/>
        <v>100</v>
      </c>
      <c r="X41" s="712"/>
      <c r="Y41" s="345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50" t="s">
        <v>2386</v>
      </c>
      <c r="Q42" s="1536" t="str">
        <f t="shared" si="14"/>
        <v>工程地质条件</v>
      </c>
      <c r="R42" s="714" t="s">
        <v>17</v>
      </c>
      <c r="S42" s="715">
        <f t="shared" si="10"/>
        <v>100</v>
      </c>
      <c r="T42" s="714" t="s">
        <v>17</v>
      </c>
      <c r="U42" s="715">
        <f t="shared" si="11"/>
        <v>100</v>
      </c>
      <c r="V42" s="714" t="s">
        <v>17</v>
      </c>
      <c r="W42" s="715">
        <f t="shared" si="12"/>
        <v>100</v>
      </c>
      <c r="X42" s="1539"/>
      <c r="Y42" s="345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50"/>
      <c r="Q43" s="1536">
        <f t="shared" si="14"/>
        <v>111</v>
      </c>
      <c r="R43" s="714" t="s">
        <v>17</v>
      </c>
      <c r="S43" s="715">
        <f t="shared" si="10"/>
        <v>100</v>
      </c>
      <c r="T43" s="714" t="s">
        <v>17</v>
      </c>
      <c r="U43" s="715">
        <f t="shared" si="11"/>
        <v>100</v>
      </c>
      <c r="V43" s="714" t="s">
        <v>17</v>
      </c>
      <c r="W43" s="715">
        <f t="shared" si="12"/>
        <v>100</v>
      </c>
      <c r="X43" s="1539"/>
      <c r="Y43" s="345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50"/>
      <c r="Q44" s="1536">
        <f t="shared" si="14"/>
        <v>111</v>
      </c>
      <c r="R44" s="714" t="s">
        <v>17</v>
      </c>
      <c r="S44" s="715">
        <f t="shared" si="10"/>
        <v>100</v>
      </c>
      <c r="T44" s="714" t="s">
        <v>17</v>
      </c>
      <c r="U44" s="715">
        <f t="shared" si="11"/>
        <v>100</v>
      </c>
      <c r="V44" s="714" t="s">
        <v>17</v>
      </c>
      <c r="W44" s="715">
        <f t="shared" si="12"/>
        <v>100</v>
      </c>
      <c r="X44" s="1539"/>
      <c r="Y44" s="3450"/>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50"/>
      <c r="Q45" s="1536">
        <f t="shared" si="14"/>
        <v>111</v>
      </c>
      <c r="R45" s="717" t="s">
        <v>17</v>
      </c>
      <c r="S45" s="718">
        <f t="shared" si="10"/>
        <v>100</v>
      </c>
      <c r="T45" s="717" t="s">
        <v>17</v>
      </c>
      <c r="U45" s="718">
        <f t="shared" si="11"/>
        <v>100</v>
      </c>
      <c r="V45" s="717" t="s">
        <v>17</v>
      </c>
      <c r="W45" s="718">
        <f t="shared" si="12"/>
        <v>100</v>
      </c>
      <c r="X45" s="719"/>
      <c r="Y45" s="3450"/>
      <c r="Z45" s="720">
        <f t="shared" si="13"/>
        <v>111</v>
      </c>
      <c r="AA45" s="1537">
        <f t="shared" si="3"/>
        <v>1</v>
      </c>
      <c r="AB45" s="1537">
        <f t="shared" si="4"/>
        <v>1</v>
      </c>
      <c r="AC45" s="1537">
        <f t="shared" si="5"/>
        <v>1</v>
      </c>
    </row>
    <row r="46" spans="1:29" ht="14.4">
      <c r="A46" s="438" t="s">
        <v>2541</v>
      </c>
      <c r="B46" s="2168" t="s">
        <v>2577</v>
      </c>
      <c r="C46" s="638" t="s">
        <v>1</v>
      </c>
      <c r="D46" s="440"/>
      <c r="E46" s="441"/>
      <c r="F46" s="442"/>
      <c r="G46" s="443"/>
      <c r="H46" s="444"/>
      <c r="I46" s="441"/>
      <c r="J46" s="444"/>
      <c r="K46" s="723"/>
      <c r="L46" s="2951"/>
      <c r="M46" s="2952"/>
      <c r="N46" s="2943"/>
      <c r="O46" s="2952"/>
      <c r="P46" s="3443" t="str">
        <f>A46</f>
        <v>成交单价</v>
      </c>
      <c r="Q46" s="3443"/>
      <c r="R46" s="3438">
        <f>E46</f>
        <v>0</v>
      </c>
      <c r="S46" s="3438"/>
      <c r="T46" s="3438">
        <f>G46</f>
        <v>0</v>
      </c>
      <c r="U46" s="3438"/>
      <c r="V46" s="3438">
        <f>I46</f>
        <v>0</v>
      </c>
      <c r="W46" s="3438"/>
      <c r="X46" s="699"/>
      <c r="Y46" s="721"/>
      <c r="Z46" s="699"/>
      <c r="AA46" s="699"/>
      <c r="AB46" s="699"/>
      <c r="AC46" s="699"/>
    </row>
    <row r="47" spans="1:29" ht="1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443" t="str">
        <f>A47</f>
        <v>比较价值（元/平方米）</v>
      </c>
      <c r="Q47" s="3443"/>
      <c r="R47" s="3473" t="e">
        <f>ROUND(PRODUCT(R46,AA7:AA45),0)</f>
        <v>#DIV/0!</v>
      </c>
      <c r="S47" s="3473"/>
      <c r="T47" s="3473" t="e">
        <f>ROUND(PRODUCT(T46,AB7:AB45),0)</f>
        <v>#DIV/0!</v>
      </c>
      <c r="U47" s="3473"/>
      <c r="V47" s="3473" t="e">
        <f>ROUND(PRODUCT(V46,AC7:AC45),0)</f>
        <v>#DIV/0!</v>
      </c>
      <c r="W47" s="3473"/>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1"/>
      <c r="M48" s="2952"/>
      <c r="N48" s="2952"/>
      <c r="O48" s="2952"/>
      <c r="P48" s="3440" t="str">
        <f>A48</f>
        <v>估价对象XX用房的比较价值（楼面单价，元/平方米）</v>
      </c>
      <c r="Q48" s="3441"/>
      <c r="R48" s="3474" t="e">
        <f>ROUND(IF(D47="简单平均",AVERAGE(R47:W47),R47*F47+T47*H47+V47*J47),0)</f>
        <v>#DIV/0!</v>
      </c>
      <c r="S48" s="3474"/>
      <c r="T48" s="3474"/>
      <c r="U48" s="3474"/>
      <c r="V48" s="3474"/>
      <c r="W48" s="3474"/>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4.4"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426" t="s">
        <v>2585</v>
      </c>
      <c r="H55" s="3475"/>
      <c r="I55" s="140" t="s">
        <v>2586</v>
      </c>
      <c r="J55" s="2171" t="str">
        <f>项目基本情况!F35</f>
        <v>北蜂窝路5号院</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994.5</v>
      </c>
      <c r="F56" s="1017" t="e">
        <f t="shared" ref="F56:F65" si="15">ROUND(B56*E56/10000,0)</f>
        <v>#DIV/0!</v>
      </c>
      <c r="G56" s="3425"/>
      <c r="H56" s="3443"/>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476"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476"/>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476"/>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476"/>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4.4"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thickBot="1">
      <c r="A66" s="651" t="s">
        <v>2602</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2.2"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4.4">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4.4">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4.4"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ht="14.4">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4.4"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9.4"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4.4"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4.4"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4.4"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4.4"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4.4"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4.4"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4.4"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ht="14.4">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9.4"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4.4"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4.4"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4.4"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4.4"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4.4"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4.4"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4.4"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4.4"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4.4"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4.4"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4.4"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4.4"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4.4"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4.4">
      <c r="A4" s="361" t="s">
        <v>2466</v>
      </c>
      <c r="B4" s="362"/>
      <c r="C4" s="3426" t="s">
        <v>2467</v>
      </c>
      <c r="D4" s="3427"/>
      <c r="E4" s="3428" t="s">
        <v>2468</v>
      </c>
      <c r="F4" s="3429"/>
      <c r="G4" s="3426" t="s">
        <v>2469</v>
      </c>
      <c r="H4" s="3427"/>
      <c r="I4" s="3426" t="s">
        <v>2470</v>
      </c>
      <c r="J4" s="3427"/>
      <c r="K4" s="567" t="s">
        <v>2471</v>
      </c>
      <c r="L4" s="2942"/>
      <c r="M4" s="2943"/>
      <c r="N4" s="2943"/>
      <c r="O4" s="2943"/>
      <c r="P4" s="3430" t="s">
        <v>2472</v>
      </c>
      <c r="Q4" s="3431"/>
      <c r="R4" s="3413" t="s">
        <v>2468</v>
      </c>
      <c r="S4" s="3414"/>
      <c r="T4" s="3413" t="s">
        <v>2469</v>
      </c>
      <c r="U4" s="3414"/>
      <c r="V4" s="3438" t="s">
        <v>2470</v>
      </c>
      <c r="W4" s="3438"/>
      <c r="X4" s="1539"/>
      <c r="Y4" s="3413" t="s">
        <v>2472</v>
      </c>
      <c r="Z4" s="3414"/>
      <c r="AA4" s="3408" t="s">
        <v>2468</v>
      </c>
      <c r="AB4" s="3409" t="s">
        <v>2469</v>
      </c>
      <c r="AC4" s="3408" t="s">
        <v>2470</v>
      </c>
    </row>
    <row r="5" spans="1:29">
      <c r="A5" s="364"/>
      <c r="B5" s="365"/>
      <c r="C5" s="3419" t="s">
        <v>2363</v>
      </c>
      <c r="D5" s="3420"/>
      <c r="E5" s="3417" t="s">
        <v>2364</v>
      </c>
      <c r="F5" s="3418"/>
      <c r="G5" s="3419" t="s">
        <v>2365</v>
      </c>
      <c r="H5" s="3420"/>
      <c r="I5" s="3419" t="s">
        <v>2366</v>
      </c>
      <c r="J5" s="3420"/>
      <c r="K5" s="567"/>
      <c r="L5" s="2942"/>
      <c r="M5" s="2943"/>
      <c r="N5" s="2943"/>
      <c r="O5" s="2943"/>
      <c r="P5" s="3432"/>
      <c r="Q5" s="3433"/>
      <c r="R5" s="3415"/>
      <c r="S5" s="3416"/>
      <c r="T5" s="3415"/>
      <c r="U5" s="3416"/>
      <c r="V5" s="3438"/>
      <c r="W5" s="3438"/>
      <c r="X5" s="1539"/>
      <c r="Y5" s="3415"/>
      <c r="Z5" s="3416"/>
      <c r="AA5" s="3409"/>
      <c r="AB5" s="3409"/>
      <c r="AC5" s="3409"/>
    </row>
    <row r="6" spans="1:29" ht="15" thickBot="1">
      <c r="A6" s="366"/>
      <c r="B6" s="367"/>
      <c r="C6" s="3477" t="s">
        <v>2618</v>
      </c>
      <c r="D6" s="3478"/>
      <c r="E6" s="3479" t="s">
        <v>2618</v>
      </c>
      <c r="F6" s="3480"/>
      <c r="G6" s="3477" t="s">
        <v>2618</v>
      </c>
      <c r="H6" s="3478"/>
      <c r="I6" s="3477" t="s">
        <v>2618</v>
      </c>
      <c r="J6" s="3478"/>
      <c r="K6" s="567" t="s">
        <v>2368</v>
      </c>
      <c r="L6" s="2942"/>
      <c r="M6" s="2943"/>
      <c r="N6" s="2943"/>
      <c r="O6" s="2943"/>
      <c r="P6" s="3434"/>
      <c r="Q6" s="3435"/>
      <c r="R6" s="3415"/>
      <c r="S6" s="3416"/>
      <c r="T6" s="3436"/>
      <c r="U6" s="3437"/>
      <c r="V6" s="3438"/>
      <c r="W6" s="3438"/>
      <c r="X6" s="1539"/>
      <c r="Y6" s="3436"/>
      <c r="Z6" s="3437"/>
      <c r="AA6" s="3410"/>
      <c r="AB6" s="3410"/>
      <c r="AC6" s="3410"/>
    </row>
    <row r="7" spans="1:29" s="113" customFormat="1" ht="15" thickBot="1">
      <c r="A7" s="368" t="s">
        <v>2369</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11" t="s">
        <v>2370</v>
      </c>
      <c r="Q7" s="3439"/>
      <c r="R7" s="710" t="s">
        <v>17</v>
      </c>
      <c r="S7" s="711">
        <f t="shared" ref="S7:S15" si="0">F7</f>
        <v>0</v>
      </c>
      <c r="T7" s="710" t="s">
        <v>17</v>
      </c>
      <c r="U7" s="711">
        <f t="shared" ref="U7:U15" si="1">H7</f>
        <v>0</v>
      </c>
      <c r="V7" s="710" t="s">
        <v>17</v>
      </c>
      <c r="W7" s="711">
        <f t="shared" ref="W7:W15" si="2">J7</f>
        <v>0</v>
      </c>
      <c r="X7" s="712"/>
      <c r="Y7" s="3411" t="s">
        <v>2370</v>
      </c>
      <c r="Z7" s="3412"/>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11" t="s">
        <v>2373</v>
      </c>
      <c r="Q8" s="3412"/>
      <c r="R8" s="710" t="s">
        <v>17</v>
      </c>
      <c r="S8" s="711">
        <f t="shared" si="0"/>
        <v>0</v>
      </c>
      <c r="T8" s="710" t="s">
        <v>17</v>
      </c>
      <c r="U8" s="711">
        <f t="shared" si="1"/>
        <v>0</v>
      </c>
      <c r="V8" s="710" t="s">
        <v>17</v>
      </c>
      <c r="W8" s="711">
        <f t="shared" si="2"/>
        <v>0</v>
      </c>
      <c r="X8" s="712"/>
      <c r="Y8" s="3411" t="s">
        <v>2373</v>
      </c>
      <c r="Z8" s="3412"/>
      <c r="AA8" s="713" t="e">
        <f t="shared" ref="AA8:AA40" si="3">D8/F8</f>
        <v>#DIV/0!</v>
      </c>
      <c r="AB8" s="713" t="e">
        <f t="shared" ref="AB8:AB40" si="4">D8/H8</f>
        <v>#DIV/0!</v>
      </c>
      <c r="AC8" s="713" t="e">
        <f t="shared" ref="AC8:AC40" si="5">D8/J8</f>
        <v>#DIV/0!</v>
      </c>
    </row>
    <row r="9" spans="1:29" s="113" customFormat="1" ht="14.4">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43" t="s">
        <v>2376</v>
      </c>
      <c r="Q9" s="1527" t="str">
        <f t="shared" ref="Q9:Q15" si="6">B9</f>
        <v>用途</v>
      </c>
      <c r="R9" s="710" t="s">
        <v>17</v>
      </c>
      <c r="S9" s="711">
        <f t="shared" si="0"/>
        <v>100</v>
      </c>
      <c r="T9" s="710" t="s">
        <v>17</v>
      </c>
      <c r="U9" s="711">
        <f t="shared" si="1"/>
        <v>100</v>
      </c>
      <c r="V9" s="710" t="s">
        <v>17</v>
      </c>
      <c r="W9" s="711">
        <f t="shared" si="2"/>
        <v>100</v>
      </c>
      <c r="X9" s="712"/>
      <c r="Y9" s="3308"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43"/>
      <c r="Q10" s="1527" t="str">
        <f t="shared" si="6"/>
        <v>土地使用年限（年）</v>
      </c>
      <c r="R10" s="710" t="s">
        <v>17</v>
      </c>
      <c r="S10" s="711">
        <f t="shared" si="0"/>
        <v>100</v>
      </c>
      <c r="T10" s="710" t="s">
        <v>17</v>
      </c>
      <c r="U10" s="711">
        <f t="shared" si="1"/>
        <v>100</v>
      </c>
      <c r="V10" s="710" t="s">
        <v>17</v>
      </c>
      <c r="W10" s="711">
        <f t="shared" si="2"/>
        <v>100</v>
      </c>
      <c r="X10" s="712"/>
      <c r="Y10" s="330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43"/>
      <c r="Q11" s="1527" t="str">
        <f t="shared" si="6"/>
        <v>容积率</v>
      </c>
      <c r="R11" s="710" t="s">
        <v>17</v>
      </c>
      <c r="S11" s="711" t="e">
        <f t="shared" si="0"/>
        <v>#N/A</v>
      </c>
      <c r="T11" s="710" t="s">
        <v>17</v>
      </c>
      <c r="U11" s="711" t="e">
        <f t="shared" si="1"/>
        <v>#N/A</v>
      </c>
      <c r="V11" s="710" t="s">
        <v>17</v>
      </c>
      <c r="W11" s="711" t="e">
        <f t="shared" si="2"/>
        <v>#N/A</v>
      </c>
      <c r="X11" s="712"/>
      <c r="Y11" s="330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43"/>
      <c r="Q12" s="1527">
        <f t="shared" si="6"/>
        <v>111</v>
      </c>
      <c r="R12" s="710" t="s">
        <v>17</v>
      </c>
      <c r="S12" s="711">
        <f t="shared" si="0"/>
        <v>100</v>
      </c>
      <c r="T12" s="710" t="s">
        <v>17</v>
      </c>
      <c r="U12" s="711">
        <f t="shared" si="1"/>
        <v>100</v>
      </c>
      <c r="V12" s="710" t="s">
        <v>17</v>
      </c>
      <c r="W12" s="711">
        <f t="shared" si="2"/>
        <v>100</v>
      </c>
      <c r="X12" s="712"/>
      <c r="Y12" s="330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43"/>
      <c r="Q13" s="1527">
        <f t="shared" si="6"/>
        <v>111</v>
      </c>
      <c r="R13" s="710" t="s">
        <v>17</v>
      </c>
      <c r="S13" s="711">
        <f t="shared" si="0"/>
        <v>100</v>
      </c>
      <c r="T13" s="710" t="s">
        <v>17</v>
      </c>
      <c r="U13" s="711">
        <f t="shared" si="1"/>
        <v>100</v>
      </c>
      <c r="V13" s="710" t="s">
        <v>17</v>
      </c>
      <c r="W13" s="711">
        <f t="shared" si="2"/>
        <v>100</v>
      </c>
      <c r="X13" s="712"/>
      <c r="Y13" s="3308"/>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43"/>
      <c r="Q14" s="1527">
        <f t="shared" si="6"/>
        <v>111</v>
      </c>
      <c r="R14" s="710" t="s">
        <v>17</v>
      </c>
      <c r="S14" s="711">
        <f t="shared" si="0"/>
        <v>100</v>
      </c>
      <c r="T14" s="710" t="s">
        <v>17</v>
      </c>
      <c r="U14" s="711">
        <f t="shared" si="1"/>
        <v>100</v>
      </c>
      <c r="V14" s="710" t="s">
        <v>17</v>
      </c>
      <c r="W14" s="711">
        <f t="shared" si="2"/>
        <v>100</v>
      </c>
      <c r="X14" s="712"/>
      <c r="Y14" s="3308"/>
      <c r="Z14" s="55">
        <f t="shared" si="7"/>
        <v>111</v>
      </c>
      <c r="AA14" s="713">
        <f t="shared" si="3"/>
        <v>1</v>
      </c>
      <c r="AB14" s="713">
        <f t="shared" si="4"/>
        <v>1</v>
      </c>
      <c r="AC14" s="713">
        <f t="shared" si="5"/>
        <v>1</v>
      </c>
    </row>
    <row r="15" spans="1:29" ht="69">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45" t="s">
        <v>2381</v>
      </c>
      <c r="Q15" s="1536" t="str">
        <f t="shared" si="6"/>
        <v>产业集聚程度</v>
      </c>
      <c r="R15" s="714" t="s">
        <v>17</v>
      </c>
      <c r="S15" s="715">
        <f t="shared" si="0"/>
        <v>100</v>
      </c>
      <c r="T15" s="714" t="s">
        <v>17</v>
      </c>
      <c r="U15" s="715">
        <f t="shared" si="1"/>
        <v>100</v>
      </c>
      <c r="V15" s="714" t="s">
        <v>17</v>
      </c>
      <c r="W15" s="715">
        <f t="shared" si="2"/>
        <v>100</v>
      </c>
      <c r="X15" s="1539"/>
      <c r="Y15" s="344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46"/>
      <c r="Q16" s="1536"/>
      <c r="R16" s="714"/>
      <c r="S16" s="715"/>
      <c r="T16" s="714"/>
      <c r="U16" s="715"/>
      <c r="V16" s="714"/>
      <c r="W16" s="715"/>
      <c r="X16" s="1539"/>
      <c r="Y16" s="3446"/>
      <c r="Z16" s="1540"/>
      <c r="AA16" s="1537">
        <v>1</v>
      </c>
      <c r="AB16" s="1537">
        <v>1</v>
      </c>
      <c r="AC16" s="1537">
        <v>1</v>
      </c>
    </row>
    <row r="17" spans="1:29" ht="96.6">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46"/>
      <c r="Q17" s="1536" t="str">
        <f>B17</f>
        <v>交通便捷度</v>
      </c>
      <c r="R17" s="714" t="s">
        <v>17</v>
      </c>
      <c r="S17" s="715">
        <f>F17</f>
        <v>100</v>
      </c>
      <c r="T17" s="714" t="s">
        <v>17</v>
      </c>
      <c r="U17" s="715">
        <f>H17</f>
        <v>100</v>
      </c>
      <c r="V17" s="714" t="s">
        <v>17</v>
      </c>
      <c r="W17" s="715">
        <f>J17</f>
        <v>100</v>
      </c>
      <c r="X17" s="1539"/>
      <c r="Y17" s="344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46"/>
      <c r="Q18" s="1536"/>
      <c r="R18" s="714"/>
      <c r="S18" s="715"/>
      <c r="T18" s="714"/>
      <c r="U18" s="715"/>
      <c r="V18" s="714"/>
      <c r="W18" s="715"/>
      <c r="X18" s="1539"/>
      <c r="Y18" s="3446"/>
      <c r="Z18" s="1540"/>
      <c r="AA18" s="1537">
        <v>1</v>
      </c>
      <c r="AB18" s="1537">
        <v>1</v>
      </c>
      <c r="AC18" s="1537">
        <v>1</v>
      </c>
    </row>
    <row r="19" spans="1:29" ht="28.8">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46"/>
      <c r="Q19" s="1536" t="str">
        <f t="shared" ref="Q19:Q33" si="8">B19</f>
        <v>区域土地利用方向</v>
      </c>
      <c r="R19" s="714" t="s">
        <v>17</v>
      </c>
      <c r="S19" s="715">
        <f>F19</f>
        <v>100</v>
      </c>
      <c r="T19" s="714" t="s">
        <v>17</v>
      </c>
      <c r="U19" s="715">
        <f>H19</f>
        <v>100</v>
      </c>
      <c r="V19" s="714" t="s">
        <v>17</v>
      </c>
      <c r="W19" s="715">
        <f>J19</f>
        <v>100</v>
      </c>
      <c r="X19" s="1539"/>
      <c r="Y19" s="344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46"/>
      <c r="Q20" s="1536"/>
      <c r="R20" s="714"/>
      <c r="S20" s="715"/>
      <c r="T20" s="714"/>
      <c r="U20" s="715"/>
      <c r="V20" s="714"/>
      <c r="W20" s="715"/>
      <c r="X20" s="1539"/>
      <c r="Y20" s="3446"/>
      <c r="Z20" s="1540"/>
      <c r="AA20" s="1537"/>
      <c r="AB20" s="1537"/>
      <c r="AC20" s="1537"/>
    </row>
    <row r="21" spans="1:29" ht="82.8">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46"/>
      <c r="Q21" s="1536" t="str">
        <f t="shared" si="8"/>
        <v>环境状况</v>
      </c>
      <c r="R21" s="714" t="s">
        <v>17</v>
      </c>
      <c r="S21" s="715">
        <f>F21</f>
        <v>100</v>
      </c>
      <c r="T21" s="714" t="s">
        <v>17</v>
      </c>
      <c r="U21" s="715">
        <f>H21</f>
        <v>100</v>
      </c>
      <c r="V21" s="714" t="s">
        <v>17</v>
      </c>
      <c r="W21" s="715">
        <f>J21</f>
        <v>100</v>
      </c>
      <c r="X21" s="1539"/>
      <c r="Y21" s="344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46"/>
      <c r="Q22" s="1536"/>
      <c r="R22" s="714"/>
      <c r="S22" s="715"/>
      <c r="T22" s="714"/>
      <c r="U22" s="715"/>
      <c r="V22" s="714"/>
      <c r="W22" s="715"/>
      <c r="X22" s="1539"/>
      <c r="Y22" s="3446"/>
      <c r="Z22" s="1540"/>
      <c r="AA22" s="1537">
        <v>1</v>
      </c>
      <c r="AB22" s="1537">
        <v>1</v>
      </c>
      <c r="AC22" s="1537">
        <v>1</v>
      </c>
    </row>
    <row r="23" spans="1:29" s="113" customFormat="1" ht="41.4">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46"/>
      <c r="Q23" s="1527" t="str">
        <f t="shared" si="8"/>
        <v>公共配套设施</v>
      </c>
      <c r="R23" s="710" t="s">
        <v>17</v>
      </c>
      <c r="S23" s="711">
        <f>F23</f>
        <v>100</v>
      </c>
      <c r="T23" s="710" t="s">
        <v>17</v>
      </c>
      <c r="U23" s="711">
        <f>H23</f>
        <v>100</v>
      </c>
      <c r="V23" s="710" t="s">
        <v>17</v>
      </c>
      <c r="W23" s="711">
        <f>J23</f>
        <v>100</v>
      </c>
      <c r="X23" s="712"/>
      <c r="Y23" s="344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46"/>
      <c r="Q24" s="1527"/>
      <c r="R24" s="710"/>
      <c r="S24" s="711"/>
      <c r="T24" s="710"/>
      <c r="U24" s="711"/>
      <c r="V24" s="710"/>
      <c r="W24" s="711"/>
      <c r="X24" s="712"/>
      <c r="Y24" s="3446"/>
      <c r="Z24" s="55"/>
      <c r="AA24" s="713">
        <v>1</v>
      </c>
      <c r="AB24" s="713">
        <v>1</v>
      </c>
      <c r="AC24" s="713">
        <v>1</v>
      </c>
    </row>
    <row r="25" spans="1:29" s="113" customFormat="1" ht="41.4">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46"/>
      <c r="Q25" s="1527" t="str">
        <f t="shared" ref="Q25" si="9">B25</f>
        <v>基础设施水平</v>
      </c>
      <c r="R25" s="710" t="s">
        <v>17</v>
      </c>
      <c r="S25" s="711">
        <f>F25</f>
        <v>100</v>
      </c>
      <c r="T25" s="710" t="s">
        <v>17</v>
      </c>
      <c r="U25" s="711">
        <f>H25</f>
        <v>100</v>
      </c>
      <c r="V25" s="710" t="s">
        <v>17</v>
      </c>
      <c r="W25" s="711">
        <f>J25</f>
        <v>100</v>
      </c>
      <c r="X25" s="712"/>
      <c r="Y25" s="344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46"/>
      <c r="Q26" s="1527"/>
      <c r="R26" s="710"/>
      <c r="S26" s="711"/>
      <c r="T26" s="710"/>
      <c r="U26" s="711"/>
      <c r="V26" s="710"/>
      <c r="W26" s="711"/>
      <c r="X26" s="712"/>
      <c r="Y26" s="344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4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46"/>
      <c r="Z27" s="1540" t="str">
        <f t="shared" ref="Z27:Z40" si="13">Q27</f>
        <v>临街状况</v>
      </c>
      <c r="AA27" s="1537">
        <f t="shared" si="3"/>
        <v>1</v>
      </c>
      <c r="AB27" s="1537">
        <f t="shared" si="4"/>
        <v>1</v>
      </c>
      <c r="AC27" s="1537">
        <f t="shared" si="5"/>
        <v>1</v>
      </c>
    </row>
    <row r="28" spans="1:29" ht="28.8">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46"/>
      <c r="Q28" s="1536" t="str">
        <f t="shared" si="8"/>
        <v>毗邻道路的类型与等级</v>
      </c>
      <c r="R28" s="714" t="s">
        <v>17</v>
      </c>
      <c r="S28" s="715">
        <f t="shared" si="10"/>
        <v>100</v>
      </c>
      <c r="T28" s="714" t="s">
        <v>17</v>
      </c>
      <c r="U28" s="715">
        <f t="shared" si="11"/>
        <v>100</v>
      </c>
      <c r="V28" s="714" t="s">
        <v>17</v>
      </c>
      <c r="W28" s="715">
        <f t="shared" si="12"/>
        <v>100</v>
      </c>
      <c r="X28" s="1539"/>
      <c r="Y28" s="344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46"/>
      <c r="Q29" s="1536"/>
      <c r="R29" s="714"/>
      <c r="S29" s="715"/>
      <c r="T29" s="714"/>
      <c r="U29" s="715"/>
      <c r="V29" s="714"/>
      <c r="W29" s="715"/>
      <c r="X29" s="1539"/>
      <c r="Y29" s="344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46"/>
      <c r="Q30" s="1536" t="str">
        <f t="shared" si="8"/>
        <v>土地级别</v>
      </c>
      <c r="R30" s="714" t="s">
        <v>17</v>
      </c>
      <c r="S30" s="715">
        <f t="shared" si="10"/>
        <v>100</v>
      </c>
      <c r="T30" s="714" t="s">
        <v>17</v>
      </c>
      <c r="U30" s="715">
        <f t="shared" si="11"/>
        <v>100</v>
      </c>
      <c r="V30" s="714" t="s">
        <v>17</v>
      </c>
      <c r="W30" s="715">
        <f t="shared" si="12"/>
        <v>100</v>
      </c>
      <c r="X30" s="1539"/>
      <c r="Y30" s="344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46"/>
      <c r="Q31" s="1536">
        <f t="shared" si="8"/>
        <v>111</v>
      </c>
      <c r="R31" s="714" t="s">
        <v>17</v>
      </c>
      <c r="S31" s="715">
        <f t="shared" si="10"/>
        <v>100</v>
      </c>
      <c r="T31" s="714" t="s">
        <v>17</v>
      </c>
      <c r="U31" s="715">
        <f t="shared" si="11"/>
        <v>100</v>
      </c>
      <c r="V31" s="714" t="s">
        <v>17</v>
      </c>
      <c r="W31" s="715">
        <f t="shared" si="12"/>
        <v>100</v>
      </c>
      <c r="X31" s="1539"/>
      <c r="Y31" s="344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1" t="s">
        <v>2386</v>
      </c>
      <c r="Q32" s="1536">
        <f t="shared" si="8"/>
        <v>111</v>
      </c>
      <c r="R32" s="714" t="s">
        <v>17</v>
      </c>
      <c r="S32" s="715">
        <f t="shared" si="10"/>
        <v>100</v>
      </c>
      <c r="T32" s="714" t="s">
        <v>17</v>
      </c>
      <c r="U32" s="715">
        <f t="shared" si="11"/>
        <v>100</v>
      </c>
      <c r="V32" s="714" t="s">
        <v>17</v>
      </c>
      <c r="W32" s="715">
        <f t="shared" si="12"/>
        <v>100</v>
      </c>
      <c r="X32" s="1539"/>
      <c r="Y32" s="3450" t="s">
        <v>2386</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50"/>
      <c r="Q33" s="1536">
        <f t="shared" si="8"/>
        <v>111</v>
      </c>
      <c r="R33" s="717" t="s">
        <v>17</v>
      </c>
      <c r="S33" s="718">
        <f t="shared" si="10"/>
        <v>100</v>
      </c>
      <c r="T33" s="717" t="s">
        <v>17</v>
      </c>
      <c r="U33" s="718">
        <f t="shared" si="11"/>
        <v>100</v>
      </c>
      <c r="V33" s="717" t="s">
        <v>17</v>
      </c>
      <c r="W33" s="718">
        <f t="shared" si="12"/>
        <v>100</v>
      </c>
      <c r="X33" s="719"/>
      <c r="Y33" s="345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50"/>
      <c r="Q34" s="1536" t="str">
        <f>B34</f>
        <v>宗地面积</v>
      </c>
      <c r="R34" s="714" t="s">
        <v>17</v>
      </c>
      <c r="S34" s="715" t="e">
        <f t="shared" si="10"/>
        <v>#N/A</v>
      </c>
      <c r="T34" s="714" t="s">
        <v>17</v>
      </c>
      <c r="U34" s="715" t="e">
        <f t="shared" si="11"/>
        <v>#N/A</v>
      </c>
      <c r="V34" s="714" t="s">
        <v>17</v>
      </c>
      <c r="W34" s="715" t="e">
        <f t="shared" si="12"/>
        <v>#N/A</v>
      </c>
      <c r="X34" s="1539"/>
      <c r="Y34" s="345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50"/>
      <c r="Q35" s="1536" t="str">
        <f t="shared" ref="Q35:Q40" si="14">B35</f>
        <v>宗地形状</v>
      </c>
      <c r="R35" s="714" t="s">
        <v>17</v>
      </c>
      <c r="S35" s="715">
        <f t="shared" si="10"/>
        <v>100</v>
      </c>
      <c r="T35" s="714" t="s">
        <v>17</v>
      </c>
      <c r="U35" s="715">
        <f t="shared" si="11"/>
        <v>100</v>
      </c>
      <c r="V35" s="714" t="s">
        <v>17</v>
      </c>
      <c r="W35" s="715">
        <f t="shared" si="12"/>
        <v>100</v>
      </c>
      <c r="X35" s="1539"/>
      <c r="Y35" s="345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50"/>
      <c r="Q36" s="1536" t="str">
        <f t="shared" si="14"/>
        <v>宗地开发程度</v>
      </c>
      <c r="R36" s="710" t="s">
        <v>17</v>
      </c>
      <c r="S36" s="711">
        <f t="shared" si="10"/>
        <v>100</v>
      </c>
      <c r="T36" s="710" t="s">
        <v>17</v>
      </c>
      <c r="U36" s="711">
        <f t="shared" si="11"/>
        <v>100</v>
      </c>
      <c r="V36" s="710" t="s">
        <v>17</v>
      </c>
      <c r="W36" s="711">
        <f t="shared" si="12"/>
        <v>100</v>
      </c>
      <c r="X36" s="712"/>
      <c r="Y36" s="345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50" t="s">
        <v>2386</v>
      </c>
      <c r="Q37" s="1536" t="str">
        <f t="shared" si="14"/>
        <v>工程地质条件</v>
      </c>
      <c r="R37" s="714" t="s">
        <v>17</v>
      </c>
      <c r="S37" s="715">
        <f t="shared" si="10"/>
        <v>100</v>
      </c>
      <c r="T37" s="714" t="s">
        <v>17</v>
      </c>
      <c r="U37" s="715">
        <f t="shared" si="11"/>
        <v>100</v>
      </c>
      <c r="V37" s="714" t="s">
        <v>17</v>
      </c>
      <c r="W37" s="715">
        <f t="shared" si="12"/>
        <v>100</v>
      </c>
      <c r="X37" s="1539"/>
      <c r="Y37" s="345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50"/>
      <c r="Q38" s="1536">
        <f t="shared" si="14"/>
        <v>111</v>
      </c>
      <c r="R38" s="714" t="s">
        <v>17</v>
      </c>
      <c r="S38" s="715">
        <f t="shared" si="10"/>
        <v>100</v>
      </c>
      <c r="T38" s="714" t="s">
        <v>17</v>
      </c>
      <c r="U38" s="715">
        <f t="shared" si="11"/>
        <v>100</v>
      </c>
      <c r="V38" s="714" t="s">
        <v>17</v>
      </c>
      <c r="W38" s="715">
        <f t="shared" si="12"/>
        <v>100</v>
      </c>
      <c r="X38" s="1539"/>
      <c r="Y38" s="345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50"/>
      <c r="Q39" s="1536">
        <f t="shared" si="14"/>
        <v>111</v>
      </c>
      <c r="R39" s="714" t="s">
        <v>17</v>
      </c>
      <c r="S39" s="715">
        <f t="shared" si="10"/>
        <v>100</v>
      </c>
      <c r="T39" s="714" t="s">
        <v>17</v>
      </c>
      <c r="U39" s="715">
        <f t="shared" si="11"/>
        <v>100</v>
      </c>
      <c r="V39" s="714" t="s">
        <v>17</v>
      </c>
      <c r="W39" s="715">
        <f t="shared" si="12"/>
        <v>100</v>
      </c>
      <c r="X39" s="1539"/>
      <c r="Y39" s="3450"/>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50"/>
      <c r="Q40" s="1536">
        <f t="shared" si="14"/>
        <v>111</v>
      </c>
      <c r="R40" s="717" t="s">
        <v>17</v>
      </c>
      <c r="S40" s="718">
        <f t="shared" si="10"/>
        <v>100</v>
      </c>
      <c r="T40" s="717" t="s">
        <v>17</v>
      </c>
      <c r="U40" s="718">
        <f t="shared" si="11"/>
        <v>100</v>
      </c>
      <c r="V40" s="717" t="s">
        <v>17</v>
      </c>
      <c r="W40" s="718">
        <f t="shared" si="12"/>
        <v>100</v>
      </c>
      <c r="X40" s="719"/>
      <c r="Y40" s="3450"/>
      <c r="Z40" s="720">
        <f t="shared" si="13"/>
        <v>111</v>
      </c>
      <c r="AA40" s="1537">
        <f t="shared" si="3"/>
        <v>1</v>
      </c>
      <c r="AB40" s="1537">
        <f t="shared" si="4"/>
        <v>1</v>
      </c>
      <c r="AC40" s="1537">
        <f t="shared" si="5"/>
        <v>1</v>
      </c>
    </row>
    <row r="41" spans="1:31" ht="14.4">
      <c r="A41" s="438" t="s">
        <v>2541</v>
      </c>
      <c r="B41" s="2168" t="s">
        <v>2621</v>
      </c>
      <c r="C41" s="638" t="s">
        <v>1</v>
      </c>
      <c r="D41" s="440"/>
      <c r="E41" s="441"/>
      <c r="F41" s="442"/>
      <c r="G41" s="443"/>
      <c r="H41" s="444"/>
      <c r="I41" s="441"/>
      <c r="J41" s="444"/>
      <c r="K41" s="723"/>
      <c r="L41" s="2951"/>
      <c r="M41" s="2943"/>
      <c r="N41" s="2943"/>
      <c r="O41" s="2952"/>
      <c r="P41" s="3443" t="str">
        <f>A41</f>
        <v>成交单价</v>
      </c>
      <c r="Q41" s="3443"/>
      <c r="R41" s="3438">
        <f>E41</f>
        <v>0</v>
      </c>
      <c r="S41" s="3438"/>
      <c r="T41" s="3438">
        <f>G41</f>
        <v>0</v>
      </c>
      <c r="U41" s="3438"/>
      <c r="V41" s="3438">
        <f>I41</f>
        <v>0</v>
      </c>
      <c r="W41" s="3438"/>
      <c r="X41" s="699"/>
      <c r="Y41" s="721"/>
      <c r="Z41" s="699"/>
      <c r="AA41" s="699"/>
      <c r="AB41" s="699"/>
      <c r="AC41" s="699"/>
    </row>
    <row r="42" spans="1:31" ht="1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443" t="str">
        <f>A42</f>
        <v>比较价值（元/平方米）</v>
      </c>
      <c r="Q42" s="3443"/>
      <c r="R42" s="3473" t="e">
        <f>ROUND(PRODUCT(R41,AA7:AA40),0)</f>
        <v>#DIV/0!</v>
      </c>
      <c r="S42" s="3473"/>
      <c r="T42" s="3473" t="e">
        <f>ROUND(PRODUCT(T41,AB7:AB40),0)</f>
        <v>#DIV/0!</v>
      </c>
      <c r="U42" s="3473"/>
      <c r="V42" s="3473" t="e">
        <f>ROUND(PRODUCT(V41,AC7:AC40),0)</f>
        <v>#DIV/0!</v>
      </c>
      <c r="W42" s="3473"/>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1"/>
      <c r="M43" s="2943"/>
      <c r="N43" s="2943"/>
      <c r="O43" s="2952"/>
      <c r="P43" s="3440" t="str">
        <f>A43</f>
        <v>估价对象XX用房的比较价值（楼面单价，元/平方米）</v>
      </c>
      <c r="Q43" s="3441"/>
      <c r="R43" s="3474" t="e">
        <f>ROUND(IF(D42="简单平均",AVERAGE(R42:W42),R42*F42+T42*H42+V42*J42),0)</f>
        <v>#DIV/0!</v>
      </c>
      <c r="S43" s="3474"/>
      <c r="T43" s="3474"/>
      <c r="U43" s="3474"/>
      <c r="V43" s="3474"/>
      <c r="W43" s="3474"/>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4.4"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8.8">
      <c r="A50" s="640" t="s">
        <v>2579</v>
      </c>
      <c r="B50" s="641" t="s">
        <v>2580</v>
      </c>
      <c r="C50" s="2169" t="s">
        <v>2581</v>
      </c>
      <c r="D50" s="2170" t="s">
        <v>2582</v>
      </c>
      <c r="E50" s="642" t="s">
        <v>2583</v>
      </c>
      <c r="F50" s="643" t="s">
        <v>2584</v>
      </c>
      <c r="G50" s="3426" t="s">
        <v>2585</v>
      </c>
      <c r="H50" s="3475"/>
      <c r="I50" s="1540" t="s">
        <v>2622</v>
      </c>
      <c r="J50" s="1540" t="str">
        <f>项目基本情况!F35</f>
        <v>北蜂窝路5号院</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994.5</v>
      </c>
      <c r="F51" s="647" t="e">
        <f t="shared" ref="F51:F60" si="15">ROUND(B51*E51/10000,0)</f>
        <v>#DIV/0!</v>
      </c>
      <c r="G51" s="3425"/>
      <c r="H51" s="3443"/>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476"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476"/>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476"/>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476"/>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4.4"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4.4"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2.2"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4.4">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4.4">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4.4"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ht="14.4">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4.4"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9.4"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4.4"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4.4"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4.4"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4.4"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4.4"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4.4"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4.4"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ht="14.4">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9.4"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4.4"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4.4"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4.4"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4.4"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4.4"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4.4"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4.4"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4.4"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4.4"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4.4"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4.4"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4.4"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4.4"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I7" sqref="I7"/>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6">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6">
      <c r="A4" s="3500"/>
      <c r="B4" s="3501"/>
      <c r="C4" s="3501"/>
      <c r="D4" s="3502"/>
      <c r="E4" s="3502"/>
      <c r="F4" s="3502"/>
      <c r="G4" s="3502"/>
      <c r="H4" s="3502"/>
      <c r="I4" s="3502"/>
      <c r="J4" s="350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6"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1"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504"/>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97" t="s">
        <v>2661</v>
      </c>
      <c r="X8" s="349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50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0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50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9"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8" thickBot="1">
      <c r="A12" s="348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05"/>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499"/>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05"/>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6" thickBot="1">
      <c r="A15" s="350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81" t="s">
        <v>2704</v>
      </c>
      <c r="B16" s="2209" t="s">
        <v>2705</v>
      </c>
      <c r="C16" s="2371" t="e">
        <f>ROUND(IF(F17="与级别开发程度一致",0,(G17-E17)/C17),0)</f>
        <v>#DIV/0!</v>
      </c>
      <c r="D16" s="3494" t="s">
        <v>2709</v>
      </c>
      <c r="E16" s="3495"/>
      <c r="F16" s="3494" t="s">
        <v>2706</v>
      </c>
      <c r="G16" s="349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8" thickBot="1">
      <c r="A17" s="3482"/>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2711</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4"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44341</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9.4"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4.4">
      <c r="A21" s="2263" t="s">
        <v>811</v>
      </c>
      <c r="B21" s="2264" t="s">
        <v>2724</v>
      </c>
      <c r="C21" s="876" t="e">
        <f>IF(B21="容积率修正",IF(G3&lt;=10,D22,J22),C23)</f>
        <v>#DIV/0!</v>
      </c>
      <c r="D21" s="2265"/>
      <c r="E21" s="2265"/>
      <c r="F21" s="2265"/>
      <c r="G21" s="2265"/>
      <c r="H21" s="2265"/>
      <c r="I21" s="2265"/>
      <c r="J21" s="2266"/>
      <c r="K21" s="1287"/>
      <c r="L21" s="3017"/>
      <c r="M21" s="3017"/>
      <c r="N21" s="2267" t="s">
        <v>2725</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4">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2729</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9.4"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2733</v>
      </c>
      <c r="C24" s="863">
        <f>SUMIF(A45:A88,E2,B45:B88)</f>
        <v>0</v>
      </c>
      <c r="D24" s="2248"/>
      <c r="E24" s="2275"/>
      <c r="F24" s="2275"/>
      <c r="G24" s="2275"/>
      <c r="H24" s="2275"/>
      <c r="I24" s="2275"/>
      <c r="J24" s="2276"/>
      <c r="K24" s="1287"/>
      <c r="L24" s="3017"/>
      <c r="M24" s="3017"/>
      <c r="N24" s="2277" t="s">
        <v>2734</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2737</v>
      </c>
      <c r="C26" s="2542" t="e">
        <f>IF(B21="容积率修正",E29+SUM(E33:E39),SUM(V2:V16)+SUM(E33:E39))</f>
        <v>#DIV/0!</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1"/>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96"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492"/>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2"/>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493"/>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9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29" t="s">
        <v>2770</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9" t="s">
        <v>2771</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6" t="s">
        <v>2778</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6" t="s">
        <v>2779</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7" t="s">
        <v>2780</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9" t="s">
        <v>2771</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9" t="s">
        <v>2778</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9" t="s">
        <v>2779</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7" t="s">
        <v>2780</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29" t="s">
        <v>2785</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2771</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2786</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2778</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2779</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2780</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2788</v>
      </c>
      <c r="B79" s="2326">
        <f>1+E81</f>
        <v>1</v>
      </c>
      <c r="C79" s="753"/>
      <c r="D79" s="753"/>
      <c r="E79" s="754"/>
      <c r="F79" s="2328"/>
      <c r="G79" s="6"/>
      <c r="H79" s="6"/>
      <c r="I79" s="6"/>
      <c r="J79" s="7"/>
      <c r="K79" s="7"/>
      <c r="L79" s="7"/>
      <c r="M79" s="7"/>
      <c r="N79" s="7"/>
      <c r="Z79" s="2184"/>
      <c r="AA79" s="2250"/>
      <c r="AG79" s="1282"/>
      <c r="AK79" s="2250"/>
    </row>
    <row r="80" spans="1:37" ht="25.2">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9.6">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66">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3.8">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6.4">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6.4">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36">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53.4"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83" t="s">
        <v>2792</v>
      </c>
      <c r="B90" s="3483"/>
      <c r="C90" s="3483"/>
      <c r="D90" s="3483"/>
      <c r="E90" s="3483"/>
      <c r="F90" s="3483"/>
      <c r="G90" s="3483"/>
      <c r="H90" s="3483"/>
      <c r="I90" s="3483"/>
      <c r="J90" s="3483"/>
      <c r="K90" s="2343"/>
      <c r="L90" s="2343"/>
      <c r="M90" s="2343"/>
      <c r="N90" s="2343"/>
    </row>
    <row r="91" spans="1:37">
      <c r="A91" s="3485" t="s">
        <v>2793</v>
      </c>
      <c r="B91" s="3485" t="s">
        <v>2794</v>
      </c>
      <c r="C91" s="2297" t="s">
        <v>2795</v>
      </c>
      <c r="D91" s="2298"/>
      <c r="E91" s="2298"/>
      <c r="F91" s="2298"/>
      <c r="G91" s="2298"/>
      <c r="H91" s="2298"/>
      <c r="I91" s="2298"/>
      <c r="J91" s="2344"/>
      <c r="K91" s="2345"/>
      <c r="L91" s="2345"/>
      <c r="M91" s="2345"/>
      <c r="N91" s="2345"/>
    </row>
    <row r="92" spans="1:37">
      <c r="A92" s="3485"/>
      <c r="B92" s="348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86"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8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8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8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8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8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87"/>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8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86"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87"/>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87"/>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87"/>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87"/>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87"/>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87"/>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87"/>
      <c r="B108" s="3489"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88"/>
      <c r="B109" s="3490"/>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84" t="s">
        <v>2800</v>
      </c>
      <c r="B110" s="3484"/>
      <c r="C110" s="3484"/>
      <c r="D110" s="3484"/>
      <c r="E110" s="3484"/>
      <c r="F110" s="3484"/>
      <c r="G110" s="3484"/>
      <c r="H110" s="3484"/>
      <c r="I110" s="3484"/>
      <c r="J110" s="3484"/>
      <c r="K110" s="2352"/>
      <c r="L110" s="2352"/>
      <c r="M110" s="2352"/>
      <c r="N110" s="2352"/>
    </row>
    <row r="112" spans="1:14" ht="13.8" thickBot="1"/>
    <row r="113" spans="1:13" ht="25.8"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8"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7" t="s">
        <v>183</v>
      </c>
      <c r="B18" s="821" t="s">
        <v>560</v>
      </c>
      <c r="C18" s="822" t="s">
        <v>561</v>
      </c>
      <c r="D18" s="823"/>
      <c r="E18" s="821">
        <v>1</v>
      </c>
      <c r="F18" s="824" t="s">
        <v>562</v>
      </c>
      <c r="G18" s="825"/>
      <c r="H18" s="817"/>
      <c r="I18" s="817"/>
    </row>
    <row r="19" spans="1:9" s="826" customFormat="1" ht="19.5" customHeight="1">
      <c r="A19" s="3507"/>
      <c r="B19" s="3507" t="s">
        <v>563</v>
      </c>
      <c r="C19" s="822" t="s">
        <v>564</v>
      </c>
      <c r="D19" s="823"/>
      <c r="E19" s="821">
        <v>0.9</v>
      </c>
      <c r="F19" s="824" t="s">
        <v>565</v>
      </c>
      <c r="G19" s="825"/>
      <c r="H19" s="817"/>
      <c r="I19" s="817"/>
    </row>
    <row r="20" spans="1:9" s="826" customFormat="1" ht="19.5" customHeight="1">
      <c r="A20" s="3507"/>
      <c r="B20" s="3507"/>
      <c r="C20" s="822" t="s">
        <v>566</v>
      </c>
      <c r="D20" s="823"/>
      <c r="E20" s="821">
        <v>1.1000000000000001</v>
      </c>
      <c r="F20" s="824" t="s">
        <v>567</v>
      </c>
      <c r="G20" s="825"/>
      <c r="H20" s="817"/>
      <c r="I20" s="817"/>
    </row>
    <row r="21" spans="1:9" s="826" customFormat="1" ht="19.5" customHeight="1">
      <c r="A21" s="3507"/>
      <c r="B21" s="3507"/>
      <c r="C21" s="822" t="s">
        <v>568</v>
      </c>
      <c r="D21" s="823"/>
      <c r="E21" s="821">
        <v>0.8</v>
      </c>
      <c r="F21" s="824" t="s">
        <v>569</v>
      </c>
      <c r="G21" s="825"/>
      <c r="H21" s="817"/>
      <c r="I21" s="817"/>
    </row>
    <row r="22" spans="1:9" s="826" customFormat="1" ht="19.5" customHeight="1">
      <c r="A22" s="3507"/>
      <c r="B22" s="3507"/>
      <c r="C22" s="822" t="s">
        <v>570</v>
      </c>
      <c r="D22" s="823"/>
      <c r="E22" s="821">
        <v>0.5</v>
      </c>
      <c r="F22" s="824"/>
      <c r="G22" s="825"/>
      <c r="H22" s="817"/>
      <c r="I22" s="817"/>
    </row>
    <row r="23" spans="1:9" s="826" customFormat="1" ht="19.5" customHeight="1">
      <c r="A23" s="3507" t="s">
        <v>184</v>
      </c>
      <c r="B23" s="821" t="s">
        <v>560</v>
      </c>
      <c r="C23" s="822" t="s">
        <v>571</v>
      </c>
      <c r="D23" s="823"/>
      <c r="E23" s="821">
        <v>1</v>
      </c>
      <c r="F23" s="824" t="s">
        <v>572</v>
      </c>
      <c r="G23" s="825"/>
      <c r="H23" s="817"/>
      <c r="I23" s="817"/>
    </row>
    <row r="24" spans="1:9" s="826" customFormat="1" ht="19.5" customHeight="1">
      <c r="A24" s="3507"/>
      <c r="B24" s="3507" t="s">
        <v>563</v>
      </c>
      <c r="C24" s="822" t="s">
        <v>573</v>
      </c>
      <c r="D24" s="823"/>
      <c r="E24" s="821">
        <v>0.5</v>
      </c>
      <c r="F24" s="824"/>
      <c r="G24" s="825"/>
      <c r="H24" s="817"/>
      <c r="I24" s="817"/>
    </row>
    <row r="25" spans="1:9" s="826" customFormat="1" ht="19.5" customHeight="1">
      <c r="A25" s="3507"/>
      <c r="B25" s="3507"/>
      <c r="C25" s="822" t="s">
        <v>574</v>
      </c>
      <c r="D25" s="823"/>
      <c r="E25" s="821">
        <v>1.1000000000000001</v>
      </c>
      <c r="F25" s="824"/>
      <c r="G25" s="825"/>
      <c r="H25" s="817"/>
      <c r="I25" s="817"/>
    </row>
    <row r="26" spans="1:9" s="826" customFormat="1" ht="19.5" customHeight="1">
      <c r="A26" s="3507"/>
      <c r="B26" s="3507"/>
      <c r="C26" s="822" t="s">
        <v>575</v>
      </c>
      <c r="D26" s="823"/>
      <c r="E26" s="821">
        <v>1.1000000000000001</v>
      </c>
      <c r="F26" s="824"/>
      <c r="G26" s="825"/>
      <c r="H26" s="817"/>
      <c r="I26" s="817"/>
    </row>
    <row r="27" spans="1:9" s="826" customFormat="1" ht="19.5" customHeight="1">
      <c r="A27" s="3507"/>
      <c r="B27" s="3507"/>
      <c r="C27" s="822" t="s">
        <v>576</v>
      </c>
      <c r="D27" s="823"/>
      <c r="E27" s="821">
        <v>0.9</v>
      </c>
      <c r="F27" s="824" t="s">
        <v>577</v>
      </c>
      <c r="G27" s="825"/>
      <c r="H27" s="817"/>
      <c r="I27" s="817"/>
    </row>
    <row r="28" spans="1:9" s="826" customFormat="1" ht="19.5" customHeight="1">
      <c r="A28" s="3507"/>
      <c r="B28" s="3507"/>
      <c r="C28" s="822" t="s">
        <v>578</v>
      </c>
      <c r="D28" s="823"/>
      <c r="E28" s="821">
        <v>0.9</v>
      </c>
      <c r="F28" s="824" t="s">
        <v>579</v>
      </c>
      <c r="G28" s="825"/>
      <c r="H28" s="817"/>
      <c r="I28" s="817"/>
    </row>
    <row r="29" spans="1:9" s="826" customFormat="1" ht="19.5" customHeight="1">
      <c r="A29" s="3507"/>
      <c r="B29" s="3507"/>
      <c r="C29" s="822" t="s">
        <v>580</v>
      </c>
      <c r="D29" s="823"/>
      <c r="E29" s="821">
        <v>0.9</v>
      </c>
      <c r="F29" s="824" t="s">
        <v>581</v>
      </c>
      <c r="G29" s="825"/>
      <c r="H29" s="817"/>
      <c r="I29" s="817"/>
    </row>
    <row r="30" spans="1:9" s="826" customFormat="1" ht="19.5" customHeight="1">
      <c r="A30" s="3507"/>
      <c r="B30" s="3507"/>
      <c r="C30" s="822" t="s">
        <v>582</v>
      </c>
      <c r="D30" s="823"/>
      <c r="E30" s="821">
        <v>0.9</v>
      </c>
      <c r="F30" s="824" t="s">
        <v>583</v>
      </c>
      <c r="G30" s="825"/>
      <c r="H30" s="817"/>
      <c r="I30" s="817"/>
    </row>
    <row r="31" spans="1:9" s="826" customFormat="1" ht="19.5" customHeight="1">
      <c r="A31" s="3507"/>
      <c r="B31" s="3507"/>
      <c r="C31" s="822" t="s">
        <v>584</v>
      </c>
      <c r="D31" s="823"/>
      <c r="E31" s="821">
        <v>0.8</v>
      </c>
      <c r="F31" s="824" t="s">
        <v>585</v>
      </c>
      <c r="G31" s="825"/>
      <c r="H31" s="817"/>
      <c r="I31" s="817"/>
    </row>
    <row r="32" spans="1:9" s="826" customFormat="1" ht="19.5" customHeight="1">
      <c r="A32" s="3507"/>
      <c r="B32" s="3507"/>
      <c r="C32" s="822" t="s">
        <v>586</v>
      </c>
      <c r="D32" s="823"/>
      <c r="E32" s="821">
        <v>0.8</v>
      </c>
      <c r="F32" s="824" t="s">
        <v>587</v>
      </c>
      <c r="G32" s="825"/>
      <c r="H32" s="817"/>
      <c r="I32" s="817"/>
    </row>
    <row r="33" spans="1:9" s="826" customFormat="1" ht="19.5" customHeight="1">
      <c r="A33" s="3507" t="s">
        <v>185</v>
      </c>
      <c r="B33" s="821" t="s">
        <v>560</v>
      </c>
      <c r="C33" s="822" t="s">
        <v>588</v>
      </c>
      <c r="D33" s="823"/>
      <c r="E33" s="821">
        <v>1</v>
      </c>
      <c r="F33" s="824" t="s">
        <v>589</v>
      </c>
      <c r="G33" s="825"/>
      <c r="H33" s="817"/>
      <c r="I33" s="817"/>
    </row>
    <row r="34" spans="1:9" s="826" customFormat="1" ht="19.5" customHeight="1">
      <c r="A34" s="3507"/>
      <c r="B34" s="821" t="s">
        <v>563</v>
      </c>
      <c r="C34" s="822" t="s">
        <v>590</v>
      </c>
      <c r="D34" s="823"/>
      <c r="E34" s="821">
        <v>1.5</v>
      </c>
      <c r="F34" s="824" t="s">
        <v>591</v>
      </c>
      <c r="G34" s="825"/>
      <c r="H34" s="817"/>
      <c r="I34" s="817"/>
    </row>
    <row r="35" spans="1:9" s="826" customFormat="1" ht="19.5" customHeight="1">
      <c r="A35" s="3507" t="s">
        <v>186</v>
      </c>
      <c r="B35" s="821" t="s">
        <v>560</v>
      </c>
      <c r="C35" s="822" t="s">
        <v>592</v>
      </c>
      <c r="D35" s="823"/>
      <c r="E35" s="821">
        <v>1</v>
      </c>
      <c r="F35" s="824" t="s">
        <v>593</v>
      </c>
      <c r="G35" s="825"/>
      <c r="H35" s="817"/>
      <c r="I35" s="817"/>
    </row>
    <row r="36" spans="1:9" s="826" customFormat="1" ht="19.5" customHeight="1">
      <c r="A36" s="3507"/>
      <c r="B36" s="3507" t="s">
        <v>563</v>
      </c>
      <c r="C36" s="822" t="s">
        <v>594</v>
      </c>
      <c r="D36" s="823"/>
      <c r="E36" s="821">
        <v>1</v>
      </c>
      <c r="F36" s="824" t="s">
        <v>595</v>
      </c>
      <c r="G36" s="825"/>
      <c r="H36" s="817"/>
      <c r="I36" s="817"/>
    </row>
    <row r="37" spans="1:9" s="826" customFormat="1" ht="19.5" customHeight="1">
      <c r="A37" s="3507"/>
      <c r="B37" s="3507"/>
      <c r="C37" s="822" t="s">
        <v>596</v>
      </c>
      <c r="D37" s="823"/>
      <c r="E37" s="821">
        <v>1.5</v>
      </c>
      <c r="F37" s="824" t="s">
        <v>597</v>
      </c>
      <c r="G37" s="825"/>
      <c r="H37" s="817"/>
      <c r="I37" s="817"/>
    </row>
    <row r="38" spans="1:9" s="826" customFormat="1" ht="19.5" customHeight="1">
      <c r="A38" s="3507"/>
      <c r="B38" s="3507"/>
      <c r="C38" s="822" t="s">
        <v>598</v>
      </c>
      <c r="D38" s="823"/>
      <c r="E38" s="821">
        <v>1</v>
      </c>
      <c r="F38" s="824" t="s">
        <v>599</v>
      </c>
      <c r="G38" s="825"/>
      <c r="H38" s="817"/>
      <c r="I38" s="817"/>
    </row>
    <row r="39" spans="1:9" s="826" customFormat="1" ht="19.5" customHeight="1">
      <c r="A39" s="3507"/>
      <c r="B39" s="350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07" t="s">
        <v>614</v>
      </c>
      <c r="C61" s="757" t="s">
        <v>615</v>
      </c>
      <c r="D61" s="757" t="s">
        <v>616</v>
      </c>
      <c r="E61" s="834">
        <v>0.5</v>
      </c>
      <c r="F61" s="821">
        <v>80</v>
      </c>
    </row>
    <row r="62" spans="1:8" s="817" customFormat="1" ht="36">
      <c r="A62" s="821">
        <v>2</v>
      </c>
      <c r="B62" s="3507"/>
      <c r="C62" s="757" t="s">
        <v>617</v>
      </c>
      <c r="D62" s="757" t="s">
        <v>618</v>
      </c>
      <c r="E62" s="834">
        <v>0.5</v>
      </c>
      <c r="F62" s="821">
        <v>80</v>
      </c>
    </row>
    <row r="63" spans="1:8" s="817" customFormat="1" ht="48">
      <c r="A63" s="821">
        <v>3</v>
      </c>
      <c r="B63" s="3507"/>
      <c r="C63" s="757" t="s">
        <v>619</v>
      </c>
      <c r="D63" s="757" t="s">
        <v>620</v>
      </c>
      <c r="E63" s="834">
        <v>0.5</v>
      </c>
      <c r="F63" s="821">
        <v>80</v>
      </c>
    </row>
    <row r="64" spans="1:8" s="817" customFormat="1" ht="48">
      <c r="A64" s="821">
        <v>4</v>
      </c>
      <c r="B64" s="3507"/>
      <c r="C64" s="757" t="s">
        <v>621</v>
      </c>
      <c r="D64" s="757" t="s">
        <v>622</v>
      </c>
      <c r="E64" s="834">
        <v>0.4</v>
      </c>
      <c r="F64" s="821">
        <v>60</v>
      </c>
    </row>
    <row r="65" spans="1:6" s="817" customFormat="1" ht="48">
      <c r="A65" s="821">
        <v>5</v>
      </c>
      <c r="B65" s="3507"/>
      <c r="C65" s="757" t="s">
        <v>623</v>
      </c>
      <c r="D65" s="757" t="s">
        <v>624</v>
      </c>
      <c r="E65" s="834">
        <v>0.2</v>
      </c>
      <c r="F65" s="821">
        <v>30</v>
      </c>
    </row>
    <row r="66" spans="1:6" s="817" customFormat="1" ht="48">
      <c r="A66" s="821">
        <v>6</v>
      </c>
      <c r="B66" s="3507"/>
      <c r="C66" s="757" t="s">
        <v>625</v>
      </c>
      <c r="D66" s="757" t="s">
        <v>626</v>
      </c>
      <c r="E66" s="834">
        <v>0.3</v>
      </c>
      <c r="F66" s="821">
        <v>50</v>
      </c>
    </row>
    <row r="67" spans="1:6" s="817" customFormat="1" ht="48">
      <c r="A67" s="821">
        <v>7</v>
      </c>
      <c r="B67" s="3507"/>
      <c r="C67" s="757" t="s">
        <v>627</v>
      </c>
      <c r="D67" s="757" t="s">
        <v>628</v>
      </c>
      <c r="E67" s="834">
        <v>0.2</v>
      </c>
      <c r="F67" s="821">
        <v>30</v>
      </c>
    </row>
    <row r="68" spans="1:6" s="817" customFormat="1" ht="48">
      <c r="A68" s="821">
        <v>8</v>
      </c>
      <c r="B68" s="3507"/>
      <c r="C68" s="757" t="s">
        <v>629</v>
      </c>
      <c r="D68" s="757" t="s">
        <v>630</v>
      </c>
      <c r="E68" s="834">
        <v>0.2</v>
      </c>
      <c r="F68" s="821">
        <v>30</v>
      </c>
    </row>
    <row r="69" spans="1:6" s="817" customFormat="1" ht="48">
      <c r="A69" s="821">
        <v>9</v>
      </c>
      <c r="B69" s="3507"/>
      <c r="C69" s="757" t="s">
        <v>631</v>
      </c>
      <c r="D69" s="757" t="s">
        <v>632</v>
      </c>
      <c r="E69" s="834">
        <v>0.2</v>
      </c>
      <c r="F69" s="821">
        <v>30</v>
      </c>
    </row>
    <row r="70" spans="1:6" s="817" customFormat="1" ht="60">
      <c r="A70" s="821">
        <v>10</v>
      </c>
      <c r="B70" s="3507"/>
      <c r="C70" s="757" t="s">
        <v>633</v>
      </c>
      <c r="D70" s="757" t="s">
        <v>634</v>
      </c>
      <c r="E70" s="834">
        <v>0.2</v>
      </c>
      <c r="F70" s="821">
        <v>30</v>
      </c>
    </row>
    <row r="71" spans="1:6" s="817" customFormat="1" ht="60">
      <c r="A71" s="821">
        <v>11</v>
      </c>
      <c r="B71" s="3507"/>
      <c r="C71" s="757" t="s">
        <v>635</v>
      </c>
      <c r="D71" s="757" t="s">
        <v>636</v>
      </c>
      <c r="E71" s="834">
        <v>0.2</v>
      </c>
      <c r="F71" s="821">
        <v>30</v>
      </c>
    </row>
    <row r="72" spans="1:6" s="817" customFormat="1" ht="36">
      <c r="A72" s="821">
        <v>12</v>
      </c>
      <c r="B72" s="3507"/>
      <c r="C72" s="757" t="s">
        <v>637</v>
      </c>
      <c r="D72" s="757" t="s">
        <v>638</v>
      </c>
      <c r="E72" s="834">
        <v>0.5</v>
      </c>
      <c r="F72" s="821">
        <v>80</v>
      </c>
    </row>
    <row r="73" spans="1:6" s="817" customFormat="1" ht="36">
      <c r="A73" s="821">
        <v>13</v>
      </c>
      <c r="B73" s="3507"/>
      <c r="C73" s="757" t="s">
        <v>639</v>
      </c>
      <c r="D73" s="757" t="s">
        <v>640</v>
      </c>
      <c r="E73" s="834">
        <v>0.4</v>
      </c>
      <c r="F73" s="821">
        <v>60</v>
      </c>
    </row>
    <row r="74" spans="1:6" s="817" customFormat="1" ht="36">
      <c r="A74" s="821">
        <v>14</v>
      </c>
      <c r="B74" s="3507"/>
      <c r="C74" s="757" t="s">
        <v>641</v>
      </c>
      <c r="D74" s="757" t="s">
        <v>642</v>
      </c>
      <c r="E74" s="834">
        <v>0.2</v>
      </c>
      <c r="F74" s="821">
        <v>30</v>
      </c>
    </row>
    <row r="75" spans="1:6" s="817" customFormat="1" ht="36">
      <c r="A75" s="821">
        <v>15</v>
      </c>
      <c r="B75" s="3507"/>
      <c r="C75" s="757" t="s">
        <v>643</v>
      </c>
      <c r="D75" s="757" t="s">
        <v>644</v>
      </c>
      <c r="E75" s="834">
        <v>0.2</v>
      </c>
      <c r="F75" s="821">
        <v>30</v>
      </c>
    </row>
    <row r="76" spans="1:6" s="817" customFormat="1" ht="36">
      <c r="A76" s="821">
        <v>16</v>
      </c>
      <c r="B76" s="3507" t="s">
        <v>645</v>
      </c>
      <c r="C76" s="757" t="s">
        <v>646</v>
      </c>
      <c r="D76" s="757" t="s">
        <v>647</v>
      </c>
      <c r="E76" s="834">
        <v>0.5</v>
      </c>
      <c r="F76" s="821">
        <v>80</v>
      </c>
    </row>
    <row r="77" spans="1:6" s="817" customFormat="1" ht="36">
      <c r="A77" s="821">
        <v>17</v>
      </c>
      <c r="B77" s="3507"/>
      <c r="C77" s="757" t="s">
        <v>648</v>
      </c>
      <c r="D77" s="757" t="s">
        <v>649</v>
      </c>
      <c r="E77" s="834">
        <v>0.5</v>
      </c>
      <c r="F77" s="821">
        <v>80</v>
      </c>
    </row>
    <row r="78" spans="1:6" s="817" customFormat="1" ht="36">
      <c r="A78" s="821">
        <v>18</v>
      </c>
      <c r="B78" s="3507"/>
      <c r="C78" s="757" t="s">
        <v>650</v>
      </c>
      <c r="D78" s="757" t="s">
        <v>651</v>
      </c>
      <c r="E78" s="834">
        <v>0.2</v>
      </c>
      <c r="F78" s="821">
        <v>30</v>
      </c>
    </row>
    <row r="79" spans="1:6" s="817" customFormat="1" ht="36">
      <c r="A79" s="821">
        <v>19</v>
      </c>
      <c r="B79" s="3507"/>
      <c r="C79" s="757" t="s">
        <v>652</v>
      </c>
      <c r="D79" s="757" t="s">
        <v>653</v>
      </c>
      <c r="E79" s="834">
        <v>0.5</v>
      </c>
      <c r="F79" s="821">
        <v>80</v>
      </c>
    </row>
    <row r="80" spans="1:6" s="817" customFormat="1" ht="36">
      <c r="A80" s="821">
        <v>20</v>
      </c>
      <c r="B80" s="3507"/>
      <c r="C80" s="757" t="s">
        <v>654</v>
      </c>
      <c r="D80" s="757" t="s">
        <v>655</v>
      </c>
      <c r="E80" s="834">
        <v>0.2</v>
      </c>
      <c r="F80" s="821">
        <v>30</v>
      </c>
    </row>
    <row r="81" spans="1:6" s="817" customFormat="1" ht="36">
      <c r="A81" s="821">
        <v>21</v>
      </c>
      <c r="B81" s="3507"/>
      <c r="C81" s="757" t="s">
        <v>656</v>
      </c>
      <c r="D81" s="757" t="s">
        <v>657</v>
      </c>
      <c r="E81" s="834">
        <v>0.2</v>
      </c>
      <c r="F81" s="821">
        <v>30</v>
      </c>
    </row>
    <row r="82" spans="1:6" s="817" customFormat="1" ht="60">
      <c r="A82" s="821">
        <v>22</v>
      </c>
      <c r="B82" s="3507"/>
      <c r="C82" s="757" t="s">
        <v>658</v>
      </c>
      <c r="D82" s="757" t="s">
        <v>659</v>
      </c>
      <c r="E82" s="834">
        <v>0.2</v>
      </c>
      <c r="F82" s="821">
        <v>30</v>
      </c>
    </row>
    <row r="83" spans="1:6" s="817" customFormat="1" ht="60">
      <c r="A83" s="821">
        <v>23</v>
      </c>
      <c r="B83" s="3507"/>
      <c r="C83" s="757" t="s">
        <v>660</v>
      </c>
      <c r="D83" s="757" t="s">
        <v>661</v>
      </c>
      <c r="E83" s="834">
        <v>0.2</v>
      </c>
      <c r="F83" s="821">
        <v>30</v>
      </c>
    </row>
    <row r="84" spans="1:6" s="817" customFormat="1" ht="48">
      <c r="A84" s="821">
        <v>24</v>
      </c>
      <c r="B84" s="3507"/>
      <c r="C84" s="757" t="s">
        <v>662</v>
      </c>
      <c r="D84" s="757" t="s">
        <v>663</v>
      </c>
      <c r="E84" s="834">
        <v>0.2</v>
      </c>
      <c r="F84" s="821">
        <v>30</v>
      </c>
    </row>
    <row r="85" spans="1:6" s="817" customFormat="1" ht="36">
      <c r="A85" s="821">
        <v>25</v>
      </c>
      <c r="B85" s="3507"/>
      <c r="C85" s="757" t="s">
        <v>664</v>
      </c>
      <c r="D85" s="757" t="s">
        <v>665</v>
      </c>
      <c r="E85" s="834">
        <v>0.5</v>
      </c>
      <c r="F85" s="821">
        <v>80</v>
      </c>
    </row>
    <row r="86" spans="1:6" s="817" customFormat="1" ht="36">
      <c r="A86" s="821">
        <v>26</v>
      </c>
      <c r="B86" s="3507"/>
      <c r="C86" s="757" t="s">
        <v>666</v>
      </c>
      <c r="D86" s="757" t="s">
        <v>667</v>
      </c>
      <c r="E86" s="834">
        <v>0.2</v>
      </c>
      <c r="F86" s="821">
        <v>30</v>
      </c>
    </row>
    <row r="87" spans="1:6" s="817" customFormat="1" ht="36">
      <c r="A87" s="821">
        <v>27</v>
      </c>
      <c r="B87" s="3507"/>
      <c r="C87" s="757" t="s">
        <v>668</v>
      </c>
      <c r="D87" s="757" t="s">
        <v>669</v>
      </c>
      <c r="E87" s="834">
        <v>0.2</v>
      </c>
      <c r="F87" s="821">
        <v>30</v>
      </c>
    </row>
    <row r="88" spans="1:6" s="817" customFormat="1" ht="36">
      <c r="A88" s="821">
        <v>28</v>
      </c>
      <c r="B88" s="3507"/>
      <c r="C88" s="757" t="s">
        <v>670</v>
      </c>
      <c r="D88" s="757" t="s">
        <v>671</v>
      </c>
      <c r="E88" s="834">
        <v>0.2</v>
      </c>
      <c r="F88" s="821">
        <v>30</v>
      </c>
    </row>
    <row r="89" spans="1:6" s="817" customFormat="1" ht="36">
      <c r="A89" s="821">
        <v>29</v>
      </c>
      <c r="B89" s="3507"/>
      <c r="C89" s="757" t="s">
        <v>672</v>
      </c>
      <c r="D89" s="757" t="s">
        <v>673</v>
      </c>
      <c r="E89" s="834">
        <v>0.2</v>
      </c>
      <c r="F89" s="821">
        <v>30</v>
      </c>
    </row>
    <row r="90" spans="1:6" s="817" customFormat="1" ht="36">
      <c r="A90" s="821">
        <v>30</v>
      </c>
      <c r="B90" s="3507"/>
      <c r="C90" s="757" t="s">
        <v>674</v>
      </c>
      <c r="D90" s="757" t="s">
        <v>675</v>
      </c>
      <c r="E90" s="834">
        <v>0.2</v>
      </c>
      <c r="F90" s="821">
        <v>30</v>
      </c>
    </row>
    <row r="91" spans="1:6" s="817" customFormat="1" ht="48">
      <c r="A91" s="821">
        <v>31</v>
      </c>
      <c r="B91" s="3507"/>
      <c r="C91" s="757" t="s">
        <v>676</v>
      </c>
      <c r="D91" s="757" t="s">
        <v>677</v>
      </c>
      <c r="E91" s="834">
        <v>0.2</v>
      </c>
      <c r="F91" s="821">
        <v>30</v>
      </c>
    </row>
    <row r="92" spans="1:6" s="817" customFormat="1" ht="36">
      <c r="A92" s="821">
        <v>32</v>
      </c>
      <c r="B92" s="3507" t="s">
        <v>678</v>
      </c>
      <c r="C92" s="821" t="s">
        <v>679</v>
      </c>
      <c r="D92" s="757" t="s">
        <v>680</v>
      </c>
      <c r="E92" s="834">
        <v>0.2</v>
      </c>
      <c r="F92" s="821">
        <v>30</v>
      </c>
    </row>
    <row r="93" spans="1:6" s="817" customFormat="1" ht="36">
      <c r="A93" s="821">
        <v>33</v>
      </c>
      <c r="B93" s="3507"/>
      <c r="C93" s="821" t="s">
        <v>681</v>
      </c>
      <c r="D93" s="757" t="s">
        <v>682</v>
      </c>
      <c r="E93" s="834">
        <v>0.2</v>
      </c>
      <c r="F93" s="821">
        <v>30</v>
      </c>
    </row>
    <row r="94" spans="1:6" s="817" customFormat="1" ht="60">
      <c r="A94" s="821">
        <v>34</v>
      </c>
      <c r="B94" s="3507"/>
      <c r="C94" s="821" t="s">
        <v>683</v>
      </c>
      <c r="D94" s="757" t="s">
        <v>684</v>
      </c>
      <c r="E94" s="834">
        <v>0.2</v>
      </c>
      <c r="F94" s="821">
        <v>30</v>
      </c>
    </row>
    <row r="95" spans="1:6" s="817" customFormat="1" ht="48">
      <c r="A95" s="821">
        <v>35</v>
      </c>
      <c r="B95" s="3507"/>
      <c r="C95" s="821" t="s">
        <v>685</v>
      </c>
      <c r="D95" s="757" t="s">
        <v>686</v>
      </c>
      <c r="E95" s="834">
        <v>0.2</v>
      </c>
      <c r="F95" s="821">
        <v>30</v>
      </c>
    </row>
    <row r="96" spans="1:6" s="817" customFormat="1" ht="72">
      <c r="A96" s="821">
        <v>36</v>
      </c>
      <c r="B96" s="3507"/>
      <c r="C96" s="757" t="s">
        <v>687</v>
      </c>
      <c r="D96" s="757" t="s">
        <v>688</v>
      </c>
      <c r="E96" s="834">
        <v>0.2</v>
      </c>
      <c r="F96" s="821">
        <v>30</v>
      </c>
    </row>
    <row r="97" spans="1:6" s="817" customFormat="1" ht="36">
      <c r="A97" s="821">
        <v>37</v>
      </c>
      <c r="B97" s="3507"/>
      <c r="C97" s="821" t="s">
        <v>689</v>
      </c>
      <c r="D97" s="757" t="s">
        <v>690</v>
      </c>
      <c r="E97" s="834">
        <v>0.2</v>
      </c>
      <c r="F97" s="821">
        <v>30</v>
      </c>
    </row>
    <row r="98" spans="1:6" s="817" customFormat="1" ht="36">
      <c r="A98" s="821">
        <v>38</v>
      </c>
      <c r="B98" s="3507"/>
      <c r="C98" s="821" t="s">
        <v>691</v>
      </c>
      <c r="D98" s="757" t="s">
        <v>692</v>
      </c>
      <c r="E98" s="834">
        <v>0.2</v>
      </c>
      <c r="F98" s="821">
        <v>30</v>
      </c>
    </row>
    <row r="99" spans="1:6" s="817" customFormat="1" ht="36">
      <c r="A99" s="821">
        <v>39</v>
      </c>
      <c r="B99" s="3507" t="s">
        <v>693</v>
      </c>
      <c r="C99" s="821" t="s">
        <v>694</v>
      </c>
      <c r="D99" s="757" t="s">
        <v>695</v>
      </c>
      <c r="E99" s="834">
        <v>0.3</v>
      </c>
      <c r="F99" s="821">
        <v>50</v>
      </c>
    </row>
    <row r="100" spans="1:6" s="817" customFormat="1" ht="36">
      <c r="A100" s="821">
        <v>40</v>
      </c>
      <c r="B100" s="3507"/>
      <c r="C100" s="821" t="s">
        <v>696</v>
      </c>
      <c r="D100" s="757" t="s">
        <v>697</v>
      </c>
      <c r="E100" s="834">
        <v>0.2</v>
      </c>
      <c r="F100" s="821">
        <v>30</v>
      </c>
    </row>
    <row r="101" spans="1:6" s="817" customFormat="1" ht="36">
      <c r="A101" s="821">
        <v>41</v>
      </c>
      <c r="B101" s="3507"/>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07" t="s">
        <v>708</v>
      </c>
      <c r="C105" s="821" t="s">
        <v>709</v>
      </c>
      <c r="D105" s="757" t="s">
        <v>710</v>
      </c>
      <c r="E105" s="834">
        <v>0.2</v>
      </c>
      <c r="F105" s="821">
        <v>30</v>
      </c>
    </row>
    <row r="106" spans="1:6" s="817" customFormat="1" ht="48">
      <c r="A106" s="821">
        <v>46</v>
      </c>
      <c r="B106" s="3507"/>
      <c r="C106" s="821" t="s">
        <v>711</v>
      </c>
      <c r="D106" s="757" t="s">
        <v>712</v>
      </c>
      <c r="E106" s="834">
        <v>0.2</v>
      </c>
      <c r="F106" s="821">
        <v>30</v>
      </c>
    </row>
    <row r="107" spans="1:6" s="817" customFormat="1" ht="36">
      <c r="A107" s="821">
        <v>47</v>
      </c>
      <c r="B107" s="3507" t="s">
        <v>713</v>
      </c>
      <c r="C107" s="821" t="s">
        <v>714</v>
      </c>
      <c r="D107" s="757" t="s">
        <v>715</v>
      </c>
      <c r="E107" s="834">
        <v>0.3</v>
      </c>
      <c r="F107" s="821">
        <v>50</v>
      </c>
    </row>
    <row r="108" spans="1:6" s="817" customFormat="1" ht="48">
      <c r="A108" s="821">
        <v>48</v>
      </c>
      <c r="B108" s="350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07" t="s">
        <v>724</v>
      </c>
      <c r="C111" s="821" t="s">
        <v>725</v>
      </c>
      <c r="D111" s="757" t="s">
        <v>726</v>
      </c>
      <c r="E111" s="834">
        <v>0.2</v>
      </c>
      <c r="F111" s="821">
        <v>30</v>
      </c>
    </row>
    <row r="112" spans="1:6" s="817" customFormat="1" ht="36">
      <c r="A112" s="821">
        <v>52</v>
      </c>
      <c r="B112" s="3507"/>
      <c r="C112" s="821" t="s">
        <v>727</v>
      </c>
      <c r="D112" s="757" t="s">
        <v>728</v>
      </c>
      <c r="E112" s="834">
        <v>0.2</v>
      </c>
      <c r="F112" s="821">
        <v>30</v>
      </c>
    </row>
    <row r="113" spans="1:6" s="817" customFormat="1" ht="36">
      <c r="A113" s="821">
        <v>53</v>
      </c>
      <c r="B113" s="3507"/>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07" t="s">
        <v>737</v>
      </c>
      <c r="C116" s="821" t="s">
        <v>738</v>
      </c>
      <c r="D116" s="757" t="s">
        <v>739</v>
      </c>
      <c r="E116" s="834">
        <v>0.2</v>
      </c>
      <c r="F116" s="821">
        <v>30</v>
      </c>
    </row>
    <row r="117" spans="1:6" ht="36">
      <c r="A117" s="821">
        <v>57</v>
      </c>
      <c r="B117" s="3507"/>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W6" sqref="W6"/>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2823</v>
      </c>
      <c r="B1" s="2363"/>
      <c r="C1" s="2363"/>
      <c r="D1" s="2363"/>
      <c r="E1" s="2363"/>
      <c r="F1" s="3022"/>
      <c r="G1" s="3022"/>
      <c r="H1" s="3022"/>
      <c r="I1" s="3022"/>
      <c r="J1" s="3022"/>
      <c r="K1" s="3022"/>
      <c r="L1" s="3022"/>
      <c r="M1" s="3022"/>
      <c r="N1" s="3022"/>
      <c r="O1" s="3022"/>
      <c r="P1" s="3022"/>
    </row>
    <row r="2" spans="1:16" ht="15.6">
      <c r="A2" s="2361" t="s">
        <v>2815</v>
      </c>
      <c r="B2" s="2826" t="e">
        <f ca="1">SUMIF(B6:B13,"&lt;&gt;#ref!",B6:B13)</f>
        <v>#DIV/0!</v>
      </c>
      <c r="C2" s="2361" t="s">
        <v>2816</v>
      </c>
      <c r="D2" s="2361" t="s">
        <v>2817</v>
      </c>
      <c r="E2" s="2836">
        <f ca="1">SUMIF(E6:E13,"&lt;&gt;#ref!",E6:E13)</f>
        <v>0</v>
      </c>
      <c r="F2" s="3022"/>
      <c r="G2" s="3022"/>
      <c r="H2" s="3022"/>
      <c r="I2" s="3022"/>
      <c r="J2" s="3022"/>
      <c r="K2" s="3022"/>
      <c r="L2" s="3022"/>
      <c r="M2" s="3022"/>
      <c r="N2" s="3022"/>
      <c r="O2" s="3022"/>
      <c r="P2" s="3022"/>
    </row>
    <row r="3" spans="1:16" ht="15.6">
      <c r="A3" s="2361" t="s">
        <v>2818</v>
      </c>
      <c r="B3" s="2826" t="e">
        <f ca="1">ROUND(B2*10000/E2,0)</f>
        <v>#DIV/0!</v>
      </c>
      <c r="C3" s="2361" t="s">
        <v>2824</v>
      </c>
      <c r="D3" s="3022"/>
      <c r="E3" s="3022"/>
      <c r="F3" s="3022"/>
      <c r="G3" s="3022"/>
      <c r="H3" s="3022"/>
      <c r="I3" s="3022"/>
      <c r="J3" s="3022"/>
      <c r="K3" s="3022"/>
      <c r="L3" s="3022"/>
      <c r="M3" s="3022"/>
      <c r="N3" s="3022"/>
      <c r="O3" s="3022"/>
      <c r="P3" s="3022"/>
    </row>
    <row r="4" spans="1:16" ht="15.6">
      <c r="A4" s="3023"/>
      <c r="B4" s="3022"/>
      <c r="C4" s="3022"/>
      <c r="D4" s="3022"/>
      <c r="E4" s="3022"/>
      <c r="F4" s="3022"/>
      <c r="G4" s="3022"/>
      <c r="H4" s="3022"/>
      <c r="I4" s="3022"/>
      <c r="J4" s="3022"/>
      <c r="K4" s="3022"/>
      <c r="L4" s="3022"/>
      <c r="M4" s="3022"/>
      <c r="N4" s="3022"/>
      <c r="O4" s="3022"/>
      <c r="P4" s="3022"/>
    </row>
    <row r="5" spans="1:16" ht="31.2">
      <c r="A5" s="2832" t="s">
        <v>2819</v>
      </c>
      <c r="B5" s="2834" t="s">
        <v>2820</v>
      </c>
      <c r="C5" s="2362"/>
      <c r="D5" s="3022"/>
      <c r="E5" s="2835" t="s">
        <v>2821</v>
      </c>
      <c r="F5" s="3022"/>
      <c r="G5" s="3022"/>
      <c r="H5" s="3022"/>
      <c r="I5" s="3022"/>
      <c r="J5" s="3022"/>
      <c r="K5" s="3022"/>
      <c r="L5" s="3022"/>
      <c r="M5" s="3022"/>
      <c r="N5" s="3022"/>
      <c r="O5" s="3022"/>
      <c r="P5" s="3022"/>
    </row>
    <row r="6" spans="1:16" ht="15.6">
      <c r="A6" s="2833" t="s">
        <v>2822</v>
      </c>
      <c r="B6" s="2826" t="e">
        <f ca="1">SUMIF(INDIRECT("'"&amp;A6&amp;"'"&amp;"!A:A"),"总价",INDIRECT("'"&amp;A6&amp;"'"&amp;"!B:B"))</f>
        <v>#DIV/0!</v>
      </c>
      <c r="C6" s="2361" t="s">
        <v>2816</v>
      </c>
      <c r="D6" s="3022"/>
      <c r="E6" s="2836">
        <f ca="1">SUMIF(INDIRECT("'"&amp;A6&amp;"'"&amp;"!C:C"),"建筑面积",INDIRECT("'"&amp;A6&amp;"'"&amp;"!D:D"))</f>
        <v>0</v>
      </c>
      <c r="F6" s="3022"/>
      <c r="G6" s="3022"/>
      <c r="H6" s="3022"/>
      <c r="I6" s="3022"/>
      <c r="J6" s="3022"/>
      <c r="K6" s="3022"/>
      <c r="L6" s="3022"/>
      <c r="M6" s="3022"/>
      <c r="N6" s="3022"/>
      <c r="O6" s="3022"/>
      <c r="P6" s="3022"/>
    </row>
    <row r="7" spans="1:16" ht="15.6">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6">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6">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6">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6">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6">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6">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7"/>
  <sheetViews>
    <sheetView zoomScale="80" zoomScaleNormal="80" workbookViewId="0">
      <selection activeCell="W6" sqref="W6"/>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513" t="s">
        <v>1117</v>
      </c>
      <c r="C1" s="3513"/>
      <c r="D1" s="3513"/>
      <c r="E1" s="3513"/>
      <c r="F1" s="3513"/>
      <c r="G1" s="3509" t="s">
        <v>1118</v>
      </c>
      <c r="H1" s="3509"/>
      <c r="I1" s="3509"/>
      <c r="J1" s="3509"/>
      <c r="K1" s="3509"/>
      <c r="L1" s="3509"/>
      <c r="N1" s="3509" t="s">
        <v>1119</v>
      </c>
      <c r="O1" s="3509"/>
      <c r="P1" s="3509"/>
      <c r="Q1" s="3509"/>
      <c r="S1" s="3509" t="s">
        <v>1120</v>
      </c>
      <c r="T1" s="3509"/>
      <c r="U1" s="3509"/>
      <c r="V1" s="3509"/>
      <c r="X1" s="3508" t="s">
        <v>1121</v>
      </c>
      <c r="Y1" s="3509"/>
      <c r="Z1" s="3509"/>
      <c r="AA1" s="3509"/>
      <c r="AB1" s="3509"/>
      <c r="AD1" s="3508" t="s">
        <v>1122</v>
      </c>
      <c r="AE1" s="3509"/>
      <c r="AF1" s="3509"/>
      <c r="AG1" s="3509"/>
      <c r="AH1" s="3509"/>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3057</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3056</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8"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8"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1">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1"/>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1"/>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18"/>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514">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1"/>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511"/>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18"/>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14">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1"/>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1"/>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8"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2"/>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8" thickBot="1">
      <c r="A27" s="2423" t="s">
        <v>151</v>
      </c>
      <c r="B27" s="2438">
        <v>333</v>
      </c>
      <c r="C27" s="2438">
        <v>277</v>
      </c>
      <c r="D27" s="2438">
        <f t="shared" si="180"/>
        <v>277</v>
      </c>
      <c r="E27" s="2438">
        <v>459</v>
      </c>
      <c r="F27" s="2439">
        <v>249</v>
      </c>
      <c r="G27" s="3510">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1"/>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1"/>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2"/>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8" thickBot="1">
      <c r="A31" s="2423" t="s">
        <v>147</v>
      </c>
      <c r="B31" s="2452">
        <v>318</v>
      </c>
      <c r="C31" s="2452">
        <v>268</v>
      </c>
      <c r="D31" s="2452">
        <f t="shared" si="180"/>
        <v>268</v>
      </c>
      <c r="E31" s="2452">
        <v>437</v>
      </c>
      <c r="F31" s="2453">
        <v>237</v>
      </c>
      <c r="G31" s="3510">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1"/>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8"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1"/>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8"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2"/>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8" thickBot="1">
      <c r="A35" s="2423" t="s">
        <v>1130</v>
      </c>
      <c r="B35" s="2438">
        <v>299</v>
      </c>
      <c r="C35" s="2438">
        <v>252</v>
      </c>
      <c r="D35" s="2438">
        <f t="shared" si="180"/>
        <v>252</v>
      </c>
      <c r="E35" s="2438">
        <v>409</v>
      </c>
      <c r="F35" s="2439">
        <v>227</v>
      </c>
      <c r="G35" s="3515">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16"/>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16"/>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17"/>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8" thickBot="1">
      <c r="A39" s="2423" t="s">
        <v>1134</v>
      </c>
      <c r="B39" s="2473">
        <v>278</v>
      </c>
      <c r="C39" s="2473">
        <v>234</v>
      </c>
      <c r="D39" s="2473">
        <f t="shared" si="180"/>
        <v>234</v>
      </c>
      <c r="E39" s="2473">
        <v>379</v>
      </c>
      <c r="F39" s="2474">
        <v>220</v>
      </c>
      <c r="G39" s="3510">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1"/>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1"/>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8" thickBot="1">
      <c r="A42" s="2423" t="s">
        <v>1137</v>
      </c>
      <c r="B42" s="2424">
        <f>B41/(1+N41)</f>
        <v>275.19025476197027</v>
      </c>
      <c r="C42" s="2475">
        <v>232</v>
      </c>
      <c r="D42" s="2475">
        <f t="shared" si="180"/>
        <v>232</v>
      </c>
      <c r="E42" s="2424">
        <f t="shared" si="191"/>
        <v>375.65990977608692</v>
      </c>
      <c r="F42" s="2424">
        <f t="shared" si="191"/>
        <v>214.12518283971252</v>
      </c>
      <c r="G42" s="3512"/>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8" thickBot="1">
      <c r="A43" s="2423" t="s">
        <v>1138</v>
      </c>
      <c r="B43" s="2438">
        <v>275</v>
      </c>
      <c r="C43" s="2438">
        <v>232</v>
      </c>
      <c r="D43" s="2438">
        <f t="shared" si="180"/>
        <v>232</v>
      </c>
      <c r="E43" s="2438">
        <v>376</v>
      </c>
      <c r="F43" s="2439">
        <v>213</v>
      </c>
      <c r="G43" s="3510">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1">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1">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8"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2">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8" thickBot="1">
      <c r="A47" s="2423" t="s">
        <v>1142</v>
      </c>
      <c r="B47" s="2438">
        <v>269</v>
      </c>
      <c r="C47" s="2438">
        <v>221</v>
      </c>
      <c r="D47" s="2438">
        <f t="shared" si="180"/>
        <v>221</v>
      </c>
      <c r="E47" s="2438">
        <v>373</v>
      </c>
      <c r="F47" s="2439">
        <v>196</v>
      </c>
      <c r="G47" s="3510">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1">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1">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8"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2">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8" thickBot="1">
      <c r="A51" s="2423" t="s">
        <v>1146</v>
      </c>
      <c r="B51" s="2438">
        <v>220</v>
      </c>
      <c r="C51" s="2438">
        <v>187</v>
      </c>
      <c r="D51" s="2438">
        <f t="shared" si="180"/>
        <v>187</v>
      </c>
      <c r="E51" s="2438">
        <v>301</v>
      </c>
      <c r="F51" s="2439">
        <v>168</v>
      </c>
      <c r="G51" s="3510">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1">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1">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2">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8" thickBot="1">
      <c r="A55" s="2423" t="s">
        <v>1150</v>
      </c>
      <c r="B55" s="2473">
        <v>214</v>
      </c>
      <c r="C55" s="2473">
        <v>188</v>
      </c>
      <c r="D55" s="2473">
        <f t="shared" si="180"/>
        <v>188</v>
      </c>
      <c r="E55" s="2473">
        <v>289</v>
      </c>
      <c r="F55" s="2474">
        <v>166</v>
      </c>
      <c r="G55" s="3510">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1">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1">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8"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2">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8" thickBot="1">
      <c r="A59" s="2423" t="s">
        <v>1154</v>
      </c>
      <c r="B59" s="2438">
        <v>188</v>
      </c>
      <c r="C59" s="2438">
        <v>165</v>
      </c>
      <c r="D59" s="2438">
        <f t="shared" si="180"/>
        <v>165</v>
      </c>
      <c r="E59" s="2438">
        <v>254</v>
      </c>
      <c r="F59" s="2439">
        <v>148</v>
      </c>
      <c r="G59" s="3510">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1">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1">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2">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8" thickBot="1">
      <c r="A63" s="2423" t="s">
        <v>1158</v>
      </c>
      <c r="B63" s="2452">
        <v>159</v>
      </c>
      <c r="C63" s="2452">
        <v>141</v>
      </c>
      <c r="D63" s="2452">
        <f t="shared" si="180"/>
        <v>141</v>
      </c>
      <c r="E63" s="2452">
        <v>195</v>
      </c>
      <c r="F63" s="2453">
        <v>122</v>
      </c>
      <c r="G63" s="3510">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1">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1">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2">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8" thickBot="1">
      <c r="A67" s="2423" t="s">
        <v>1162</v>
      </c>
      <c r="B67" s="2452">
        <v>138</v>
      </c>
      <c r="C67" s="2452">
        <v>131</v>
      </c>
      <c r="D67" s="2452">
        <f t="shared" si="180"/>
        <v>131</v>
      </c>
      <c r="E67" s="2452">
        <v>155</v>
      </c>
      <c r="F67" s="2453">
        <v>114</v>
      </c>
      <c r="G67" s="3510">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1">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1">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2">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8" thickBot="1">
      <c r="A71" s="2423" t="s">
        <v>1166</v>
      </c>
      <c r="B71" s="2473">
        <v>121</v>
      </c>
      <c r="C71" s="2473">
        <v>122</v>
      </c>
      <c r="D71" s="2473">
        <f t="shared" si="180"/>
        <v>122</v>
      </c>
      <c r="E71" s="2473">
        <v>124</v>
      </c>
      <c r="F71" s="2474">
        <v>107</v>
      </c>
      <c r="G71" s="3510">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1">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1">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8"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2">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8" thickBot="1">
      <c r="A75" s="2423" t="s">
        <v>1170</v>
      </c>
      <c r="B75" s="2493">
        <v>111</v>
      </c>
      <c r="C75" s="2493">
        <v>114</v>
      </c>
      <c r="D75" s="2493">
        <f t="shared" si="180"/>
        <v>114</v>
      </c>
      <c r="E75" s="2493">
        <v>108</v>
      </c>
      <c r="F75" s="2494">
        <v>104</v>
      </c>
      <c r="G75" s="3510">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1">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1">
        <v>2003</v>
      </c>
      <c r="H77" s="2436">
        <v>2</v>
      </c>
      <c r="I77" s="2495"/>
      <c r="J77" s="2495"/>
      <c r="K77" s="2495"/>
      <c r="L77" s="2495"/>
      <c r="X77" s="2487"/>
      <c r="Y77" s="2487"/>
      <c r="Z77" s="2487"/>
    </row>
    <row r="78" spans="1:26" ht="13.8" thickBot="1">
      <c r="A78" s="2423" t="s">
        <v>1173</v>
      </c>
      <c r="B78" s="2497">
        <f t="shared" si="216"/>
        <v>107.25</v>
      </c>
      <c r="C78" s="2497">
        <f t="shared" si="216"/>
        <v>108.75</v>
      </c>
      <c r="D78" s="2497">
        <f t="shared" si="180"/>
        <v>108.75</v>
      </c>
      <c r="E78" s="2497">
        <f t="shared" si="217"/>
        <v>105.75</v>
      </c>
      <c r="F78" s="2497">
        <f t="shared" si="217"/>
        <v>102.5</v>
      </c>
      <c r="G78" s="3512">
        <v>2003</v>
      </c>
      <c r="H78" s="2498">
        <v>1</v>
      </c>
      <c r="I78" s="2495"/>
      <c r="J78" s="2495"/>
      <c r="K78" s="2495"/>
      <c r="L78" s="2495"/>
      <c r="S78" s="2426"/>
      <c r="T78" s="2411"/>
      <c r="U78" s="2411"/>
      <c r="X78" s="2487"/>
      <c r="Y78" s="2487"/>
      <c r="Z78" s="2487"/>
    </row>
    <row r="79" spans="1:26" ht="13.8" thickBot="1">
      <c r="A79" s="2423" t="s">
        <v>1174</v>
      </c>
      <c r="B79" s="2499">
        <v>106</v>
      </c>
      <c r="C79" s="2499">
        <v>107</v>
      </c>
      <c r="D79" s="2499">
        <f t="shared" si="180"/>
        <v>107</v>
      </c>
      <c r="E79" s="2499">
        <v>105</v>
      </c>
      <c r="F79" s="2500">
        <v>102</v>
      </c>
      <c r="G79" s="3510">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1">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1">
        <v>2002</v>
      </c>
      <c r="H81" s="2436">
        <v>2</v>
      </c>
      <c r="I81" s="2495"/>
      <c r="J81" s="2495"/>
      <c r="K81" s="2495"/>
      <c r="L81" s="2495"/>
      <c r="X81" s="2487"/>
      <c r="Y81" s="2487"/>
      <c r="Z81" s="2487"/>
    </row>
    <row r="82" spans="1:26" s="2460" customFormat="1" ht="13.8" thickBot="1">
      <c r="A82" s="2456" t="s">
        <v>1177</v>
      </c>
      <c r="B82" s="2463">
        <f t="shared" si="218"/>
        <v>103</v>
      </c>
      <c r="C82" s="2463">
        <f t="shared" si="218"/>
        <v>104</v>
      </c>
      <c r="D82" s="2463">
        <f t="shared" si="180"/>
        <v>104</v>
      </c>
      <c r="E82" s="2463">
        <f t="shared" si="219"/>
        <v>103.5</v>
      </c>
      <c r="F82" s="2463">
        <f t="shared" si="219"/>
        <v>100.5</v>
      </c>
      <c r="G82" s="3512">
        <v>2002</v>
      </c>
      <c r="H82" s="2501">
        <v>1</v>
      </c>
      <c r="I82" s="2502"/>
      <c r="J82" s="2502"/>
      <c r="K82" s="2502"/>
      <c r="L82" s="2502"/>
      <c r="N82" s="2503"/>
      <c r="S82" s="2503"/>
      <c r="X82" s="2504"/>
      <c r="Y82" s="2504"/>
      <c r="Z82" s="2504"/>
    </row>
    <row r="83" spans="1:26" ht="13.8"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8"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8"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8"/>
      <c r="C2" s="3148"/>
      <c r="D2" s="3148"/>
      <c r="E2" s="3148"/>
    </row>
    <row r="3" spans="1:5" ht="17.399999999999999">
      <c r="A3" s="3149" t="str">
        <f>IF(项目基本情况!B9="房地产市场价值","估价结果一览表（市场价值不需“结果表-1”）","估价结果一览表")</f>
        <v>估价结果一览表（市场价值不需“结果表-1”）</v>
      </c>
      <c r="B3" s="3149"/>
      <c r="C3" s="3149"/>
      <c r="D3" s="3149"/>
      <c r="E3" s="3149"/>
    </row>
    <row r="4" spans="1:5" ht="18" thickBot="1">
      <c r="A4" s="1678"/>
      <c r="B4" s="3147" t="s">
        <v>1595</v>
      </c>
      <c r="C4" s="3147"/>
      <c r="D4" s="3147"/>
      <c r="E4" s="1678"/>
    </row>
    <row r="5" spans="1:5" ht="16.2" thickTop="1">
      <c r="A5" s="1676"/>
      <c r="B5" s="3145" t="s">
        <v>1587</v>
      </c>
      <c r="C5" s="1679" t="s">
        <v>1588</v>
      </c>
      <c r="D5" s="959" t="e">
        <f ca="1">结果表!H101</f>
        <v>#REF!</v>
      </c>
      <c r="E5" s="1676"/>
    </row>
    <row r="6" spans="1:5" ht="15.6">
      <c r="A6" s="1676"/>
      <c r="B6" s="3145"/>
      <c r="C6" s="1679" t="s">
        <v>1589</v>
      </c>
      <c r="D6" s="959" t="e">
        <f ca="1">NUMBERSTRING(INT(D5*10000),2)&amp;"元整"</f>
        <v>#REF!</v>
      </c>
      <c r="E6" s="1676"/>
    </row>
    <row r="7" spans="1:5" ht="15.6">
      <c r="A7" s="1676"/>
      <c r="B7" s="3150"/>
      <c r="C7" s="1680" t="s">
        <v>1590</v>
      </c>
      <c r="D7" s="960" t="e">
        <f ca="1">结果表!H102</f>
        <v>#REF!</v>
      </c>
      <c r="E7" s="1676"/>
    </row>
    <row r="8" spans="1:5" ht="15.6">
      <c r="A8" s="1676"/>
      <c r="B8" s="3151" t="str">
        <f>结果表!E103</f>
        <v>2.估价师知悉的法定优先受偿款</v>
      </c>
      <c r="C8" s="1681" t="s">
        <v>1591</v>
      </c>
      <c r="D8" s="960">
        <f>结果表!H103</f>
        <v>0</v>
      </c>
      <c r="E8" s="1676"/>
    </row>
    <row r="9" spans="1:5" ht="15.6">
      <c r="A9" s="1676"/>
      <c r="B9" s="3153"/>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144" t="str">
        <f>结果表!E107</f>
        <v>3.房地产抵押价值</v>
      </c>
      <c r="C13" s="1684" t="s">
        <v>1588</v>
      </c>
      <c r="D13" s="962" t="e">
        <f ca="1">结果表!H107</f>
        <v>#REF!</v>
      </c>
      <c r="E13" s="1676"/>
    </row>
    <row r="14" spans="1:5" ht="15.6">
      <c r="A14" s="1676"/>
      <c r="B14" s="3145"/>
      <c r="C14" s="1679" t="s">
        <v>1589</v>
      </c>
      <c r="D14" s="959" t="e">
        <f ca="1">NUMBERSTRING(INT(D13*10000),2)&amp;"元整"</f>
        <v>#REF!</v>
      </c>
      <c r="E14" s="1676"/>
    </row>
    <row r="15" spans="1:5" ht="15.6">
      <c r="A15" s="1676"/>
      <c r="B15" s="3150"/>
      <c r="C15" s="1680" t="s">
        <v>1599</v>
      </c>
      <c r="D15" s="968" t="e">
        <f ca="1">结果表!H108</f>
        <v>#REF!</v>
      </c>
      <c r="E15" s="1676"/>
    </row>
    <row r="16" spans="1:5" ht="15.6">
      <c r="A16" s="1676"/>
      <c r="B16" s="3151" t="str">
        <f>结果表!E109</f>
        <v>——</v>
      </c>
      <c r="C16" s="1684" t="s">
        <v>1600</v>
      </c>
      <c r="D16" s="1685" t="str">
        <f>结果表!H109</f>
        <v>——</v>
      </c>
      <c r="E16" s="1676"/>
    </row>
    <row r="17" spans="1:5" ht="15.6">
      <c r="A17" s="1676"/>
      <c r="B17" s="3152"/>
      <c r="C17" s="1679" t="s">
        <v>1601</v>
      </c>
      <c r="D17" s="959" t="e">
        <f>NUMBERSTRING(INT(D16*10000),2)&amp;"元整"</f>
        <v>#VALUE!</v>
      </c>
      <c r="E17" s="1676"/>
    </row>
    <row r="18" spans="1:5" ht="15.6">
      <c r="A18" s="1676"/>
      <c r="B18" s="3153"/>
      <c r="C18" s="1680" t="s">
        <v>1590</v>
      </c>
      <c r="D18" s="968" t="str">
        <f>结果表!H110</f>
        <v>——</v>
      </c>
      <c r="E18" s="1676"/>
    </row>
    <row r="19" spans="1:5" ht="15.6">
      <c r="A19" s="1676"/>
      <c r="B19" s="3144" t="str">
        <f>结果表!E111</f>
        <v>——</v>
      </c>
      <c r="C19" s="1684" t="s">
        <v>1588</v>
      </c>
      <c r="D19" s="960" t="str">
        <f>结果表!H111</f>
        <v>——</v>
      </c>
      <c r="E19" s="1676"/>
    </row>
    <row r="20" spans="1:5" ht="15.6">
      <c r="A20" s="1676"/>
      <c r="B20" s="3145"/>
      <c r="C20" s="1679" t="s">
        <v>1601</v>
      </c>
      <c r="D20" s="959" t="e">
        <f>NUMBERSTRING(INT(D19*10000),2)&amp;"元整"</f>
        <v>#VALUE!</v>
      </c>
      <c r="E20" s="1676"/>
    </row>
    <row r="21" spans="1:5" ht="16.2" thickBot="1">
      <c r="A21" s="1676"/>
      <c r="B21" s="3146"/>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522" t="s">
        <v>2826</v>
      </c>
      <c r="D1" s="3523"/>
      <c r="E1" s="3523"/>
      <c r="F1" s="3523"/>
      <c r="G1" s="3523"/>
      <c r="H1" s="3523"/>
      <c r="I1" s="3523"/>
      <c r="J1" s="3523"/>
      <c r="K1" s="3523"/>
      <c r="L1" s="3523"/>
      <c r="M1" s="3523"/>
      <c r="N1" s="3523"/>
      <c r="O1" s="3523"/>
      <c r="P1" s="3523"/>
      <c r="Q1" s="3523"/>
      <c r="R1" s="3523"/>
      <c r="S1" s="3524"/>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2"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6">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519" t="s">
        <v>33</v>
      </c>
      <c r="D22" s="3520"/>
      <c r="E22" s="3520"/>
      <c r="F22" s="3520"/>
      <c r="G22" s="3520"/>
      <c r="H22" s="3520"/>
      <c r="I22" s="3520"/>
      <c r="J22" s="3520"/>
      <c r="K22" s="3520"/>
      <c r="L22" s="3520"/>
      <c r="M22" s="3520"/>
      <c r="N22" s="3520"/>
      <c r="O22" s="3520"/>
      <c r="P22" s="3520"/>
      <c r="Q22" s="3521"/>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29906</v>
      </c>
      <c r="C2" s="2" t="s">
        <v>133</v>
      </c>
      <c r="D2" s="205"/>
      <c r="E2" s="205"/>
      <c r="F2" s="205"/>
      <c r="G2" s="205"/>
    </row>
    <row r="3" spans="1:7" s="206" customFormat="1" ht="18" customHeight="1" thickBot="1">
      <c r="A3" s="209" t="s">
        <v>85</v>
      </c>
      <c r="B3" s="210">
        <f ca="1">ROUND(B2*10000/'数据-汇总表'!E3,0)</f>
        <v>300714</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29404</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v>
      </c>
      <c r="D42" s="244"/>
      <c r="E42" s="244"/>
      <c r="F42" s="245"/>
      <c r="G42" s="3377" t="s">
        <v>121</v>
      </c>
    </row>
    <row r="43" spans="1:7" ht="13.5" customHeight="1">
      <c r="A43" s="888" t="s">
        <v>792</v>
      </c>
      <c r="B43" s="221" t="s">
        <v>1032</v>
      </c>
      <c r="C43" s="244">
        <f ca="1">ROUND(IF('数据-取费表'!B22&lt;=1,C39*F22*'数据-取费表'!B21/2,C39*(POWER((1+F22),'数据-取费表'!B21/2)-1)),0)</f>
        <v>0</v>
      </c>
      <c r="D43" s="244"/>
      <c r="E43" s="244"/>
      <c r="F43" s="245"/>
      <c r="G43" s="3378"/>
    </row>
    <row r="44" spans="1:7" ht="13.5" customHeight="1">
      <c r="A44" s="888" t="s">
        <v>793</v>
      </c>
      <c r="B44" s="221" t="s">
        <v>1034</v>
      </c>
      <c r="C44" s="244">
        <f ca="1">ROUND(IF('数据-取费表'!B22&lt;=1,C40*F22*'数据-取费表'!B21/2,C40*(POWER((1+F22),'数据-取费表'!B21/2)-1)),4)</f>
        <v>8.9999999999999998E-4</v>
      </c>
      <c r="D44" s="244"/>
      <c r="E44" s="244"/>
      <c r="F44" s="245"/>
      <c r="G44" s="3379"/>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605</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502</v>
      </c>
      <c r="D51" s="238"/>
      <c r="E51" s="238"/>
      <c r="F51" s="270"/>
      <c r="G51" s="240" t="s">
        <v>64</v>
      </c>
    </row>
    <row r="52" spans="1:7" s="214" customFormat="1" ht="16.8" thickBot="1">
      <c r="A52" s="271" t="s">
        <v>65</v>
      </c>
      <c r="B52" s="272"/>
      <c r="C52" s="273">
        <f ca="1">C31+C51</f>
        <v>29906</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25" t="s">
        <v>156</v>
      </c>
      <c r="B1" s="3525"/>
      <c r="C1" s="3525"/>
      <c r="D1" s="3525"/>
      <c r="E1" s="3525"/>
      <c r="F1" s="352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26" t="s">
        <v>169</v>
      </c>
      <c r="B2" s="3526"/>
      <c r="C2" s="3526"/>
      <c r="D2" s="3526"/>
      <c r="E2" s="3526"/>
      <c r="F2" s="352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25" t="s">
        <v>839</v>
      </c>
      <c r="B1" s="3525"/>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W6" sqref="W6"/>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5" t="s">
        <v>3058</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6.8">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1343</v>
      </c>
      <c r="D1" s="1546"/>
      <c r="E1" s="1547" t="s">
        <v>1352</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8611</v>
      </c>
      <c r="C2" s="1571" t="s">
        <v>1481</v>
      </c>
      <c r="D2" s="1571"/>
      <c r="E2" s="1572"/>
      <c r="F2" s="1573"/>
      <c r="G2" s="2933"/>
      <c r="H2" s="2922"/>
      <c r="I2" s="2922"/>
      <c r="J2" s="2922"/>
      <c r="K2" s="2923"/>
      <c r="L2" s="2922"/>
      <c r="M2" s="2922"/>
    </row>
    <row r="3" spans="1:37" ht="18" customHeight="1" thickBot="1">
      <c r="A3" s="1574" t="s">
        <v>1482</v>
      </c>
      <c r="B3" s="1575">
        <f ca="1">IF(ISERROR(B2*10000/F43),0,ROUND(B2*10000/F43,0))</f>
        <v>86586</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436</v>
      </c>
      <c r="D5" s="1548" t="s">
        <v>1367</v>
      </c>
      <c r="E5" s="1203"/>
      <c r="F5" s="1204"/>
      <c r="G5" s="1568"/>
      <c r="H5" s="305">
        <v>1</v>
      </c>
      <c r="I5" s="306" t="s">
        <v>1366</v>
      </c>
      <c r="J5" s="1202">
        <f ca="1">J6+J10+J12</f>
        <v>0</v>
      </c>
      <c r="K5" s="1548" t="s">
        <v>1367</v>
      </c>
      <c r="L5" s="1203"/>
      <c r="M5" s="1204"/>
    </row>
    <row r="6" spans="1:37" ht="18" customHeight="1">
      <c r="A6" s="1201" t="s">
        <v>1003</v>
      </c>
      <c r="B6" s="3380" t="s">
        <v>1368</v>
      </c>
      <c r="C6" s="1206">
        <f ca="1">ROUND(F6*F8*F7*(1-F9)/10000,0)</f>
        <v>435</v>
      </c>
      <c r="D6" s="160" t="s">
        <v>2851</v>
      </c>
      <c r="E6" s="308" t="s">
        <v>1370</v>
      </c>
      <c r="F6" s="309">
        <f ca="1">INDIRECT("'数据-取费表'!u"&amp;$G$1)</f>
        <v>12.6</v>
      </c>
      <c r="G6" s="1568"/>
      <c r="H6" s="1201" t="s">
        <v>1003</v>
      </c>
      <c r="I6" s="3380" t="s">
        <v>1368</v>
      </c>
      <c r="J6" s="307">
        <f ca="1">ROUND(M6*M8*M7*(1-M9)/10000,0)</f>
        <v>0</v>
      </c>
      <c r="K6" s="160" t="s">
        <v>2850</v>
      </c>
      <c r="L6" s="308" t="s">
        <v>1370</v>
      </c>
      <c r="M6" s="309">
        <f ca="1">INDIRECT("'数据-取费表'!z"&amp;$G$1)</f>
        <v>0</v>
      </c>
    </row>
    <row r="7" spans="1:37" ht="18" customHeight="1">
      <c r="A7" s="1205"/>
      <c r="B7" s="3381"/>
      <c r="C7" s="1207"/>
      <c r="D7" s="313"/>
      <c r="E7" s="1208" t="s">
        <v>1371</v>
      </c>
      <c r="F7" s="309">
        <f ca="1">IF(INDIRECT("'数据-取费表'!ah"&amp;$G$1)="",INDIRECT("'数据-取费表'!k"&amp;$G$1),INDIRECT("'数据-取费表'!ah"&amp;$G$1))</f>
        <v>994.5</v>
      </c>
      <c r="G7" s="1568"/>
      <c r="H7" s="310"/>
      <c r="I7" s="3381"/>
      <c r="J7" s="312"/>
      <c r="K7" s="313"/>
      <c r="L7" s="308" t="s">
        <v>1371</v>
      </c>
      <c r="M7" s="309">
        <f ca="1">F7</f>
        <v>994.5</v>
      </c>
    </row>
    <row r="8" spans="1:37" ht="18" customHeight="1">
      <c r="A8" s="310"/>
      <c r="B8" s="3381"/>
      <c r="C8" s="312"/>
      <c r="D8" s="313"/>
      <c r="E8" s="308" t="s">
        <v>1372</v>
      </c>
      <c r="F8" s="309">
        <f ca="1">INDIRECT("'数据-取费表'!ai"&amp;$G$1)</f>
        <v>365</v>
      </c>
      <c r="G8" s="1568"/>
      <c r="H8" s="310"/>
      <c r="I8" s="3381"/>
      <c r="J8" s="312"/>
      <c r="K8" s="313"/>
      <c r="L8" s="308" t="s">
        <v>1372</v>
      </c>
      <c r="M8" s="309">
        <f ca="1">INDIRECT("'数据-取费表'!ai"&amp;$G$1)</f>
        <v>365</v>
      </c>
    </row>
    <row r="9" spans="1:37" ht="18" customHeight="1">
      <c r="A9" s="310"/>
      <c r="B9" s="3382"/>
      <c r="C9" s="312"/>
      <c r="D9" s="313"/>
      <c r="E9" s="308" t="s">
        <v>1373</v>
      </c>
      <c r="F9" s="318">
        <f ca="1">INDIRECT("'数据-取费表'!w"&amp;$G$1)</f>
        <v>0.05</v>
      </c>
      <c r="G9" s="1568"/>
      <c r="H9" s="310"/>
      <c r="I9" s="3382"/>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2859</v>
      </c>
      <c r="E10" s="319" t="s">
        <v>1375</v>
      </c>
      <c r="F10" s="1276" t="s">
        <v>3212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502</v>
      </c>
      <c r="D13" s="1241" t="s">
        <v>1380</v>
      </c>
      <c r="E13" s="1241" t="s">
        <v>1381</v>
      </c>
      <c r="F13" s="1242">
        <f ca="1">INDIRECT("'数据-取费表'!y"&amp;$G$1)</f>
        <v>0.83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398</v>
      </c>
      <c r="D14" s="1529" t="s">
        <v>1383</v>
      </c>
      <c r="E14" s="1526"/>
      <c r="F14" s="325"/>
      <c r="G14" s="1568"/>
      <c r="H14" s="1113" t="s">
        <v>1003</v>
      </c>
      <c r="I14" s="308" t="s">
        <v>1384</v>
      </c>
      <c r="J14" s="24">
        <f ca="1">C29</f>
        <v>605</v>
      </c>
      <c r="K14" s="15"/>
      <c r="L14" s="916"/>
      <c r="M14" s="917"/>
    </row>
    <row r="15" spans="1:37" s="1581" customFormat="1" ht="18" customHeight="1" thickBot="1">
      <c r="A15" s="1113" t="s">
        <v>1004</v>
      </c>
      <c r="B15" s="308" t="s">
        <v>1385</v>
      </c>
      <c r="C15" s="24">
        <f ca="1">ROUND(C14*F15,0)</f>
        <v>16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14</v>
      </c>
      <c r="K16" s="1247" t="s">
        <v>1390</v>
      </c>
      <c r="L16" s="1248"/>
      <c r="M16" s="1204"/>
    </row>
    <row r="17" spans="1:37" s="1581" customFormat="1" ht="18" customHeight="1">
      <c r="A17" s="1113" t="s">
        <v>1355</v>
      </c>
      <c r="B17" s="308" t="s">
        <v>1391</v>
      </c>
      <c r="C17" s="24">
        <f ca="1">ROUND(F17*(F43+INDIRECT("'数据-取费表'!S"&amp;$G$1))/10000,0)</f>
        <v>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440</v>
      </c>
      <c r="D19" s="136" t="s">
        <v>1401</v>
      </c>
      <c r="E19" s="1544"/>
      <c r="F19" s="26"/>
      <c r="G19" s="1568"/>
      <c r="H19" s="1113" t="s">
        <v>1004</v>
      </c>
      <c r="I19" s="308" t="s">
        <v>1402</v>
      </c>
      <c r="J19" s="24">
        <f ca="1">IF(K19="按租金收入计税",ROUND(J6*M19/(1+'数据-取费表'!C42),2),ROUND(C29*M19*0.7,2))</f>
        <v>5.08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19</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-14</v>
      </c>
      <c r="K25" s="1255" t="s">
        <v>1429</v>
      </c>
      <c r="L25" s="1256"/>
      <c r="M25" s="1257"/>
    </row>
    <row r="26" spans="1:37">
      <c r="A26" s="1113" t="s">
        <v>1002</v>
      </c>
      <c r="B26" s="308" t="s">
        <v>1430</v>
      </c>
      <c r="C26" s="24">
        <f ca="1">ROUND((C19+C20)*F26,0)</f>
        <v>90</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605</v>
      </c>
      <c r="D29" s="1252"/>
      <c r="E29" s="1250"/>
      <c r="F29" s="1253"/>
      <c r="G29" s="1580"/>
      <c r="H29" s="340" t="s">
        <v>1001</v>
      </c>
      <c r="I29" s="341" t="s">
        <v>1444</v>
      </c>
      <c r="J29" s="342">
        <f ca="1">ROUND(J26/(1+F40)^F41,0)</f>
        <v>0</v>
      </c>
      <c r="K29" s="343" t="s">
        <v>1445</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87</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73</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IF(项目基本情况!B11="自然人","——",ROUND(C6*F32/(1+'数据-取费表'!C42),2))</f>
        <v>23.2</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49.71</v>
      </c>
      <c r="D33" s="1554" t="s">
        <v>3215</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9.1</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4.4000000000000004</v>
      </c>
      <c r="D38" s="1252" t="s">
        <v>1424</v>
      </c>
      <c r="E38" s="1250" t="s">
        <v>1420</v>
      </c>
      <c r="F38" s="1246">
        <f ca="1">INDIRECT("'数据-取费表'!Am"&amp;$G$1)</f>
        <v>0.01</v>
      </c>
      <c r="G38" s="1568"/>
      <c r="H38" s="2927"/>
      <c r="I38" s="1582"/>
      <c r="J38" s="1583"/>
      <c r="K38" s="2931"/>
      <c r="L38" s="2927"/>
      <c r="M38" s="2927"/>
    </row>
    <row r="39" spans="1:18" ht="24.6" customHeight="1" thickTop="1">
      <c r="A39" s="1239" t="s">
        <v>999</v>
      </c>
      <c r="B39" s="1254" t="s">
        <v>1448</v>
      </c>
      <c r="C39" s="316">
        <f ca="1">C5-C30</f>
        <v>349</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8611</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86586</v>
      </c>
      <c r="D43" s="343" t="s">
        <v>1453</v>
      </c>
      <c r="E43" s="344" t="s">
        <v>1454</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8" thickBot="1">
      <c r="A46" s="1588" t="s">
        <v>1485</v>
      </c>
      <c r="C46" s="1589">
        <f ca="1">C68-C40</f>
        <v>-9590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3213</v>
      </c>
      <c r="K47" s="1600" t="s">
        <v>1492</v>
      </c>
      <c r="L47" s="1601">
        <f ca="1">INDIRECT("'数据-取费表'!d"&amp;$G$1)</f>
        <v>40</v>
      </c>
      <c r="M47" s="1564" t="str">
        <f>IF(ISNUMBER(FIND("住宅",C1)),"住宅","非住宅")</f>
        <v>非住宅</v>
      </c>
      <c r="O47" s="1602" t="s">
        <v>1008</v>
      </c>
      <c r="P47" s="1603" t="s">
        <v>1493</v>
      </c>
      <c r="Q47" s="1604">
        <f ca="1">C40+J29</f>
        <v>8611</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3214</v>
      </c>
      <c r="K48" s="1607" t="s">
        <v>1496</v>
      </c>
      <c r="L48" s="1608">
        <f ca="1">INDIRECT("'数据-取费表'!f"&amp;$G$1)</f>
        <v>40</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2852</v>
      </c>
      <c r="E49" s="1556" t="s">
        <v>1456</v>
      </c>
      <c r="F49" s="1191"/>
      <c r="G49" s="1609"/>
      <c r="H49" s="732"/>
      <c r="I49" s="1605" t="s">
        <v>1499</v>
      </c>
      <c r="J49" s="1610">
        <v>2011</v>
      </c>
      <c r="K49" s="1607" t="s">
        <v>1500</v>
      </c>
      <c r="L49" s="1611"/>
      <c r="O49" s="1612" t="s">
        <v>1010</v>
      </c>
      <c r="P49" s="1603" t="s">
        <v>1501</v>
      </c>
      <c r="Q49" s="1604">
        <f ca="1">C29</f>
        <v>605</v>
      </c>
      <c r="R49" s="1604" t="s">
        <v>1494</v>
      </c>
    </row>
    <row r="50" spans="1:18" s="1568" customFormat="1" ht="13.8" thickBot="1">
      <c r="A50" s="1107"/>
      <c r="B50" s="1110"/>
      <c r="C50" s="1278"/>
      <c r="D50" s="1084"/>
      <c r="E50" s="1187" t="s">
        <v>1371</v>
      </c>
      <c r="F50" s="1188">
        <f ca="1">F7</f>
        <v>994.5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50</v>
      </c>
      <c r="K51" s="1618" t="s">
        <v>1506</v>
      </c>
      <c r="L51" s="1619">
        <f ca="1">ROUND(-PV(INDIRECT("'数据-取费表'!h"&amp;$G$1),J51,(C39-C13*C76),0),0)</f>
        <v>5821</v>
      </c>
      <c r="M51" s="1620"/>
      <c r="O51" s="1612" t="s">
        <v>1012</v>
      </c>
      <c r="P51" s="1603" t="s">
        <v>1507</v>
      </c>
      <c r="Q51" s="1615">
        <f>J52</f>
        <v>8.5000000000000006E-2</v>
      </c>
      <c r="R51" s="1604"/>
    </row>
    <row r="52" spans="1:18" s="1568" customFormat="1" ht="13.8" thickBot="1">
      <c r="A52" s="1108"/>
      <c r="B52" s="1110"/>
      <c r="C52" s="1111"/>
      <c r="D52" s="1084"/>
      <c r="E52" s="1112" t="s">
        <v>1373</v>
      </c>
      <c r="F52" s="1185"/>
      <c r="I52" s="1621" t="s">
        <v>1508</v>
      </c>
      <c r="J52" s="1622">
        <v>8.5000000000000006E-2</v>
      </c>
      <c r="K52" s="1621" t="s">
        <v>1509</v>
      </c>
      <c r="L52" s="1622"/>
      <c r="O52" s="1612" t="s">
        <v>1013</v>
      </c>
      <c r="P52" s="1603" t="s">
        <v>1510</v>
      </c>
      <c r="Q52" s="1604">
        <f ca="1">J53</f>
        <v>40</v>
      </c>
      <c r="R52" s="1604" t="s">
        <v>1511</v>
      </c>
    </row>
    <row r="53" spans="1:18" s="1568" customFormat="1" ht="36.6"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383" t="s">
        <v>1513</v>
      </c>
      <c r="L53" s="3384"/>
      <c r="O53" s="1602" t="s">
        <v>1014</v>
      </c>
      <c r="P53" s="1603" t="s">
        <v>1514</v>
      </c>
      <c r="Q53" s="1604">
        <f ca="1">Q47+Q48</f>
        <v>8611</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502</v>
      </c>
      <c r="D56" s="1631"/>
      <c r="E56" s="1632"/>
      <c r="F56" s="1624"/>
      <c r="I56" s="1633" t="s">
        <v>1519</v>
      </c>
      <c r="J56" s="1634" t="s">
        <v>3204</v>
      </c>
      <c r="K56" s="1605" t="s">
        <v>1520</v>
      </c>
      <c r="L56" s="1608" t="str">
        <f ca="1">IF(L48&lt;J51,"——",L48-J53)</f>
        <v>——</v>
      </c>
      <c r="O56" s="1602" t="s">
        <v>1008</v>
      </c>
      <c r="P56" s="1603" t="s">
        <v>1493</v>
      </c>
      <c r="Q56" s="1604">
        <f ca="1">C40+J29</f>
        <v>8611</v>
      </c>
      <c r="R56" s="1604" t="s">
        <v>1494</v>
      </c>
    </row>
    <row r="57" spans="1:18" s="1568" customFormat="1" ht="24.6" thickBot="1">
      <c r="A57" s="1635"/>
      <c r="B57" s="1081" t="s">
        <v>1443</v>
      </c>
      <c r="C57" s="244">
        <f ca="1">C29</f>
        <v>605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61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51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50.82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8611</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9.1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8611</v>
      </c>
      <c r="R65" s="1604" t="s">
        <v>1494</v>
      </c>
    </row>
    <row r="66" spans="1:18" s="1568" customFormat="1" ht="16.2"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24.6" thickBot="1">
      <c r="A67" s="1088" t="s">
        <v>999</v>
      </c>
      <c r="B67" s="1098" t="s">
        <v>1428</v>
      </c>
      <c r="C67" s="322">
        <f ca="1">C48-C58</f>
        <v>-61</v>
      </c>
      <c r="D67" s="1094" t="s">
        <v>1429</v>
      </c>
      <c r="E67" s="1099"/>
      <c r="F67" s="1100"/>
      <c r="O67" s="1612" t="s">
        <v>1010</v>
      </c>
      <c r="P67" s="1603" t="s">
        <v>1527</v>
      </c>
      <c r="Q67" s="1650">
        <f ca="1">L51</f>
        <v>5821</v>
      </c>
      <c r="R67" s="1604" t="s">
        <v>1547</v>
      </c>
    </row>
    <row r="68" spans="1:18" s="1568" customFormat="1" ht="16.2" thickBot="1">
      <c r="A68" s="1078" t="s">
        <v>1000</v>
      </c>
      <c r="B68" s="1079" t="s">
        <v>1450</v>
      </c>
      <c r="C68" s="307">
        <f ca="1">ROUND(C67*(1-((1+F70)/(1+F68))^F69)/(F68-F70),0)</f>
        <v>-979</v>
      </c>
      <c r="D68" s="1096" t="s">
        <v>1434</v>
      </c>
      <c r="E68" s="1081" t="s">
        <v>1435</v>
      </c>
      <c r="F68" s="318">
        <f ca="1">F40</f>
        <v>5.5E-2</v>
      </c>
      <c r="O68" s="1612" t="s">
        <v>1011</v>
      </c>
      <c r="P68" s="1651" t="s">
        <v>1548</v>
      </c>
      <c r="Q68" s="1604">
        <f ca="1">ROUND(Q69-Q70*Q71,0)</f>
        <v>319</v>
      </c>
      <c r="R68" s="1604" t="s">
        <v>1019</v>
      </c>
    </row>
    <row r="69" spans="1:18" s="1568" customFormat="1" ht="13.8" thickBot="1">
      <c r="A69" s="1082"/>
      <c r="B69" s="1083"/>
      <c r="C69" s="312"/>
      <c r="D69" s="1101" t="s">
        <v>1438</v>
      </c>
      <c r="E69" s="1081" t="s">
        <v>1439</v>
      </c>
      <c r="F69" s="339">
        <f ca="1">F41</f>
        <v>40</v>
      </c>
      <c r="O69" s="1612" t="s">
        <v>1016</v>
      </c>
      <c r="P69" s="1651" t="s">
        <v>1549</v>
      </c>
      <c r="Q69" s="1604">
        <f ca="1">C39</f>
        <v>349</v>
      </c>
      <c r="R69" s="1604" t="s">
        <v>1494</v>
      </c>
    </row>
    <row r="70" spans="1:18" s="1568" customFormat="1" ht="13.8" thickBot="1">
      <c r="A70" s="1085"/>
      <c r="B70" s="1086"/>
      <c r="C70" s="316"/>
      <c r="D70" s="1097"/>
      <c r="E70" s="1081" t="s">
        <v>1442</v>
      </c>
      <c r="F70" s="1185"/>
      <c r="O70" s="1612" t="s">
        <v>1017</v>
      </c>
      <c r="P70" s="1651" t="s">
        <v>1550</v>
      </c>
      <c r="Q70" s="1604">
        <f ca="1">C13</f>
        <v>502</v>
      </c>
      <c r="R70" s="1604" t="s">
        <v>1494</v>
      </c>
    </row>
    <row r="71" spans="1:18" s="1568" customFormat="1" ht="13.8" thickBot="1">
      <c r="A71" s="1102" t="s">
        <v>1001</v>
      </c>
      <c r="B71" s="1103" t="s">
        <v>1452</v>
      </c>
      <c r="C71" s="342">
        <f ca="1">ROUND(C68*10000/F71,0)</f>
        <v>-9844</v>
      </c>
      <c r="D71" s="1104" t="s">
        <v>1453</v>
      </c>
      <c r="E71" s="1105" t="s">
        <v>1454</v>
      </c>
      <c r="F71" s="345">
        <f ca="1">F43</f>
        <v>994.5</v>
      </c>
      <c r="O71" s="1612" t="s">
        <v>1018</v>
      </c>
      <c r="P71" s="1651" t="s">
        <v>1551</v>
      </c>
      <c r="Q71" s="1615">
        <f ca="1">C76</f>
        <v>0.06</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30</v>
      </c>
      <c r="D75" s="1568"/>
      <c r="E75" s="1568"/>
      <c r="F75" s="1568"/>
      <c r="K75" s="1586"/>
      <c r="L75" s="1568"/>
      <c r="O75" s="1602" t="s">
        <v>1014</v>
      </c>
      <c r="P75" s="1603" t="s">
        <v>1514</v>
      </c>
      <c r="Q75" s="1604">
        <f ca="1">Q65+Q66</f>
        <v>8611</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0.94199999999999995</v>
      </c>
    </row>
    <row r="83" spans="2:3">
      <c r="B83" s="279" t="s">
        <v>1479</v>
      </c>
      <c r="C83" s="280">
        <f ca="1">ROUND(C13/C40,3)</f>
        <v>5.8000000000000003E-2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D00-000000000000}">
      <formula1>"按租金收入计税,按房产原值计税"</formula1>
    </dataValidation>
    <dataValidation type="list" allowBlank="1" showInputMessage="1" showErrorMessage="1" sqref="D33 D61" xr:uid="{00000000-0002-0000-2D00-000001000000}">
      <formula1>"按租金收入计税,按房产原值计税,按票据"</formula1>
    </dataValidation>
    <dataValidation type="list" allowBlank="1" showInputMessage="1" showErrorMessage="1" sqref="C1" xr:uid="{00000000-0002-0000-2D00-000002000000}">
      <formula1>项目类型</formula1>
    </dataValidation>
    <dataValidation type="list" allowBlank="1" showInputMessage="1" showErrorMessage="1" sqref="J47" xr:uid="{00000000-0002-0000-2D00-000003000000}">
      <formula1>"钢,钢混,砖混"</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56" xr:uid="{00000000-0002-0000-2D00-000005000000}">
      <formula1>判定</formula1>
    </dataValidation>
    <dataValidation type="list" allowBlank="1" showInputMessage="1" showErrorMessage="1" sqref="L55" xr:uid="{00000000-0002-0000-2D00-000006000000}">
      <formula1>"比较法,基准地价,收益还原"</formula1>
    </dataValidation>
    <dataValidation type="list" allowBlank="1" showInputMessage="1" showErrorMessage="1" sqref="M10 F10 F53" xr:uid="{00000000-0002-0000-2D00-000007000000}">
      <formula1>"押一,押二,押三,自定义"</formula1>
    </dataValidation>
    <dataValidation type="list" allowBlank="1" showInputMessage="1" showErrorMessage="1" sqref="D1" xr:uid="{00000000-0002-0000-2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P124"/>
  <sheetViews>
    <sheetView topLeftCell="A145" workbookViewId="0">
      <selection activeCell="AB132" sqref="AB132"/>
    </sheetView>
  </sheetViews>
  <sheetFormatPr defaultRowHeight="14.4"/>
  <sheetData>
    <row r="1" spans="1:15">
      <c r="A1" s="3135" t="s">
        <v>3219</v>
      </c>
      <c r="O1" t="s">
        <v>3221</v>
      </c>
    </row>
    <row r="55" spans="1:15">
      <c r="O55" t="s">
        <v>3222</v>
      </c>
    </row>
    <row r="56" spans="1:15">
      <c r="A56" s="3135" t="s">
        <v>3218</v>
      </c>
    </row>
    <row r="96" spans="1:1">
      <c r="A96" s="3135"/>
    </row>
    <row r="101" spans="16:16">
      <c r="P101" t="s">
        <v>3223</v>
      </c>
    </row>
    <row r="124" spans="1:1">
      <c r="A124" s="3135" t="s">
        <v>3220</v>
      </c>
    </row>
  </sheetData>
  <phoneticPr fontId="140" type="noConversion"/>
  <hyperlinks>
    <hyperlink ref="A56" r:id="rId1" xr:uid="{00000000-0004-0000-2E00-000000000000}"/>
    <hyperlink ref="A1" r:id="rId2" xr:uid="{00000000-0004-0000-2E00-000001000000}"/>
    <hyperlink ref="A124" r:id="rId3" xr:uid="{00000000-0004-0000-2E00-000002000000}"/>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154" t="str">
        <f>IF(项目基本情况!B9="房地产市场价值","估价结果一览表","结果表-2")</f>
        <v>估价结果一览表</v>
      </c>
      <c r="B1" s="3154"/>
      <c r="C1" s="3154"/>
      <c r="D1" s="3154"/>
      <c r="E1" s="3154"/>
      <c r="F1" s="3154"/>
      <c r="G1" s="3154"/>
      <c r="H1" s="3154"/>
      <c r="I1" s="3154"/>
    </row>
    <row r="2" spans="1:9" ht="30" customHeight="1" thickTop="1">
      <c r="A2" s="3155" t="s">
        <v>1606</v>
      </c>
      <c r="B2" s="3155" t="s">
        <v>1607</v>
      </c>
      <c r="C2" s="3155" t="s">
        <v>1608</v>
      </c>
      <c r="D2" s="3155" t="str">
        <f>结果表!D116</f>
        <v>出让国有建设用地使用权价值</v>
      </c>
      <c r="E2" s="3155"/>
      <c r="F2" s="3155" t="str">
        <f>结果表!F116</f>
        <v>在建建筑物价值</v>
      </c>
      <c r="G2" s="3155"/>
      <c r="H2" s="3155" t="str">
        <f>IF(项目基本情况!B9="房地产市场价值","房地产市场价值","房地产价值")</f>
        <v>房地产市场价值</v>
      </c>
      <c r="I2" s="3155"/>
    </row>
    <row r="3" spans="1:9" ht="15.6">
      <c r="A3" s="3156"/>
      <c r="B3" s="3156"/>
      <c r="C3" s="3156"/>
      <c r="D3" s="963" t="s">
        <v>1603</v>
      </c>
      <c r="E3" s="963" t="s">
        <v>1609</v>
      </c>
      <c r="F3" s="963" t="s">
        <v>1603</v>
      </c>
      <c r="G3" s="963" t="s">
        <v>1604</v>
      </c>
      <c r="H3" s="963" t="s">
        <v>1603</v>
      </c>
      <c r="I3" s="963" t="s">
        <v>1604</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56" t="s">
        <v>1605</v>
      </c>
      <c r="B5" s="3156"/>
      <c r="C5" s="3156"/>
      <c r="D5" s="3157" t="e">
        <f ca="1">结果表!D119</f>
        <v>#REF!</v>
      </c>
      <c r="E5" s="3157"/>
      <c r="F5" s="3157" t="e">
        <f ca="1">结果表!F119</f>
        <v>#REF!</v>
      </c>
      <c r="G5" s="3157"/>
      <c r="H5" s="3157" t="e">
        <f ca="1">结果表!H119</f>
        <v>#REF!</v>
      </c>
      <c r="I5" s="3157"/>
    </row>
    <row r="6" spans="1:9" ht="15.6">
      <c r="A6" s="3158" t="str">
        <f>结果表!A120</f>
        <v/>
      </c>
      <c r="B6" s="3158"/>
      <c r="C6" s="3158"/>
      <c r="D6" s="3158">
        <f>结果表!D120</f>
        <v>0</v>
      </c>
      <c r="E6" s="3158"/>
      <c r="F6" s="3158"/>
      <c r="G6" s="3158"/>
      <c r="H6" s="3158"/>
      <c r="I6" s="3158"/>
    </row>
    <row r="7" spans="1:9" ht="15">
      <c r="A7" s="3156" t="s">
        <v>1605</v>
      </c>
      <c r="B7" s="3156"/>
      <c r="C7" s="3156"/>
      <c r="D7" s="3159" t="str">
        <f>结果表!D121</f>
        <v>零元整</v>
      </c>
      <c r="E7" s="3160"/>
      <c r="F7" s="3160"/>
      <c r="G7" s="3160"/>
      <c r="H7" s="3160"/>
      <c r="I7" s="3161"/>
    </row>
    <row r="8" spans="1:9" ht="15.6">
      <c r="A8" s="3158" t="str">
        <f>结果表!A122</f>
        <v/>
      </c>
      <c r="B8" s="3158"/>
      <c r="C8" s="3158"/>
      <c r="D8" s="3158" t="e">
        <f ca="1">结果表!D122</f>
        <v>#REF!</v>
      </c>
      <c r="E8" s="3158"/>
      <c r="F8" s="3158"/>
      <c r="G8" s="3158"/>
      <c r="H8" s="3158"/>
      <c r="I8" s="3158"/>
    </row>
    <row r="9" spans="1:9" ht="15">
      <c r="A9" s="3156" t="s">
        <v>1605</v>
      </c>
      <c r="B9" s="3156"/>
      <c r="C9" s="3156"/>
      <c r="D9" s="3157" t="e">
        <f ca="1">结果表!D123</f>
        <v>#REF!</v>
      </c>
      <c r="E9" s="3157"/>
      <c r="F9" s="3157"/>
      <c r="G9" s="3157"/>
      <c r="H9" s="3157"/>
      <c r="I9" s="3157"/>
    </row>
    <row r="10" spans="1:9" ht="15.6">
      <c r="A10" s="3158" t="str">
        <f>结果表!A124</f>
        <v/>
      </c>
      <c r="B10" s="3158"/>
      <c r="C10" s="3158"/>
      <c r="D10" s="3158" t="str">
        <f>结果表!D124</f>
        <v>——</v>
      </c>
      <c r="E10" s="3158"/>
      <c r="F10" s="3158"/>
      <c r="G10" s="3158"/>
      <c r="H10" s="3158"/>
      <c r="I10" s="3158"/>
    </row>
    <row r="11" spans="1:9" ht="15">
      <c r="A11" s="3156" t="s">
        <v>1605</v>
      </c>
      <c r="B11" s="3156"/>
      <c r="C11" s="3156"/>
      <c r="D11" s="3157" t="e">
        <f>结果表!D125</f>
        <v>#VALUE!</v>
      </c>
      <c r="E11" s="3157"/>
      <c r="F11" s="3157"/>
      <c r="G11" s="3157"/>
      <c r="H11" s="3157"/>
      <c r="I11" s="3157"/>
    </row>
    <row r="12" spans="1:9" ht="15.6">
      <c r="A12" s="3158" t="str">
        <f>结果表!A126</f>
        <v/>
      </c>
      <c r="B12" s="3158"/>
      <c r="C12" s="3158"/>
      <c r="D12" s="3158" t="str">
        <f>结果表!D126</f>
        <v>——</v>
      </c>
      <c r="E12" s="3158"/>
      <c r="F12" s="3158"/>
      <c r="G12" s="3158"/>
      <c r="H12" s="3158"/>
      <c r="I12" s="3158"/>
    </row>
    <row r="13" spans="1:9" ht="15.6" thickBot="1">
      <c r="A13" s="3162" t="s">
        <v>1605</v>
      </c>
      <c r="B13" s="3162"/>
      <c r="C13" s="3162"/>
      <c r="D13" s="3163" t="e">
        <f>结果表!D127</f>
        <v>#VALUE!</v>
      </c>
      <c r="E13" s="3163"/>
      <c r="F13" s="3163"/>
      <c r="G13" s="3163"/>
      <c r="H13" s="3163"/>
      <c r="I13" s="3163"/>
    </row>
    <row r="14" spans="1:9" ht="14.4" thickTop="1">
      <c r="A14" s="3164" t="s">
        <v>1610</v>
      </c>
      <c r="B14" s="3164"/>
      <c r="C14" s="3164"/>
      <c r="D14" s="3164"/>
      <c r="E14" s="3164"/>
      <c r="F14" s="3164"/>
      <c r="G14" s="3164"/>
      <c r="H14" s="3164"/>
      <c r="I14" s="3164"/>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65" t="s">
        <v>1627</v>
      </c>
      <c r="B1" s="3165"/>
      <c r="C1" s="3165"/>
      <c r="D1" s="3165"/>
    </row>
    <row r="2" spans="1:4" ht="17.399999999999999">
      <c r="A2" s="3166" t="s">
        <v>1611</v>
      </c>
      <c r="B2" s="3166"/>
      <c r="C2" s="3166"/>
      <c r="D2" s="3166"/>
    </row>
    <row r="3" spans="1:4" ht="17.399999999999999">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7.399999999999999">
      <c r="A6" s="3166" t="s">
        <v>1617</v>
      </c>
      <c r="B6" s="3166"/>
      <c r="C6" s="3166"/>
      <c r="D6" s="3166"/>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167" t="s">
        <v>1620</v>
      </c>
      <c r="B11" s="3168"/>
      <c r="C11" s="3168"/>
      <c r="D11" s="3168"/>
    </row>
    <row r="12" spans="1:4" ht="15.6">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9"/>
      <c r="C12" s="3169"/>
      <c r="D12" s="3169"/>
    </row>
    <row r="13" spans="1:4" ht="30" customHeight="1">
      <c r="A13" s="3168" t="str">
        <f>IF(项目基本情况!B8="抵押","3.抵押双方在办理抵押登记手续时，应使用本公司出具的正式《房地产评估报告》，特提醒报告使用者注意。","——")</f>
        <v>——</v>
      </c>
      <c r="B13" s="3169"/>
      <c r="C13" s="3169"/>
      <c r="D13" s="3169"/>
    </row>
    <row r="14" spans="1:4" ht="15.75" customHeight="1">
      <c r="A14" s="3168" t="str">
        <f>IF(项目基本情况!B8="抵押","4.本次评估估价师所知悉的法定优先受偿款情况说明如下：","——")</f>
        <v>——</v>
      </c>
      <c r="B14" s="3169"/>
      <c r="C14" s="3169"/>
      <c r="D14" s="3169"/>
    </row>
    <row r="15" spans="1:4" ht="42" customHeight="1">
      <c r="A15" s="3168" t="str">
        <f>IF(项目基本情况!B8="抵押","（1）"&amp;CONCATENATE(项目基本情况!L20,项目基本情况!L21,项目基本情况!L22),"——")</f>
        <v>——</v>
      </c>
      <c r="B15" s="3168"/>
      <c r="C15" s="3168"/>
      <c r="D15" s="3168"/>
    </row>
    <row r="16" spans="1:4" ht="30" customHeight="1">
      <c r="A16" s="3171" t="s">
        <v>1621</v>
      </c>
      <c r="B16" s="3171"/>
      <c r="C16" s="3171"/>
      <c r="D16" s="3171"/>
    </row>
    <row r="17" spans="1:4" ht="144" customHeight="1">
      <c r="A17" s="3171" t="s">
        <v>1622</v>
      </c>
      <c r="B17" s="3171"/>
      <c r="C17" s="3171"/>
      <c r="D17" s="3171"/>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1623</v>
      </c>
      <c r="B22" s="3173"/>
      <c r="C22" s="3173"/>
      <c r="D22" s="3173"/>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79" t="s">
        <v>1634</v>
      </c>
      <c r="B15" s="3174" t="s">
        <v>136</v>
      </c>
      <c r="C15" s="3175"/>
    </row>
    <row r="16" spans="1:7" ht="14.4">
      <c r="A16" s="3180"/>
      <c r="B16" s="3174" t="s">
        <v>69</v>
      </c>
      <c r="C16" s="3175"/>
    </row>
    <row r="17" spans="1:3" ht="14.4">
      <c r="A17" s="3180"/>
      <c r="B17" s="3177" t="s">
        <v>1635</v>
      </c>
      <c r="C17" s="1717" t="s">
        <v>1634</v>
      </c>
    </row>
    <row r="18" spans="1:3" ht="14.4">
      <c r="A18" s="3180"/>
      <c r="B18" s="3177"/>
      <c r="C18" s="1717" t="s">
        <v>1636</v>
      </c>
    </row>
    <row r="19" spans="1:3" ht="14.4">
      <c r="A19" s="3180"/>
      <c r="B19" s="3177"/>
      <c r="C19" s="1717" t="s">
        <v>1637</v>
      </c>
    </row>
    <row r="20" spans="1:3" ht="14.4">
      <c r="A20" s="3181"/>
      <c r="B20" s="3176" t="s">
        <v>1638</v>
      </c>
      <c r="C20" s="3175"/>
    </row>
    <row r="21" spans="1:3" ht="14.4">
      <c r="A21" s="1718" t="s">
        <v>1639</v>
      </c>
      <c r="B21" s="1719"/>
      <c r="C21" s="1720"/>
    </row>
    <row r="22" spans="1:3" ht="14.4">
      <c r="A22" s="3178" t="s">
        <v>1640</v>
      </c>
      <c r="B22" s="3176" t="s">
        <v>1641</v>
      </c>
      <c r="C22" s="3175"/>
    </row>
    <row r="23" spans="1:3" ht="14.4">
      <c r="A23" s="3178"/>
      <c r="B23" s="3176" t="s">
        <v>1642</v>
      </c>
      <c r="C23" s="3175"/>
    </row>
    <row r="24" spans="1:3" ht="14.4">
      <c r="A24" s="3178"/>
      <c r="B24" s="3176" t="s">
        <v>1643</v>
      </c>
      <c r="C24" s="3175"/>
    </row>
    <row r="25" spans="1:3" ht="14.4">
      <c r="A25" s="3178"/>
      <c r="B25" s="3177" t="s">
        <v>1644</v>
      </c>
      <c r="C25" s="1717" t="s">
        <v>1645</v>
      </c>
    </row>
    <row r="26" spans="1:3" ht="14.4">
      <c r="A26" s="3178"/>
      <c r="B26" s="3177"/>
      <c r="C26" s="1717" t="s">
        <v>1646</v>
      </c>
    </row>
    <row r="27" spans="1:3" ht="14.4">
      <c r="A27" s="3178"/>
      <c r="B27" s="3177"/>
      <c r="C27" s="1717" t="s">
        <v>1647</v>
      </c>
    </row>
    <row r="28" spans="1:3" ht="14.4">
      <c r="A28" s="3178"/>
      <c r="B28" s="3177"/>
      <c r="C28" s="1717" t="s">
        <v>1648</v>
      </c>
    </row>
    <row r="29" spans="1:3" ht="14.4">
      <c r="A29" s="3178"/>
      <c r="B29" s="3177"/>
      <c r="C29" s="1717" t="s">
        <v>1649</v>
      </c>
    </row>
    <row r="30" spans="1:3" ht="14.4">
      <c r="A30" s="3178"/>
      <c r="B30" s="3177"/>
      <c r="C30" s="1717" t="s">
        <v>1650</v>
      </c>
    </row>
    <row r="31" spans="1:3" ht="14.4">
      <c r="A31" s="3178"/>
      <c r="B31" s="3177"/>
      <c r="C31" s="1717" t="s">
        <v>1651</v>
      </c>
    </row>
    <row r="32" spans="1:3" ht="14.4">
      <c r="A32" s="3178"/>
      <c r="B32" s="3177"/>
      <c r="C32" s="1717" t="s">
        <v>1652</v>
      </c>
    </row>
    <row r="33" spans="1:3" ht="14.4">
      <c r="A33" s="3178"/>
      <c r="B33" s="3177"/>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2882</v>
      </c>
      <c r="B2" s="2562">
        <f ca="1">TODAY()</f>
        <v>44346</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2" t="s">
        <v>2903</v>
      </c>
      <c r="B17" s="3182"/>
      <c r="C17" s="3182"/>
      <c r="D17" s="3182"/>
      <c r="E17" s="3182"/>
      <c r="F17" s="3182"/>
      <c r="G17" s="3182"/>
      <c r="H17" s="3182"/>
    </row>
    <row r="18" spans="1:8" ht="24" customHeight="1">
      <c r="A18" s="3183" t="s">
        <v>2904</v>
      </c>
      <c r="B18" s="3183"/>
      <c r="C18" s="3183"/>
      <c r="D18" s="2566"/>
      <c r="E18" s="3184" t="s">
        <v>2905</v>
      </c>
      <c r="F18" s="3183"/>
      <c r="G18" s="3183"/>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2021-05-30T12:35:39Z</dcterms:modified>
</cp:coreProperties>
</file>