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drawings/drawing5.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墨\桌面\2022-1-0649一体化平台海淀\F02盈都大厦租金\"/>
    </mc:Choice>
  </mc:AlternateContent>
  <xr:revisionPtr revIDLastSave="0" documentId="13_ncr:1_{24ACE58C-9903-434B-9060-B10406A80ED1}" xr6:coauthVersionLast="45" xr6:coauthVersionMax="45" xr10:uidLastSave="{00000000-0000-0000-0000-000000000000}"/>
  <bookViews>
    <workbookView xWindow="-120" yWindow="-120" windowWidth="21840" windowHeight="13140" tabRatio="885" firstSheet="15" activeTab="15"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比较法-办公" sheetId="34" r:id="rId15"/>
    <sheet name="结果一览表-" sheetId="65" r:id="rId16"/>
    <sheet name="结果表" sheetId="9" state="hidden" r:id="rId17"/>
    <sheet name="结果表 (1修多)" sheetId="57"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成本法" sheetId="11" r:id="rId30"/>
    <sheet name="基准地价修正" sheetId="43" r:id="rId31"/>
    <sheet name="e世界中心" sheetId="67" r:id="rId32"/>
    <sheet name="中鼎大厦" sheetId="68" r:id="rId33"/>
    <sheet name="东润大厦" sheetId="69" r:id="rId34"/>
    <sheet name="数据-取费表（市场）" sheetId="72" state="hidden" r:id="rId35"/>
    <sheet name="Sheet4" sheetId="66" r:id="rId36"/>
    <sheet name="写字楼" sheetId="70" r:id="rId37"/>
    <sheet name="统计表" sheetId="71" r:id="rId38"/>
    <sheet name="因素修正幅度" sheetId="56" state="hidden" r:id="rId39"/>
    <sheet name="基准地价修正-因素" sheetId="47" state="hidden" r:id="rId40"/>
    <sheet name="区片价" sheetId="44" state="hidden" r:id="rId41"/>
    <sheet name="修正" sheetId="45" state="hidden" r:id="rId42"/>
    <sheet name="容积率修正" sheetId="46" state="hidden" r:id="rId43"/>
    <sheet name="地价" sheetId="59" state="hidden" r:id="rId44"/>
    <sheet name="存贷款利率" sheetId="61" state="hidden" r:id="rId45"/>
  </sheets>
  <externalReferences>
    <externalReference r:id="rId46"/>
    <externalReference r:id="rId47"/>
    <externalReference r:id="rId48"/>
    <externalReference r:id="rId49"/>
    <externalReference r:id="rId50"/>
  </externalReferences>
  <definedNames>
    <definedName name="_xlnm._FilterDatabase" localSheetId="14"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4">'比较法-办公'!$A$1:$K$55,'比较法-办公'!$A$58:$M$132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6">结果表!$A$1:$I$132,结果表!$K$44:$P$61</definedName>
    <definedName name="_xlnm.Print_Area" localSheetId="17">'结果表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_xlnm.Print_Area" localSheetId="32">中鼎大厦!$A$1:$M$78</definedName>
    <definedName name="_xlnm.Print_Titles" localSheetId="32">中鼎大厦!$1:$4</definedName>
    <definedName name="八级">区片价!$P$1:$P$40</definedName>
    <definedName name="办公层高" localSheetId="15">'[1]比较法-办公'!$B$119:$M$119</definedName>
    <definedName name="办公层高" localSheetId="34">'[2]比较法-办公'!$B$119:$M$119</definedName>
    <definedName name="办公层高">'比较法-办公'!$B$119:$M$119</definedName>
    <definedName name="办公朝向" localSheetId="15">'[1]比较法-办公'!$B$91:$M$91</definedName>
    <definedName name="办公朝向" localSheetId="34">'[2]比较法-办公'!$B$91:$M$91</definedName>
    <definedName name="办公朝向">'比较法-办公'!$B$91:$M$91</definedName>
    <definedName name="办公道路级别" localSheetId="15">'[1]比较法-办公'!$B$87:$M$87</definedName>
    <definedName name="办公道路级别" localSheetId="34">'[2]比较法-办公'!$B$87:$M$87</definedName>
    <definedName name="办公道路级别">'比较法-办公'!$B$87:$M$87</definedName>
    <definedName name="办公公共部分装修" localSheetId="15">'[1]比较法-办公'!$B$108:$M$108</definedName>
    <definedName name="办公公共部分装修" localSheetId="34">'[2]比较法-办公'!$B$108:$M$108</definedName>
    <definedName name="办公公共部分装修">'比较法-办公'!$B$108:$M$108</definedName>
    <definedName name="办公基础设施水平" localSheetId="15">'[1]比较法-办公'!$B$117:$M$117</definedName>
    <definedName name="办公基础设施水平" localSheetId="34">'[2]比较法-办公'!$B$117:$M$117</definedName>
    <definedName name="办公基础设施水平">'比较法-办公'!$B$117:$M$117</definedName>
    <definedName name="办公集聚程度" localSheetId="15">[1]定义!$M$1:$M$6</definedName>
    <definedName name="办公集聚程度" localSheetId="34">[2]定义!$M$1:$M$6</definedName>
    <definedName name="办公集聚程度">定义!$M$1:$M$6</definedName>
    <definedName name="办公建筑结构" localSheetId="15">'[1]比较法-办公'!$B$106:$M$106</definedName>
    <definedName name="办公建筑结构" localSheetId="34">'[2]比较法-办公'!$B$106:$M$106</definedName>
    <definedName name="办公建筑结构">'比较法-办公'!$B$106:$M$106</definedName>
    <definedName name="办公建筑类型" localSheetId="15">'[1]比较法-办公'!$B$101:$M$101</definedName>
    <definedName name="办公建筑类型" localSheetId="34">'[2]比较法-办公'!$B$101:$M$101</definedName>
    <definedName name="办公建筑类型">'比较法-办公'!$B$101:$M$101</definedName>
    <definedName name="办公交易情况" localSheetId="15">'[1]比较法-办公'!$A$62:$M$62</definedName>
    <definedName name="办公交易情况" localSheetId="34">'[2]比较法-办公'!$A$62:$M$62</definedName>
    <definedName name="办公交易情况">'比较法-办公'!$A$62:$M$62</definedName>
    <definedName name="办公楼层" localSheetId="15">'[1]比较法-办公'!$B$89:$M$89</definedName>
    <definedName name="办公楼层" localSheetId="34">'[2]比较法-办公'!$B$89:$M$89</definedName>
    <definedName name="办公楼层">'比较法-办公'!$B$89:$M$89</definedName>
    <definedName name="办公内部装修" localSheetId="15">'[1]比较法-办公'!$B$123:$M$123</definedName>
    <definedName name="办公内部装修" localSheetId="34">'[2]比较法-办公'!$B$123:$M$123</definedName>
    <definedName name="办公内部装修">'比较法-办公'!$B$123:$M$123</definedName>
    <definedName name="办公物业管理" localSheetId="15">'[1]比较法-办公'!$B$115:$M$115</definedName>
    <definedName name="办公物业管理" localSheetId="34">'[2]比较法-办公'!$B$115:$M$115</definedName>
    <definedName name="办公物业管理">'比较法-办公'!$B$115:$M$115</definedName>
    <definedName name="办公用途" localSheetId="15">'[1]比较法-办公'!$B$64:$M$64</definedName>
    <definedName name="办公用途" localSheetId="34">'[2]比较法-办公'!$B$64:$M$64</definedName>
    <definedName name="办公用途">'比较法-办公'!$B$64:$M$64</definedName>
    <definedName name="仓储公共部分装修" localSheetId="15">'[1]比较法-仓储'!$B$77:$M$77</definedName>
    <definedName name="仓储公共部分装修" localSheetId="34">'[2]比较法-仓储'!$B$77:$M$77</definedName>
    <definedName name="仓储公共部分装修">'比较法-仓储'!$B$77:$M$77</definedName>
    <definedName name="仓储交易情况" localSheetId="15">'[1]比较法-仓储'!$A$49:$M$49</definedName>
    <definedName name="仓储交易情况" localSheetId="34">'[2]比较法-仓储'!$A$49:$M$49</definedName>
    <definedName name="仓储交易情况">'比较法-仓储'!$A$49:$M$49</definedName>
    <definedName name="仓储楼层" localSheetId="15">'[1]比较法-仓储'!$B$69:$M$69</definedName>
    <definedName name="仓储楼层" localSheetId="34">'[2]比较法-仓储'!$B$69:$M$69</definedName>
    <definedName name="仓储楼层">'比较法-仓储'!$B$69:$M$69</definedName>
    <definedName name="仓储物业等级" localSheetId="15">'[1]比较法-仓储'!$B$82:$M$82</definedName>
    <definedName name="仓储物业等级" localSheetId="34">'[2]比较法-仓储'!$B$82:$M$82</definedName>
    <definedName name="仓储物业等级">'比较法-仓储'!$B$82:$M$82</definedName>
    <definedName name="仓储用途" localSheetId="15">'[1]比较法-仓储'!$B$51:$M$51</definedName>
    <definedName name="仓储用途" localSheetId="34">'[2]比较法-仓储'!$B$51:$M$51</definedName>
    <definedName name="仓储用途">'比较法-仓储'!$B$51:$M$51</definedName>
    <definedName name="产业集聚程度" localSheetId="15">[1]定义!$N$1:$N$6</definedName>
    <definedName name="产业集聚程度" localSheetId="34">[2]定义!$N$1:$N$6</definedName>
    <definedName name="产业集聚程度">定义!$N$1:$N$6</definedName>
    <definedName name="车位公共部分装修" localSheetId="15">'[1]比较法-车位'!$B$83:$M$83</definedName>
    <definedName name="车位公共部分装修" localSheetId="34">'[2]比较法-车位'!$B$83:$M$83</definedName>
    <definedName name="车位公共部分装修">'比较法-车位'!$B$83:$M$83</definedName>
    <definedName name="车位交易情况" localSheetId="15">'[1]比较法-车位'!$A$51:$M$51</definedName>
    <definedName name="车位交易情况" localSheetId="34">'[2]比较法-车位'!$A$51:$M$51</definedName>
    <definedName name="车位交易情况">'比较法-车位'!$A$51:$M$51</definedName>
    <definedName name="车位类型" localSheetId="15">'[1]比较法-车位'!$B$93:$M$93</definedName>
    <definedName name="车位类型" localSheetId="34">'[2]比较法-车位'!$B$93:$M$93</definedName>
    <definedName name="车位类型">'比较法-车位'!$B$93:$M$93</definedName>
    <definedName name="车位楼层" localSheetId="15">'[1]比较法-车位'!$B$71:$M$71</definedName>
    <definedName name="车位楼层" localSheetId="34">'[2]比较法-车位'!$B$71:$M$71</definedName>
    <definedName name="车位楼层">'比较法-车位'!$B$71:$M$71</definedName>
    <definedName name="车位配套类型" localSheetId="15">'[1]比较法-车位'!$B$79:$M$79</definedName>
    <definedName name="车位配套类型" localSheetId="34">'[2]比较法-车位'!$B$79:$M$79</definedName>
    <definedName name="车位配套类型">'比较法-车位'!$B$79:$M$79</definedName>
    <definedName name="车位物业等级" localSheetId="15">'[1]比较法-车位'!$B$88:$M$88</definedName>
    <definedName name="车位物业等级" localSheetId="34">'[2]比较法-车位'!$B$88:$M$88</definedName>
    <definedName name="车位物业等级">'比较法-车位'!$B$88:$M$88</definedName>
    <definedName name="车位用途" localSheetId="15">'[1]比较法-车位'!$B$53:$M$53</definedName>
    <definedName name="车位用途" localSheetId="34">'[2]比较法-车位'!$B$53:$M$53</definedName>
    <definedName name="车位用途">'比较法-车位'!$B$53:$M$53</definedName>
    <definedName name="城镇土地纳税等级分级范围" localSheetId="15">'[1]数据-取费表'!$A$53:$A$63</definedName>
    <definedName name="城镇土地纳税等级分级范围" localSheetId="34">'数据-取费表（市场）'!$A$53:$A$63</definedName>
    <definedName name="城镇土地纳税等级分级范围">'数据-取费表'!$D$41:$D$51</definedName>
    <definedName name="单价内涵" localSheetId="15">[1]定义!$V$1:$V$3</definedName>
    <definedName name="单价内涵" localSheetId="34">[2]定义!$V$1:$V$3</definedName>
    <definedName name="单价内涵">定义!$V$1:$V$3</definedName>
    <definedName name="抵押">定义!$B$52:$D$52</definedName>
    <definedName name="抵押净值">定义!$B$57:$C$57</definedName>
    <definedName name="抵押净值定义">定义!$B$57:$C$57</definedName>
    <definedName name="地类判定" localSheetId="15">[1]定义!$H$1:$H$9</definedName>
    <definedName name="地类判定" localSheetId="34">[2]定义!$H$1:$H$9</definedName>
    <definedName name="地类判定">定义!$H$1:$H$9</definedName>
    <definedName name="二级">区片价!$J$1:$J$20</definedName>
    <definedName name="二级分类" localSheetId="15">[1]修正!$C$17:$C$39</definedName>
    <definedName name="二级分类" localSheetId="34">[2]修正!$C$19:$C$51</definedName>
    <definedName name="二级分类">修正!$C$17:$C$39</definedName>
    <definedName name="法定最高年限" localSheetId="15">[1]定义!$G$1:$G$4</definedName>
    <definedName name="法定最高年限" localSheetId="34">[2]定义!$G$1:$G$6</definedName>
    <definedName name="法定最高年限">定义!$G$1:$G$4</definedName>
    <definedName name="房地产估价师及注册号">估价师及机构信息!$D$3:$D$16</definedName>
    <definedName name="工业公共部分装修" localSheetId="15">'[1]比较法-工业'!$B$95:$M$95</definedName>
    <definedName name="工业公共部分装修" localSheetId="34">'[2]比较法-工业'!$B$95:$M$95</definedName>
    <definedName name="工业公共部分装修">'比较法-工业'!$B$95:$M$95</definedName>
    <definedName name="工业基础设施水平" localSheetId="15">'[1]比较法-工业'!$B$102:$M$102</definedName>
    <definedName name="工业基础设施水平" localSheetId="34">'[2]比较法-工业'!$B$102:$M$102</definedName>
    <definedName name="工业基础设施水平">'比较法-工业'!$B$102:$M$102</definedName>
    <definedName name="工业建筑结构" localSheetId="15">'[1]比较法-工业'!$B$93:$M$93</definedName>
    <definedName name="工业建筑结构" localSheetId="34">'[2]比较法-工业'!$B$93:$M$93</definedName>
    <definedName name="工业建筑结构">'比较法-工业'!$B$93:$M$93</definedName>
    <definedName name="工业建筑类型" localSheetId="15">'[1]比较法-工业'!$B$88:$M$88</definedName>
    <definedName name="工业建筑类型" localSheetId="34">'[2]比较法-工业'!$B$88:$M$88</definedName>
    <definedName name="工业建筑类型">'比较法-工业'!$B$88:$M$88</definedName>
    <definedName name="工业交易情况" localSheetId="15">'[1]比较法-工业'!$A$55:$M$55</definedName>
    <definedName name="工业交易情况" localSheetId="34">'[2]比较法-工业'!$A$55:$M$55</definedName>
    <definedName name="工业交易情况">'比较法-工业'!$A$55:$M$55</definedName>
    <definedName name="工业内部装修" localSheetId="15">'[1]比较法-工业'!$B$104:$M$104</definedName>
    <definedName name="工业内部装修" localSheetId="34">'[2]比较法-工业'!$B$104:$M$104</definedName>
    <definedName name="工业内部装修">'比较法-工业'!$B$104:$M$104</definedName>
    <definedName name="工业物业管理" localSheetId="15">'[1]比较法-工业'!$B$100:$M$100</definedName>
    <definedName name="工业物业管理" localSheetId="34">'[2]比较法-工业'!$B$100:$M$100</definedName>
    <definedName name="工业物业管理">'比较法-工业'!$B$100:$M$100</definedName>
    <definedName name="工业用途" localSheetId="15">'[1]比较法-工业'!$B$57:$M$57</definedName>
    <definedName name="工业用途" localSheetId="34">'[2]比较法-工业'!$B$57:$M$57</definedName>
    <definedName name="工业用途">'比较法-工业'!$B$57:$M$57</definedName>
    <definedName name="公共配套设施" localSheetId="15">[1]定义!$Q$1:$Q$6</definedName>
    <definedName name="公共配套设施" localSheetId="34">[2]定义!$Q$1:$Q$6</definedName>
    <definedName name="公共配套设施">定义!$Q$1:$Q$6</definedName>
    <definedName name="估价范围判定">[2]定义!$D$1:$D$4</definedName>
    <definedName name="估价方法" localSheetId="15">[1]定义!$B$1:$B$50</definedName>
    <definedName name="估价方法" localSheetId="34">[2]定义!$B$1:$B$50</definedName>
    <definedName name="估价方法">定义!$B$1:$B$50</definedName>
    <definedName name="估价目的">定义!$A$51:$C$51</definedName>
    <definedName name="环境" localSheetId="15">[1]定义!$S$1:$S$6</definedName>
    <definedName name="环境" localSheetId="34">[2]定义!$S$1:$S$6</definedName>
    <definedName name="环境">定义!$S$1:$S$6</definedName>
    <definedName name="基础设施水平" localSheetId="15">[1]定义!$R$1:$R$6</definedName>
    <definedName name="基础设施水平" localSheetId="34">[2]定义!$R$1:$R$6</definedName>
    <definedName name="基础设施水平">定义!$R$1:$R$7</definedName>
    <definedName name="季度">基准地价修正!$N$19:$AD$19</definedName>
    <definedName name="价值类型">定义!$B$53:$B$58</definedName>
    <definedName name="价值类型2" localSheetId="15">[1]定义!$B$54:$B$56</definedName>
    <definedName name="价值类型2" localSheetId="34">[2]定义!$B$54:$B$56</definedName>
    <definedName name="价值类型2">定义!$B$54:$B$56</definedName>
    <definedName name="建筑使用方向">定义!$Y:$Y</definedName>
    <definedName name="交通便捷度" localSheetId="15">[1]定义!$O$1:$O$6</definedName>
    <definedName name="交通便捷度" localSheetId="34">[2]定义!$O$1:$O$6</definedName>
    <definedName name="交通便捷度">定义!$O$1:$O$6</definedName>
    <definedName name="结构">定义!$X:$X</definedName>
    <definedName name="仅抵押价值">定义!$B$54:$C$54</definedName>
    <definedName name="九级">区片价!$Q$1:$Q$46</definedName>
    <definedName name="居住社区成熟度" localSheetId="15">[1]定义!$K$1:$K$6</definedName>
    <definedName name="居住社区成熟度" localSheetId="34">[2]定义!$K$1:$K$6</definedName>
    <definedName name="居住社区成熟度">定义!$K$1:$K$6</definedName>
    <definedName name="类别" localSheetId="15">[1]定义!$J$1:$J$3</definedName>
    <definedName name="类别" localSheetId="34">[2]定义!$J$1:$J$3</definedName>
    <definedName name="类别">定义!$J$1:$J$3</definedName>
    <definedName name="临街状况" localSheetId="15">[1]定义!$T$1:$T$5</definedName>
    <definedName name="临街状况" localSheetId="34">[2]定义!$T$1:$T$5</definedName>
    <definedName name="临街状况">定义!$T$1:$T$5</definedName>
    <definedName name="六级">区片价!$N$1:$N$49</definedName>
    <definedName name="内部装修维护情况" localSheetId="15">[1]定义!$U$1:$U$6</definedName>
    <definedName name="内部装修维护情况" localSheetId="34">[2]定义!$U$1:$U$6</definedName>
    <definedName name="内部装修维护情况">定义!$U$1:$U$6</definedName>
    <definedName name="判定" localSheetId="15">[1]定义!$D$1:$D$4</definedName>
    <definedName name="判定">定义!$D$1:$D$4</definedName>
    <definedName name="七级">区片价!$O$1:$O$49</definedName>
    <definedName name="七通一平" localSheetId="15">[1]修正!$A$6:$A$14</definedName>
    <definedName name="七通一平" localSheetId="34">[2]修正!$A$8:$A$16</definedName>
    <definedName name="七通一平">修正!$A$6:$A$14</definedName>
    <definedName name="区域土地利用方向" localSheetId="15">[1]定义!$P$1:$P$6</definedName>
    <definedName name="区域土地利用方向" localSheetId="34">[2]定义!$P$1:$P$6</definedName>
    <definedName name="区域土地利用方向">定义!$P$1:$P$6</definedName>
    <definedName name="三级">区片价!$K$1:$K$21</definedName>
    <definedName name="商业层高" localSheetId="15">'[1]比较法-商业租金'!$B$116:$M$116</definedName>
    <definedName name="商业层高" localSheetId="34">'[2]比较法-商业'!$B$116:$M$116</definedName>
    <definedName name="商业层高">'比较法-商业'!$B$116:$M$116</definedName>
    <definedName name="商业成新度">'比较法-商业'!$B$109:$M$109</definedName>
    <definedName name="商业繁华度" localSheetId="15">[1]定义!$L$1:$L$6</definedName>
    <definedName name="商业繁华度" localSheetId="34">[2]定义!$L$1:$L$6</definedName>
    <definedName name="商业繁华度">定义!$L$1:$L$6</definedName>
    <definedName name="商业公共部分装修" localSheetId="15">'[1]比较法-商业租金'!$B$107:$M$107</definedName>
    <definedName name="商业公共部分装修" localSheetId="34">'[2]比较法-商业'!$B$107:$M$107</definedName>
    <definedName name="商业公共部分装修">'比较法-商业'!$B$107:$M$107</definedName>
    <definedName name="商业基础设施水平" localSheetId="15">'[1]比较法-商业租金'!$B$112:$M$112</definedName>
    <definedName name="商业基础设施水平" localSheetId="34">'[2]比较法-商业'!$B$112:$M$112</definedName>
    <definedName name="商业基础设施水平">'比较法-商业'!$B$112:$M$112</definedName>
    <definedName name="商业建筑结构" localSheetId="15">'[1]比较法-商业租金'!$B$105:$M$105</definedName>
    <definedName name="商业建筑结构" localSheetId="34">'[2]比较法-商业'!$B$105:$M$105</definedName>
    <definedName name="商业建筑结构">'比较法-商业'!$B$105:$M$105</definedName>
    <definedName name="商业交易情况" localSheetId="15">'[1]比较法-商业租金'!$A$61:$M$61</definedName>
    <definedName name="商业交易情况" localSheetId="34">'[2]比较法-商业'!$A$61:$M$61</definedName>
    <definedName name="商业交易情况">'比较法-商业'!$A$61:$M$61</definedName>
    <definedName name="商业街名称" localSheetId="15">[1]修正!$C$59:$C$119</definedName>
    <definedName name="商业街名称" localSheetId="34">[2]修正!$C$71:$C$138</definedName>
    <definedName name="商业街名称">修正!$C$59:$C$119</definedName>
    <definedName name="商业进深比" localSheetId="15">'[1]比较法-商业租金'!$B$120:$M$120</definedName>
    <definedName name="商业进深比" localSheetId="34">'[2]比较法-商业'!$B$120:$M$120</definedName>
    <definedName name="商业进深比">'比较法-商业'!$B$120:$M$120</definedName>
    <definedName name="商业类型" localSheetId="15">'[1]比较法-商业租金'!$B$100:$M$100</definedName>
    <definedName name="商业类型" localSheetId="34">'[2]比较法-商业'!$B$100:$M$100</definedName>
    <definedName name="商业类型">'比较法-商业'!$B$100:$M$100</definedName>
    <definedName name="商业临街状况" localSheetId="15">'[1]比较法-商业租金'!$B$86:$M$86</definedName>
    <definedName name="商业临街状况" localSheetId="34">'[2]比较法-商业'!$B$86:$M$86</definedName>
    <definedName name="商业临街状况">'比较法-商业'!$B$86:$M$86</definedName>
    <definedName name="商业楼层" localSheetId="15">'[1]比较法-商业租金'!$B$92:$M$92</definedName>
    <definedName name="商业楼层" localSheetId="34">'[2]比较法-商业'!$B$92:$M$92</definedName>
    <definedName name="商业楼层">'比较法-商业'!$B$92:$M$92</definedName>
    <definedName name="商业内部装修" localSheetId="15">'[1]比较法-商业租金'!$B$122:$M$122</definedName>
    <definedName name="商业内部装修" localSheetId="34">'[2]比较法-商业'!$B$122:$M$122</definedName>
    <definedName name="商业内部装修">'比较法-商业'!$B$122:$M$122</definedName>
    <definedName name="商业人流量" localSheetId="15">'[1]比较法-商业租金'!$B$90:$M$90</definedName>
    <definedName name="商业人流量" localSheetId="34">'[2]比较法-商业'!$B$90:$M$90</definedName>
    <definedName name="商业人流量">'比较法-商业'!$B$90:$M$90</definedName>
    <definedName name="商业业态" localSheetId="15">'[1]比较法-商业租金'!$B$114:$M$114</definedName>
    <definedName name="商业业态" localSheetId="34">'[2]比较法-商业'!$B$114:$M$114</definedName>
    <definedName name="商业业态">'比较法-商业'!$B$114:$M$114</definedName>
    <definedName name="商业用途" localSheetId="15">'[1]比较法-商业租金'!$B$63:$M$63</definedName>
    <definedName name="商业用途" localSheetId="34">'[2]比较法-商业'!$B$63:$M$63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5">'[1]比较法-仓储'!$B$89:$M$89</definedName>
    <definedName name="是否封闭" localSheetId="34">'[2]比较法-仓储'!$B$89:$M$89</definedName>
    <definedName name="是否封闭">'比较法-仓储'!$B$89:$M$89</definedName>
    <definedName name="是否直接入户" localSheetId="15">'[1]比较法-车位'!$B$95:$M$95</definedName>
    <definedName name="是否直接入户" localSheetId="34">'[2]比较法-车位'!$B$95:$M$95</definedName>
    <definedName name="是否直接入户">'比较法-车位'!$B$95:$M$95</definedName>
    <definedName name="四级">区片价!$L$1:$L$28</definedName>
    <definedName name="套工道路等级" localSheetId="15">'[1]土地比较法-工业'!$B$97:$M$97</definedName>
    <definedName name="套工道路等级" localSheetId="34">'[2]土地比较法-工业'!$B$97:$M$97</definedName>
    <definedName name="套工道路等级">'土地比较法-工业'!$B$97:$M$97</definedName>
    <definedName name="套工地质条件" localSheetId="15">'[1]土地比较法-工业'!$B$114:$M$114</definedName>
    <definedName name="套工地质条件" localSheetId="34">'[2]土地比较法-工业'!$B$114:$M$114</definedName>
    <definedName name="套工地质条件">'土地比较法-工业'!$B$114:$M$114</definedName>
    <definedName name="套工交易情况" localSheetId="15">'[1]土地比较法-住宅、综合'!$A$73:$M$73</definedName>
    <definedName name="套工交易情况" localSheetId="34">'[2]土地比较法-住宅、综合'!$A$72:$M$72</definedName>
    <definedName name="套工交易情况">'土地比较法-住宅、综合'!$A$73:$M$73</definedName>
    <definedName name="套工土地级别" localSheetId="15">'[1]土地比较法-工业'!$B$99:$M$99</definedName>
    <definedName name="套工土地级别" localSheetId="34">'[2]土地比较法-工业'!$B$99:$M$99</definedName>
    <definedName name="套工土地级别">'土地比较法-工业'!$B$99:$M$99</definedName>
    <definedName name="套工用途" localSheetId="15">'[1]土地比较法-工业'!$B$70:$M$70</definedName>
    <definedName name="套工用途" localSheetId="34">'[2]土地比较法-工业'!$B$70:$M$70</definedName>
    <definedName name="套工用途">'土地比较法-工业'!$B$70:$M$70</definedName>
    <definedName name="套工宗地开发程度" localSheetId="15">'[1]土地比较法-工业'!$B$112:$M$112</definedName>
    <definedName name="套工宗地开发程度" localSheetId="34">'[2]土地比较法-工业'!$B$112:$M$112</definedName>
    <definedName name="套工宗地开发程度">'[3]土地比较法-工业'!$B$112:$M$112</definedName>
    <definedName name="套工宗地内开发程度">'土地比较法-工业'!$B$112:$M$112</definedName>
    <definedName name="套工宗地形状" localSheetId="15">'[1]土地比较法-工业'!$B$110:$M$110</definedName>
    <definedName name="套工宗地形状" localSheetId="34">'[2]土地比较法-工业'!$B$110:$M$110</definedName>
    <definedName name="套工宗地形状">'土地比较法-工业'!$B$110:$M$110</definedName>
    <definedName name="套综道路等级" localSheetId="15">'[1]土地比较法-住宅、综合'!$B$106:$M$106</definedName>
    <definedName name="套综道路等级" localSheetId="34">'[2]土地比较法-住宅、综合'!$B$105:$M$105</definedName>
    <definedName name="套综道路等级">'土地比较法-住宅、综合'!$B$106:$M$106</definedName>
    <definedName name="套综工程地质条件" localSheetId="15">'[1]土地比较法-住宅、综合'!$B$125:$M$125</definedName>
    <definedName name="套综工程地质条件" localSheetId="34">'[2]土地比较法-住宅、综合'!$B$124:$M$124</definedName>
    <definedName name="套综工程地质条件">'土地比较法-住宅、综合'!$B$125:$M$125</definedName>
    <definedName name="套综交易情况" localSheetId="15">'[1]土地比较法-住宅、综合'!$A$73:$M$73</definedName>
    <definedName name="套综交易情况" localSheetId="34">'[2]土地比较法-住宅、综合'!$A$72:$M$72</definedName>
    <definedName name="套综交易情况">'土地比较法-住宅、综合'!$A$73:$M$73</definedName>
    <definedName name="套综临街宽度及深度" localSheetId="15">'[1]土地比较法-住宅、综合'!$B$121:$M$121</definedName>
    <definedName name="套综临街宽度及深度" localSheetId="34">'[2]土地比较法-住宅、综合'!$B$120:$M$120</definedName>
    <definedName name="套综临街宽度及深度">'土地比较法-住宅、综合'!$B$121:$M$121</definedName>
    <definedName name="套综土地级别" localSheetId="15">'[1]土地比较法-住宅、综合'!$B$108:$M$108</definedName>
    <definedName name="套综土地级别" localSheetId="34">'[2]土地比较法-住宅、综合'!$B$107:$M$107</definedName>
    <definedName name="套综土地级别">'土地比较法-住宅、综合'!$B$108:$M$108</definedName>
    <definedName name="套综用途" localSheetId="15">'[1]土地比较法-住宅、综合'!$B$75:$M$75</definedName>
    <definedName name="套综用途" localSheetId="34">'[2]土地比较法-住宅、综合'!$B$74:$M$74</definedName>
    <definedName name="套综用途">'土地比较法-住宅、综合'!$B$75:$M$75</definedName>
    <definedName name="套综宗地内开发程度" localSheetId="15">'[1]土地比较法-住宅、综合'!$B$123:$M$123</definedName>
    <definedName name="套综宗地内开发程度" localSheetId="34">'[2]土地比较法-住宅、综合'!$B$122:$M$122</definedName>
    <definedName name="套综宗地内开发程度">'土地比较法-住宅、综合'!$B$123:$M$123</definedName>
    <definedName name="套综宗地形状" localSheetId="15">'[1]土地比较法-住宅、综合'!$B$119:$M$119</definedName>
    <definedName name="套综宗地形状" localSheetId="34">'[2]土地比较法-住宅、综合'!$B$118:$M$118</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5">[1]定义!$C$1:$C$14</definedName>
    <definedName name="土地级别" localSheetId="34">[2]定义!$C$1:$C$14</definedName>
    <definedName name="土地级别">定义!$C$1:$C$13</definedName>
    <definedName name="土地利用方向">定义!$P$1:$P$6</definedName>
    <definedName name="土地年限区间" localSheetId="15">[1]定义!$I$1:$I$8</definedName>
    <definedName name="土地年限区间">定义!$I$1:$I$8</definedName>
    <definedName name="位置" localSheetId="15">[1]定义!$E$2:$E$4</definedName>
    <definedName name="位置" localSheetId="34">[2]定义!$E$2:$E$4</definedName>
    <definedName name="位置">定义!$E$2:$E$4</definedName>
    <definedName name="五等判定" localSheetId="15">[1]定义!$W$1:$W$6</definedName>
    <definedName name="五等判定" localSheetId="34">[2]定义!$W$1:$W$6</definedName>
    <definedName name="五等判定">定义!$W$1:$W$6</definedName>
    <definedName name="五级">区片价!$M$1:$M$35</definedName>
    <definedName name="项目类型" localSheetId="15">'[1]数据-汇总表'!$C$17:$C$26</definedName>
    <definedName name="项目类型" localSheetId="34">'[2]数据-汇总表'!$C$17:$C$26</definedName>
    <definedName name="项目类型">'[3]数据-汇总表'!$C$17:$C$26</definedName>
    <definedName name="项目类型取费">'数据-取费表'!$A$19:$A$19</definedName>
    <definedName name="写字楼等级" localSheetId="15">'[1]比较法-办公'!$B$113:$M$113</definedName>
    <definedName name="写字楼等级" localSheetId="34">'[2]比较法-办公'!$B$113:$M$113</definedName>
    <definedName name="写字楼等级">'比较法-办公'!$B$113:$M$113</definedName>
    <definedName name="一级">区片价!$I$1:$I$6</definedName>
    <definedName name="一修多修正项2" localSheetId="15">[1]典型户型修正!$5:$5</definedName>
    <definedName name="一修多修正项2" localSheetId="34">[2]典型户型修正!$5:$5</definedName>
    <definedName name="一修多修正项2">典型户型修正!$8:$8</definedName>
    <definedName name="一修多修正项3" localSheetId="15">[1]典型户型修正!$7:$7</definedName>
    <definedName name="一修多修正项3" localSheetId="34">[2]典型户型修正!$7:$7</definedName>
    <definedName name="一修多修正项3">典型户型修正!$10:$10</definedName>
    <definedName name="一修多修正项4" localSheetId="15">[1]典型户型修正!$9:$9</definedName>
    <definedName name="一修多修正项4" localSheetId="34">[2]典型户型修正!$9:$9</definedName>
    <definedName name="一修多修正项4">典型户型修正!$12:$12</definedName>
    <definedName name="一修多修正项5" localSheetId="15">[1]典型户型修正!$11:$11</definedName>
    <definedName name="一修多修正项5" localSheetId="34">[2]典型户型修正!$11:$11</definedName>
    <definedName name="一修多修正项5">典型户型修正!$14:$14</definedName>
    <definedName name="一修多修正项6" localSheetId="15">[1]典型户型修正!$13:$13</definedName>
    <definedName name="一修多修正项6" localSheetId="34">[2]典型户型修正!$13:$13</definedName>
    <definedName name="一修多修正项6">典型户型修正!$16:$16</definedName>
    <definedName name="一修多修正项7" localSheetId="15">[1]典型户型修正!$15:$15</definedName>
    <definedName name="一修多修正项7" localSheetId="34">[2]典型户型修正!$15:$15</definedName>
    <definedName name="一修多修正项7">典型户型修正!$18:$18</definedName>
    <definedName name="一修多修正项8" localSheetId="15">[1]典型户型修正!$17:$17</definedName>
    <definedName name="一修多修正项8" localSheetId="34">[2]典型户型修正!$17:$17</definedName>
    <definedName name="一修多修正项8">典型户型修正!$20:$20</definedName>
    <definedName name="已注销">定义!$B$55:$C$55</definedName>
    <definedName name="已注销及未注销">定义!$B$56:$C$56</definedName>
    <definedName name="用途明细" localSheetId="15">[1]定义!$A$1:$A$50</definedName>
    <definedName name="用途明细" localSheetId="34">[2]定义!$A$1:$A$50</definedName>
    <definedName name="用途明细">定义!$A$1:$A$50</definedName>
    <definedName name="有无电梯" localSheetId="15">'[1]比较法-仓储'!$B$84:$M$84</definedName>
    <definedName name="有无电梯" localSheetId="34">'[2]比较法-仓储'!$B$84:$M$84</definedName>
    <definedName name="有无电梯">'比较法-仓储'!$B$84:$M$84</definedName>
    <definedName name="主用途" localSheetId="15">[1]定义!$F$1:$F$10</definedName>
    <definedName name="主用途" localSheetId="34">[2]定义!$F$1:$F$12</definedName>
    <definedName name="主用途">定义!$F$1:$F$10</definedName>
    <definedName name="住宅朝向" localSheetId="15">'[1]比较法-住宅'!$B$88:$M$88</definedName>
    <definedName name="住宅朝向" localSheetId="34">'[2]比较法-住宅'!$B$88:$M$88</definedName>
    <definedName name="住宅朝向">'比较法-住宅'!$B$88:$M$88</definedName>
    <definedName name="住宅房型" localSheetId="15">'[1]比较法-住宅'!$B$118:$M$118</definedName>
    <definedName name="住宅房型" localSheetId="34">'[2]比较法-住宅'!$B$118:$M$118</definedName>
    <definedName name="住宅房型">'比较法-住宅'!$B$118:$M$118</definedName>
    <definedName name="住宅公共部分装修" localSheetId="15">'[1]比较法-住宅'!$B$109:$M$109</definedName>
    <definedName name="住宅公共部分装修" localSheetId="34">'[2]比较法-住宅'!$B$109:$M$109</definedName>
    <definedName name="住宅公共部分装修">'比较法-住宅'!$B$109:$M$109</definedName>
    <definedName name="住宅基础设施水平" localSheetId="15">'[1]比较法-住宅'!$B$116:$M$116</definedName>
    <definedName name="住宅基础设施水平" localSheetId="34">'[2]比较法-住宅'!$B$116:$M$116</definedName>
    <definedName name="住宅基础设施水平">'比较法-住宅'!$B$116:$M$116</definedName>
    <definedName name="住宅建筑结构" localSheetId="15">'[1]比较法-住宅'!$B$105:$M$105</definedName>
    <definedName name="住宅建筑结构" localSheetId="34">'[2]比较法-住宅'!$B$105:$M$105</definedName>
    <definedName name="住宅建筑结构">'比较法-住宅'!$B$105:$M$105</definedName>
    <definedName name="住宅建筑类型" localSheetId="15">'[1]比较法-住宅'!$B$100:$M$100</definedName>
    <definedName name="住宅建筑类型" localSheetId="34">'[2]比较法-住宅'!$B$100:$M$100</definedName>
    <definedName name="住宅建筑类型">'比较法-住宅'!$B$100:$M$100</definedName>
    <definedName name="住宅建筑品质" localSheetId="15">'[1]比较法-住宅'!$B$107:$M$107</definedName>
    <definedName name="住宅建筑品质" localSheetId="34">'[2]比较法-住宅'!$B$107:$M$107</definedName>
    <definedName name="住宅建筑品质">'比较法-住宅'!$B$107:$M$107</definedName>
    <definedName name="住宅交易情况" localSheetId="15">'[1]比较法-住宅'!$A$61:$M$61</definedName>
    <definedName name="住宅交易情况" localSheetId="34">'[2]比较法-住宅'!$A$61:$M$61</definedName>
    <definedName name="住宅交易情况">'比较法-住宅'!$A$61:$M$61</definedName>
    <definedName name="住宅楼层" localSheetId="15">'[1]比较法-住宅'!$B$86:$M$86</definedName>
    <definedName name="住宅楼层" localSheetId="34">'[2]比较法-住宅'!$B$86:$M$86</definedName>
    <definedName name="住宅楼层">'比较法-住宅'!$B$86:$M$86</definedName>
    <definedName name="住宅内部装修" localSheetId="15">'[1]比较法-住宅'!$B$122:$M$122</definedName>
    <definedName name="住宅内部装修" localSheetId="34">'[2]比较法-住宅'!$B$122:$M$122</definedName>
    <definedName name="住宅内部装修">'比较法-住宅'!$B$122:$M$122</definedName>
    <definedName name="住宅物业管理" localSheetId="15">'[1]比较法-住宅'!$B$114:$M$114</definedName>
    <definedName name="住宅物业管理" localSheetId="34">'[2]比较法-住宅'!$B$114:$M$114</definedName>
    <definedName name="住宅物业管理">'比较法-住宅'!$B$114:$M$114</definedName>
    <definedName name="住宅用途" localSheetId="15">'[1]比较法-住宅'!$B$63:$M$63</definedName>
    <definedName name="住宅用途" localSheetId="34">'[2]比较法-住宅'!$B$63:$M$63</definedName>
    <definedName name="住宅用途">'比较法-住宅'!$B$63:$M$63</definedName>
    <definedName name="住宅主力户型面积">'比较法-住宅'!$B$120:$M$120</definedName>
    <definedName name="注册房地产估价师" localSheetId="15">[1]估价师及机构信息!$A$3:$A$16</definedName>
    <definedName name="注册房地产估价师" localSheetId="34">[2]估价师及机构信息!$A$3:$A$16</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71" l="1"/>
  <c r="O36" i="65" l="1"/>
  <c r="O35" i="65"/>
  <c r="O34" i="65"/>
  <c r="O33" i="65"/>
  <c r="O32" i="65"/>
  <c r="O31" i="65"/>
  <c r="I37" i="34" l="1"/>
  <c r="E37" i="34"/>
  <c r="G37" i="34"/>
  <c r="Q36" i="65" l="1"/>
  <c r="R36" i="65"/>
  <c r="R35" i="65"/>
  <c r="R34" i="65"/>
  <c r="R33" i="65"/>
  <c r="R32" i="65"/>
  <c r="AC60" i="70"/>
  <c r="AC56" i="70"/>
  <c r="AC52" i="70"/>
  <c r="AC48" i="70"/>
  <c r="AC44" i="70"/>
  <c r="AC40" i="70"/>
  <c r="AC36" i="70"/>
  <c r="AC35" i="70"/>
  <c r="AC37" i="70"/>
  <c r="Q35" i="65"/>
  <c r="Q34" i="65"/>
  <c r="Q33" i="65"/>
  <c r="Q32" i="65"/>
  <c r="I6" i="65" l="1"/>
  <c r="H28" i="65"/>
  <c r="H27" i="65"/>
  <c r="H26" i="65"/>
  <c r="I20" i="65"/>
  <c r="I17" i="65"/>
  <c r="H15" i="65"/>
  <c r="H14" i="65"/>
  <c r="H12" i="65"/>
  <c r="I11" i="65"/>
  <c r="H9" i="65"/>
  <c r="I8" i="65"/>
  <c r="B52" i="72"/>
  <c r="B43" i="72"/>
  <c r="B41" i="72"/>
  <c r="B31" i="72"/>
  <c r="B24" i="72"/>
  <c r="B23" i="72"/>
  <c r="B22" i="72"/>
  <c r="N20" i="72"/>
  <c r="K15" i="72"/>
  <c r="P14" i="72"/>
  <c r="O14" i="72"/>
  <c r="K14" i="72"/>
  <c r="M14" i="72" s="1"/>
  <c r="AP13" i="72"/>
  <c r="AG13" i="72"/>
  <c r="AE13" i="72"/>
  <c r="P13" i="72"/>
  <c r="O13" i="72"/>
  <c r="F13" i="72"/>
  <c r="D13" i="72"/>
  <c r="A13" i="72"/>
  <c r="S13" i="72" s="1"/>
  <c r="AP12" i="72"/>
  <c r="AG12" i="72"/>
  <c r="AE12" i="72"/>
  <c r="S12" i="72"/>
  <c r="AR12" i="72" s="1"/>
  <c r="P12" i="72"/>
  <c r="O12" i="72"/>
  <c r="F12" i="72"/>
  <c r="D12" i="72"/>
  <c r="G12" i="72" s="1"/>
  <c r="B12" i="72"/>
  <c r="E12" i="72" s="1"/>
  <c r="A12" i="72"/>
  <c r="R12" i="72" s="1"/>
  <c r="AP11" i="72"/>
  <c r="AG11" i="72"/>
  <c r="AE11" i="72"/>
  <c r="P11" i="72"/>
  <c r="O11" i="72"/>
  <c r="F11" i="72"/>
  <c r="D11" i="72"/>
  <c r="G11" i="72" s="1"/>
  <c r="A11" i="72"/>
  <c r="S11" i="72" s="1"/>
  <c r="AP10" i="72"/>
  <c r="AG10" i="72"/>
  <c r="AE10" i="72"/>
  <c r="P10" i="72"/>
  <c r="O10" i="72"/>
  <c r="F10" i="72"/>
  <c r="D10" i="72"/>
  <c r="G10" i="72" s="1"/>
  <c r="A10" i="72"/>
  <c r="R10" i="72" s="1"/>
  <c r="AP9" i="72"/>
  <c r="AG9" i="72"/>
  <c r="AE9" i="72"/>
  <c r="P9" i="72"/>
  <c r="O9" i="72"/>
  <c r="F9" i="72"/>
  <c r="D9" i="72"/>
  <c r="A9" i="72"/>
  <c r="S9" i="72" s="1"/>
  <c r="AP8" i="72"/>
  <c r="AG8" i="72"/>
  <c r="AE8" i="72"/>
  <c r="S8" i="72"/>
  <c r="AR8" i="72" s="1"/>
  <c r="P8" i="72"/>
  <c r="O8" i="72"/>
  <c r="F8" i="72"/>
  <c r="D8" i="72"/>
  <c r="G8" i="72" s="1"/>
  <c r="B8" i="72"/>
  <c r="E8" i="72" s="1"/>
  <c r="A8" i="72"/>
  <c r="R8" i="72" s="1"/>
  <c r="AP7" i="72"/>
  <c r="AG7" i="72"/>
  <c r="AE7" i="72"/>
  <c r="P7" i="72"/>
  <c r="O7" i="72"/>
  <c r="F7" i="72"/>
  <c r="D7" i="72"/>
  <c r="A7" i="72"/>
  <c r="K7" i="72" s="1"/>
  <c r="M7" i="72" s="1"/>
  <c r="AP6" i="72"/>
  <c r="AG6" i="72"/>
  <c r="U6" i="72"/>
  <c r="S6" i="72"/>
  <c r="P6" i="72"/>
  <c r="P16" i="72" s="1"/>
  <c r="O6" i="72"/>
  <c r="N6" i="72"/>
  <c r="Y6" i="72" s="1"/>
  <c r="K6" i="72"/>
  <c r="F6" i="72"/>
  <c r="D6" i="72"/>
  <c r="G6" i="72" s="1"/>
  <c r="A6" i="72"/>
  <c r="T4" i="72"/>
  <c r="B2" i="72"/>
  <c r="C42" i="72" s="1"/>
  <c r="AO7" i="72"/>
  <c r="AO11" i="72"/>
  <c r="AO10" i="72"/>
  <c r="AO13" i="72"/>
  <c r="AO12" i="72"/>
  <c r="AO8" i="72"/>
  <c r="AE6" i="72"/>
  <c r="AO6" i="72"/>
  <c r="AO9" i="72"/>
  <c r="O16" i="72" l="1"/>
  <c r="G7" i="72"/>
  <c r="G9" i="72"/>
  <c r="B10" i="72"/>
  <c r="E10" i="72" s="1"/>
  <c r="S10" i="72"/>
  <c r="AR10" i="72" s="1"/>
  <c r="G13" i="72"/>
  <c r="M6" i="72"/>
  <c r="AR6" i="72"/>
  <c r="T6" i="72"/>
  <c r="AQ6" i="72"/>
  <c r="AQ11" i="72"/>
  <c r="AR11" i="72"/>
  <c r="T11" i="72"/>
  <c r="R6" i="72"/>
  <c r="B6" i="72"/>
  <c r="E6" i="72" s="1"/>
  <c r="S7" i="72"/>
  <c r="B7" i="72"/>
  <c r="E7" i="72" s="1"/>
  <c r="R7" i="72"/>
  <c r="AQ9" i="72"/>
  <c r="AR9" i="72"/>
  <c r="T9" i="72"/>
  <c r="AQ13" i="72"/>
  <c r="AR13" i="72"/>
  <c r="T13" i="72"/>
  <c r="AQ8" i="72"/>
  <c r="K9" i="72"/>
  <c r="M9" i="72" s="1"/>
  <c r="R9" i="72"/>
  <c r="AQ10" i="72"/>
  <c r="K11" i="72"/>
  <c r="M11" i="72" s="1"/>
  <c r="R11" i="72"/>
  <c r="AQ12" i="72"/>
  <c r="K13" i="72"/>
  <c r="M13" i="72" s="1"/>
  <c r="R13" i="72"/>
  <c r="K8" i="72"/>
  <c r="M8" i="72" s="1"/>
  <c r="T8" i="72"/>
  <c r="B9" i="72"/>
  <c r="E9" i="72" s="1"/>
  <c r="K10" i="72"/>
  <c r="M10" i="72" s="1"/>
  <c r="T10" i="72"/>
  <c r="B11" i="72"/>
  <c r="E11" i="72" s="1"/>
  <c r="K12" i="72"/>
  <c r="M12" i="72" s="1"/>
  <c r="T12" i="72"/>
  <c r="B13" i="72"/>
  <c r="E13" i="72" s="1"/>
  <c r="AQ7" i="72" l="1"/>
  <c r="AR7" i="72"/>
  <c r="T7" i="72"/>
  <c r="T16" i="72" s="1"/>
  <c r="R16" i="72"/>
  <c r="S16" i="72"/>
  <c r="Q16" i="72"/>
  <c r="H16" i="72"/>
  <c r="K16" i="72"/>
  <c r="M16" i="72"/>
  <c r="L16" i="72" s="1"/>
  <c r="G16" i="72"/>
  <c r="N16" i="72" l="1"/>
  <c r="B40" i="72" l="1"/>
  <c r="I18" i="65" s="1"/>
  <c r="B39" i="72"/>
  <c r="L30" i="65" l="1"/>
  <c r="I58" i="70"/>
  <c r="I57" i="70"/>
  <c r="J57" i="70" s="1"/>
  <c r="I56" i="70"/>
  <c r="I54" i="70"/>
  <c r="I53" i="70"/>
  <c r="J53" i="70" s="1"/>
  <c r="I52" i="70"/>
  <c r="I50" i="70"/>
  <c r="I49" i="70"/>
  <c r="I48" i="70"/>
  <c r="I46" i="70"/>
  <c r="I45" i="70"/>
  <c r="J45" i="70" s="1"/>
  <c r="I44" i="70"/>
  <c r="I42" i="70"/>
  <c r="I41" i="70"/>
  <c r="I40" i="70"/>
  <c r="I38" i="70"/>
  <c r="I36" i="70"/>
  <c r="I37" i="70"/>
  <c r="R44" i="65"/>
  <c r="Q44" i="65"/>
  <c r="P44" i="65"/>
  <c r="O44" i="65"/>
  <c r="N44" i="65"/>
  <c r="M44" i="65"/>
  <c r="L44" i="65"/>
  <c r="AD60" i="70"/>
  <c r="AD56" i="70"/>
  <c r="AD52" i="70"/>
  <c r="AD48" i="70"/>
  <c r="AD44" i="70"/>
  <c r="AD40" i="70"/>
  <c r="AC61" i="70"/>
  <c r="AC59" i="70"/>
  <c r="AC57" i="70"/>
  <c r="AC55" i="70"/>
  <c r="AC53" i="70"/>
  <c r="AC51" i="70"/>
  <c r="AC49" i="70"/>
  <c r="AC47" i="70"/>
  <c r="AC45" i="70"/>
  <c r="AC43" i="70"/>
  <c r="AC41" i="70"/>
  <c r="AC39" i="70"/>
  <c r="J49" i="70"/>
  <c r="J41" i="70"/>
  <c r="AA37" i="70"/>
  <c r="AA38" i="70"/>
  <c r="AA39" i="70"/>
  <c r="AA40" i="70"/>
  <c r="AA41" i="70"/>
  <c r="AA42" i="70"/>
  <c r="AA43" i="70"/>
  <c r="AA44" i="70"/>
  <c r="AA45" i="70"/>
  <c r="AA46" i="70"/>
  <c r="AA47" i="70"/>
  <c r="AA48" i="70"/>
  <c r="AA49" i="70"/>
  <c r="AA50" i="70"/>
  <c r="AA51" i="70"/>
  <c r="AA52" i="70"/>
  <c r="AA53" i="70"/>
  <c r="AA54" i="70"/>
  <c r="AA55" i="70"/>
  <c r="AA56" i="70"/>
  <c r="AA57" i="70"/>
  <c r="AA58" i="70"/>
  <c r="AA59" i="70"/>
  <c r="AA60" i="70"/>
  <c r="AA61" i="70"/>
  <c r="AA62" i="70"/>
  <c r="AA36" i="70"/>
  <c r="X35" i="70"/>
  <c r="X36" i="70"/>
  <c r="X37" i="70"/>
  <c r="X38" i="70"/>
  <c r="X39" i="70"/>
  <c r="X40" i="70"/>
  <c r="X41" i="70"/>
  <c r="X42" i="70"/>
  <c r="X43" i="70"/>
  <c r="X44" i="70"/>
  <c r="X45" i="70"/>
  <c r="X46" i="70"/>
  <c r="X47" i="70"/>
  <c r="X48" i="70"/>
  <c r="X49" i="70"/>
  <c r="X50" i="70"/>
  <c r="X51" i="70"/>
  <c r="X52" i="70"/>
  <c r="X53" i="70"/>
  <c r="X54" i="70"/>
  <c r="X55" i="70"/>
  <c r="X56" i="70"/>
  <c r="X57" i="70"/>
  <c r="X58" i="70"/>
  <c r="X59" i="70"/>
  <c r="X60" i="70"/>
  <c r="X61" i="70"/>
  <c r="X62" i="70"/>
  <c r="W36" i="70"/>
  <c r="W37" i="70"/>
  <c r="W38" i="70"/>
  <c r="W39" i="70"/>
  <c r="W40" i="70"/>
  <c r="W41" i="70"/>
  <c r="W42" i="70"/>
  <c r="W43" i="70"/>
  <c r="W44" i="70"/>
  <c r="W45" i="70"/>
  <c r="W46" i="70"/>
  <c r="W47" i="70"/>
  <c r="W48" i="70"/>
  <c r="W49" i="70"/>
  <c r="W50" i="70"/>
  <c r="W51" i="70"/>
  <c r="W52" i="70"/>
  <c r="W53" i="70"/>
  <c r="W54" i="70"/>
  <c r="W55" i="70"/>
  <c r="W56" i="70"/>
  <c r="W57" i="70"/>
  <c r="W58" i="70"/>
  <c r="W59" i="70"/>
  <c r="W60" i="70"/>
  <c r="W61" i="70"/>
  <c r="W62" i="70"/>
  <c r="W35" i="70"/>
  <c r="V36" i="70"/>
  <c r="V37" i="70"/>
  <c r="V38" i="70"/>
  <c r="V39" i="70"/>
  <c r="V40" i="70"/>
  <c r="V41" i="70"/>
  <c r="V42" i="70"/>
  <c r="V43" i="70"/>
  <c r="V44" i="70"/>
  <c r="V45" i="70"/>
  <c r="V46" i="70"/>
  <c r="V47" i="70"/>
  <c r="V48" i="70"/>
  <c r="V49" i="70"/>
  <c r="V50" i="70"/>
  <c r="V51" i="70"/>
  <c r="V52" i="70"/>
  <c r="V53" i="70"/>
  <c r="V54" i="70"/>
  <c r="V55" i="70"/>
  <c r="V56" i="70"/>
  <c r="V57" i="70"/>
  <c r="V58" i="70"/>
  <c r="V59" i="70"/>
  <c r="V60" i="70"/>
  <c r="V61" i="70"/>
  <c r="V62" i="70"/>
  <c r="V35" i="70"/>
  <c r="X30" i="70"/>
  <c r="X31" i="70"/>
  <c r="F24" i="70"/>
  <c r="E54" i="70"/>
  <c r="F54" i="70"/>
  <c r="E55" i="70"/>
  <c r="F55" i="70"/>
  <c r="E56" i="70"/>
  <c r="F56" i="70"/>
  <c r="E57" i="70"/>
  <c r="F57" i="70"/>
  <c r="E58" i="70"/>
  <c r="F58" i="70"/>
  <c r="E59" i="70"/>
  <c r="F59" i="70"/>
  <c r="E60" i="70"/>
  <c r="F60" i="70"/>
  <c r="E61" i="70"/>
  <c r="F61" i="70"/>
  <c r="E62" i="70"/>
  <c r="F62" i="70"/>
  <c r="D55" i="71" l="1"/>
  <c r="C55" i="71"/>
  <c r="E18" i="71"/>
  <c r="F18" i="71" s="1"/>
  <c r="D18" i="71"/>
  <c r="E17" i="71"/>
  <c r="D17" i="71"/>
  <c r="E16" i="71"/>
  <c r="F16" i="71" s="1"/>
  <c r="D53" i="71" s="1"/>
  <c r="D16" i="71"/>
  <c r="E15" i="71"/>
  <c r="D15" i="71"/>
  <c r="E14" i="71"/>
  <c r="F14" i="71" s="1"/>
  <c r="D51" i="71" s="1"/>
  <c r="D14" i="71"/>
  <c r="E13" i="71"/>
  <c r="D13" i="71"/>
  <c r="E12" i="71"/>
  <c r="F12" i="71" s="1"/>
  <c r="D49" i="71" s="1"/>
  <c r="D12" i="71"/>
  <c r="K11" i="71"/>
  <c r="E11" i="71"/>
  <c r="B11" i="71"/>
  <c r="K10" i="71"/>
  <c r="I10" i="71"/>
  <c r="H10" i="71"/>
  <c r="E10" i="71"/>
  <c r="F10" i="71" s="1"/>
  <c r="D47" i="71" s="1"/>
  <c r="K9" i="71"/>
  <c r="F9" i="71"/>
  <c r="D46" i="71" s="1"/>
  <c r="K8" i="71"/>
  <c r="F8" i="71"/>
  <c r="D45" i="71" s="1"/>
  <c r="K7" i="71"/>
  <c r="F7" i="71"/>
  <c r="D44" i="71" s="1"/>
  <c r="D7" i="71"/>
  <c r="J6" i="71"/>
  <c r="D6" i="71"/>
  <c r="O92" i="70"/>
  <c r="M92" i="70"/>
  <c r="L92" i="70"/>
  <c r="O91" i="70"/>
  <c r="M91" i="70"/>
  <c r="L91" i="70"/>
  <c r="O90" i="70"/>
  <c r="M90" i="70"/>
  <c r="L90" i="70"/>
  <c r="O89" i="70"/>
  <c r="M89" i="70"/>
  <c r="L89" i="70"/>
  <c r="O88" i="70"/>
  <c r="M88" i="70"/>
  <c r="L88" i="70"/>
  <c r="O87" i="70"/>
  <c r="M87" i="70"/>
  <c r="L87" i="70"/>
  <c r="O86" i="70"/>
  <c r="M86" i="70"/>
  <c r="L86" i="70"/>
  <c r="O85" i="70"/>
  <c r="M85" i="70"/>
  <c r="O84" i="70"/>
  <c r="M84" i="70"/>
  <c r="L84" i="70"/>
  <c r="O83" i="70"/>
  <c r="M83" i="70"/>
  <c r="L83" i="70"/>
  <c r="O82" i="70"/>
  <c r="M82" i="70"/>
  <c r="L82" i="70"/>
  <c r="O81" i="70"/>
  <c r="M81" i="70"/>
  <c r="L81" i="70"/>
  <c r="O80" i="70"/>
  <c r="M80" i="70"/>
  <c r="L80" i="70"/>
  <c r="O79" i="70"/>
  <c r="M79" i="70"/>
  <c r="L79" i="70"/>
  <c r="O78" i="70"/>
  <c r="M78" i="70"/>
  <c r="L78" i="70"/>
  <c r="O77" i="70"/>
  <c r="M77" i="70"/>
  <c r="L77" i="70"/>
  <c r="O76" i="70"/>
  <c r="M76" i="70"/>
  <c r="L76" i="70"/>
  <c r="O75" i="70"/>
  <c r="M75" i="70"/>
  <c r="L75" i="70"/>
  <c r="O74" i="70"/>
  <c r="M74" i="70"/>
  <c r="L74" i="70"/>
  <c r="Q62" i="70"/>
  <c r="M62" i="70"/>
  <c r="L62" i="70"/>
  <c r="Q61" i="70"/>
  <c r="M61" i="70"/>
  <c r="L61" i="70"/>
  <c r="Q60" i="70"/>
  <c r="M60" i="70"/>
  <c r="L60" i="70"/>
  <c r="Q59" i="70"/>
  <c r="M59" i="70"/>
  <c r="L59" i="70"/>
  <c r="Q58" i="70"/>
  <c r="M58" i="70"/>
  <c r="L58" i="70"/>
  <c r="Q57" i="70"/>
  <c r="Q56" i="70"/>
  <c r="M56" i="70"/>
  <c r="L56" i="70"/>
  <c r="Q55" i="70"/>
  <c r="M55" i="70"/>
  <c r="O54" i="70"/>
  <c r="M54" i="70"/>
  <c r="L54" i="70"/>
  <c r="O53" i="70"/>
  <c r="M53" i="70"/>
  <c r="L53" i="70"/>
  <c r="F53" i="70"/>
  <c r="E53" i="70"/>
  <c r="O52" i="70"/>
  <c r="M52" i="70"/>
  <c r="L52" i="70"/>
  <c r="F52" i="70"/>
  <c r="E52" i="70"/>
  <c r="O51" i="70"/>
  <c r="M51" i="70"/>
  <c r="T54" i="70" s="1"/>
  <c r="J16" i="71" s="1"/>
  <c r="L51" i="70"/>
  <c r="F51" i="70"/>
  <c r="E51" i="70"/>
  <c r="O50" i="70"/>
  <c r="M50" i="70"/>
  <c r="L50" i="70"/>
  <c r="F50" i="70"/>
  <c r="E50" i="70"/>
  <c r="O49" i="70"/>
  <c r="M49" i="70"/>
  <c r="L49" i="70"/>
  <c r="F49" i="70"/>
  <c r="E49" i="70"/>
  <c r="O48" i="70"/>
  <c r="M48" i="70"/>
  <c r="L48" i="70"/>
  <c r="F48" i="70"/>
  <c r="E48" i="70"/>
  <c r="O47" i="70"/>
  <c r="M47" i="70"/>
  <c r="F47" i="70"/>
  <c r="E47" i="70"/>
  <c r="O46" i="70"/>
  <c r="M46" i="70"/>
  <c r="L46" i="70"/>
  <c r="F46" i="70"/>
  <c r="E46" i="70"/>
  <c r="O45" i="70"/>
  <c r="M45" i="70"/>
  <c r="L45" i="70"/>
  <c r="F45" i="70"/>
  <c r="E45" i="70"/>
  <c r="O44" i="70"/>
  <c r="M44" i="70"/>
  <c r="L44" i="70"/>
  <c r="F44" i="70"/>
  <c r="E44" i="70"/>
  <c r="O43" i="70"/>
  <c r="M43" i="70"/>
  <c r="T46" i="70" s="1"/>
  <c r="J14" i="71" s="1"/>
  <c r="L43" i="70"/>
  <c r="F43" i="70"/>
  <c r="E43" i="70"/>
  <c r="O42" i="70"/>
  <c r="M42" i="70"/>
  <c r="L42" i="70"/>
  <c r="F42" i="70"/>
  <c r="E42" i="70"/>
  <c r="O41" i="70"/>
  <c r="M41" i="70"/>
  <c r="L41" i="70"/>
  <c r="F41" i="70"/>
  <c r="E41" i="70"/>
  <c r="O40" i="70"/>
  <c r="M40" i="70"/>
  <c r="L40" i="70"/>
  <c r="F40" i="70"/>
  <c r="E40" i="70"/>
  <c r="O39" i="70"/>
  <c r="M39" i="70"/>
  <c r="L39" i="70"/>
  <c r="F39" i="70"/>
  <c r="E39" i="70"/>
  <c r="O38" i="70"/>
  <c r="M38" i="70"/>
  <c r="L38" i="70"/>
  <c r="F38" i="70"/>
  <c r="E38" i="70"/>
  <c r="O37" i="70"/>
  <c r="M37" i="70"/>
  <c r="L37" i="70"/>
  <c r="F37" i="70"/>
  <c r="E37" i="70"/>
  <c r="O36" i="70"/>
  <c r="M36" i="70"/>
  <c r="L36" i="70"/>
  <c r="N36" i="70" s="1"/>
  <c r="X29" i="70"/>
  <c r="X28" i="70"/>
  <c r="X27" i="70"/>
  <c r="X26" i="70"/>
  <c r="M26" i="70"/>
  <c r="M57" i="70" s="1"/>
  <c r="L26" i="70"/>
  <c r="L57" i="70" s="1"/>
  <c r="R58" i="70" s="1"/>
  <c r="X25" i="70"/>
  <c r="X24" i="70"/>
  <c r="C24" i="70"/>
  <c r="L55" i="70" s="1"/>
  <c r="AB23" i="70"/>
  <c r="AA23" i="70"/>
  <c r="Y23" i="70"/>
  <c r="X23" i="70"/>
  <c r="R23" i="70"/>
  <c r="Q23" i="70"/>
  <c r="Q54" i="70" s="1"/>
  <c r="O23" i="70"/>
  <c r="N23" i="70"/>
  <c r="I23" i="70"/>
  <c r="J23" i="70" s="1"/>
  <c r="F23" i="70"/>
  <c r="E23" i="70"/>
  <c r="AG22" i="70"/>
  <c r="AB22" i="70"/>
  <c r="AA22" i="70"/>
  <c r="Y22" i="70"/>
  <c r="X22" i="70"/>
  <c r="R22" i="70"/>
  <c r="Q22" i="70"/>
  <c r="Q91" i="70" s="1"/>
  <c r="O22" i="70"/>
  <c r="N22" i="70"/>
  <c r="I22" i="70"/>
  <c r="F22" i="70"/>
  <c r="E22" i="70"/>
  <c r="AG21" i="70"/>
  <c r="AB21" i="70"/>
  <c r="AA21" i="70"/>
  <c r="Y21" i="70"/>
  <c r="X21" i="70"/>
  <c r="R21" i="70"/>
  <c r="Q21" i="70"/>
  <c r="Q52" i="70" s="1"/>
  <c r="O21" i="70"/>
  <c r="N21" i="70"/>
  <c r="I21" i="70"/>
  <c r="F21" i="70"/>
  <c r="E21" i="70"/>
  <c r="AG20" i="70"/>
  <c r="AB20" i="70"/>
  <c r="AA20" i="70"/>
  <c r="Y20" i="70"/>
  <c r="X20" i="70"/>
  <c r="R20" i="70"/>
  <c r="Q20" i="70"/>
  <c r="Q89" i="70" s="1"/>
  <c r="O20" i="70"/>
  <c r="N20" i="70"/>
  <c r="F20" i="70"/>
  <c r="E20" i="70"/>
  <c r="AG19" i="70"/>
  <c r="AB19" i="70"/>
  <c r="AA19" i="70"/>
  <c r="Y19" i="70"/>
  <c r="X19" i="70"/>
  <c r="R19" i="70"/>
  <c r="Q19" i="70"/>
  <c r="Q50" i="70" s="1"/>
  <c r="O19" i="70"/>
  <c r="N19" i="70"/>
  <c r="I19" i="70"/>
  <c r="F19" i="70"/>
  <c r="E19" i="70"/>
  <c r="AG18" i="70"/>
  <c r="AB18" i="70"/>
  <c r="AA18" i="70"/>
  <c r="Y18" i="70"/>
  <c r="X18" i="70"/>
  <c r="R18" i="70"/>
  <c r="Q18" i="70"/>
  <c r="O18" i="70"/>
  <c r="N18" i="70"/>
  <c r="I18" i="70"/>
  <c r="F18" i="70"/>
  <c r="E18" i="70"/>
  <c r="AG17" i="70"/>
  <c r="AB17" i="70"/>
  <c r="AA17" i="70"/>
  <c r="Y17" i="70"/>
  <c r="X17" i="70"/>
  <c r="Q17" i="70"/>
  <c r="I17" i="70"/>
  <c r="F17" i="70"/>
  <c r="E17" i="70"/>
  <c r="AG16" i="70"/>
  <c r="AB16" i="70"/>
  <c r="AA16" i="70"/>
  <c r="Y16" i="70"/>
  <c r="X16" i="70"/>
  <c r="P16" i="70"/>
  <c r="O17" i="70" s="1"/>
  <c r="L16" i="70"/>
  <c r="F16" i="70"/>
  <c r="E16" i="70"/>
  <c r="AG15" i="70"/>
  <c r="AB15" i="70"/>
  <c r="AA15" i="70"/>
  <c r="Y15" i="70"/>
  <c r="X15" i="70"/>
  <c r="R15" i="70"/>
  <c r="Q15" i="70"/>
  <c r="Q84" i="70" s="1"/>
  <c r="O15" i="70"/>
  <c r="N15" i="70"/>
  <c r="I15" i="70"/>
  <c r="E15" i="70"/>
  <c r="AG14" i="70"/>
  <c r="AB14" i="70"/>
  <c r="AA14" i="70"/>
  <c r="Y14" i="70"/>
  <c r="X14" i="70"/>
  <c r="R14" i="70"/>
  <c r="Q14" i="70"/>
  <c r="O14" i="70"/>
  <c r="N14" i="70"/>
  <c r="I14" i="70"/>
  <c r="G14" i="70"/>
  <c r="Q83" i="70" s="1"/>
  <c r="E14" i="70"/>
  <c r="AG13" i="70"/>
  <c r="AB13" i="70"/>
  <c r="AA13" i="70"/>
  <c r="Y13" i="70"/>
  <c r="X13" i="70"/>
  <c r="R13" i="70"/>
  <c r="Q13" i="70"/>
  <c r="Q82" i="70" s="1"/>
  <c r="O13" i="70"/>
  <c r="N13" i="70"/>
  <c r="I13" i="70"/>
  <c r="F13" i="70"/>
  <c r="E13" i="70"/>
  <c r="AB12" i="70"/>
  <c r="AA12" i="70"/>
  <c r="Y12" i="70"/>
  <c r="X12" i="70"/>
  <c r="R12" i="70"/>
  <c r="Q12" i="70"/>
  <c r="Q81" i="70" s="1"/>
  <c r="O12" i="70"/>
  <c r="N12" i="70"/>
  <c r="F12" i="70"/>
  <c r="E12" i="70"/>
  <c r="AB11" i="70"/>
  <c r="AA11" i="70"/>
  <c r="Y11" i="70"/>
  <c r="X11" i="70"/>
  <c r="R11" i="70"/>
  <c r="Q11" i="70"/>
  <c r="Q42" i="70" s="1"/>
  <c r="O11" i="70"/>
  <c r="N11" i="70"/>
  <c r="I11" i="70"/>
  <c r="F11" i="70"/>
  <c r="E11" i="70"/>
  <c r="AB10" i="70"/>
  <c r="AA10" i="70"/>
  <c r="Y10" i="70"/>
  <c r="X10" i="70"/>
  <c r="R10" i="70"/>
  <c r="Q10" i="70"/>
  <c r="O10" i="70"/>
  <c r="N10" i="70"/>
  <c r="I10" i="70"/>
  <c r="F10" i="70"/>
  <c r="E10" i="70"/>
  <c r="AB9" i="70"/>
  <c r="AA9" i="70"/>
  <c r="Y9" i="70"/>
  <c r="X9" i="70"/>
  <c r="R9" i="70"/>
  <c r="Q9" i="70"/>
  <c r="Q40" i="70" s="1"/>
  <c r="O9" i="70"/>
  <c r="N9" i="70"/>
  <c r="I9" i="70"/>
  <c r="E9" i="70"/>
  <c r="AB8" i="70"/>
  <c r="AA8" i="70"/>
  <c r="Y8" i="70"/>
  <c r="X8" i="70"/>
  <c r="R8" i="70"/>
  <c r="Q8" i="70"/>
  <c r="O8" i="70"/>
  <c r="N8" i="70"/>
  <c r="G8" i="70"/>
  <c r="E8" i="70"/>
  <c r="AB7" i="70"/>
  <c r="AA7" i="70"/>
  <c r="Y7" i="70"/>
  <c r="X7" i="70"/>
  <c r="R7" i="70"/>
  <c r="Q7" i="70"/>
  <c r="O7" i="70"/>
  <c r="N7" i="70"/>
  <c r="G7" i="70"/>
  <c r="E7" i="70"/>
  <c r="AB6" i="70"/>
  <c r="AA6" i="70"/>
  <c r="Y6" i="70"/>
  <c r="X6" i="70"/>
  <c r="R6" i="70"/>
  <c r="Q6" i="70"/>
  <c r="Q37" i="70" s="1"/>
  <c r="O6" i="70"/>
  <c r="N6" i="70"/>
  <c r="G6" i="70"/>
  <c r="E6" i="70"/>
  <c r="AB5" i="70"/>
  <c r="AA5" i="70"/>
  <c r="Y5" i="70"/>
  <c r="X5" i="70"/>
  <c r="R5" i="70"/>
  <c r="Q5" i="70"/>
  <c r="O5" i="70"/>
  <c r="N5" i="70"/>
  <c r="G5" i="70"/>
  <c r="AA4" i="70"/>
  <c r="Q4" i="70"/>
  <c r="D4" i="70"/>
  <c r="I5" i="70" s="1"/>
  <c r="C4" i="70"/>
  <c r="I6" i="70" s="1"/>
  <c r="R49" i="70" l="1"/>
  <c r="Q36" i="70"/>
  <c r="R40" i="70"/>
  <c r="S62" i="70"/>
  <c r="K18" i="71" s="1"/>
  <c r="R61" i="70"/>
  <c r="N76" i="70"/>
  <c r="N78" i="70"/>
  <c r="N80" i="70"/>
  <c r="N82" i="70"/>
  <c r="N84" i="70"/>
  <c r="F6" i="70"/>
  <c r="Q76" i="70"/>
  <c r="F8" i="70"/>
  <c r="Q48" i="70"/>
  <c r="J19" i="70"/>
  <c r="S58" i="70"/>
  <c r="K17" i="71" s="1"/>
  <c r="T42" i="70"/>
  <c r="J13" i="71" s="1"/>
  <c r="N41" i="70"/>
  <c r="N50" i="70"/>
  <c r="R56" i="70"/>
  <c r="T62" i="70"/>
  <c r="J18" i="71" s="1"/>
  <c r="R60" i="70"/>
  <c r="R62" i="70"/>
  <c r="N90" i="70"/>
  <c r="N92" i="70"/>
  <c r="R42" i="70"/>
  <c r="T50" i="70"/>
  <c r="J15" i="71" s="1"/>
  <c r="R51" i="70"/>
  <c r="R53" i="70"/>
  <c r="Q88" i="70"/>
  <c r="Q75" i="70"/>
  <c r="F7" i="70"/>
  <c r="I7" i="70"/>
  <c r="J11" i="70" s="1"/>
  <c r="O16" i="70"/>
  <c r="Q16" i="70"/>
  <c r="Q47" i="70" s="1"/>
  <c r="E24" i="70"/>
  <c r="T38" i="70"/>
  <c r="J12" i="71" s="1"/>
  <c r="R37" i="70"/>
  <c r="S42" i="70"/>
  <c r="K13" i="71" s="1"/>
  <c r="N40" i="70"/>
  <c r="R41" i="70"/>
  <c r="N42" i="70"/>
  <c r="R43" i="70"/>
  <c r="R45" i="70"/>
  <c r="N49" i="70"/>
  <c r="R50" i="70"/>
  <c r="R55" i="70"/>
  <c r="R59" i="70"/>
  <c r="N75" i="70"/>
  <c r="N77" i="70"/>
  <c r="N79" i="70"/>
  <c r="N81" i="70"/>
  <c r="N83" i="70"/>
  <c r="N88" i="70"/>
  <c r="Q92" i="70"/>
  <c r="T58" i="70"/>
  <c r="J17" i="71" s="1"/>
  <c r="E5" i="70"/>
  <c r="Q79" i="70"/>
  <c r="Q41" i="70"/>
  <c r="F15" i="70"/>
  <c r="J15" i="70"/>
  <c r="L85" i="70"/>
  <c r="N85" i="70" s="1"/>
  <c r="L47" i="70"/>
  <c r="Q85" i="70"/>
  <c r="N17" i="70"/>
  <c r="Q87" i="70"/>
  <c r="Q49" i="70"/>
  <c r="N37" i="70"/>
  <c r="S38" i="70"/>
  <c r="K12" i="71" s="1"/>
  <c r="N43" i="70"/>
  <c r="Q43" i="70"/>
  <c r="N45" i="70"/>
  <c r="Q45" i="70"/>
  <c r="S46" i="70"/>
  <c r="K14" i="71" s="1"/>
  <c r="N51" i="70"/>
  <c r="Q51" i="70"/>
  <c r="N53" i="70"/>
  <c r="Q53" i="70"/>
  <c r="S54" i="70"/>
  <c r="K16" i="71" s="1"/>
  <c r="Q86" i="70"/>
  <c r="Q90" i="70"/>
  <c r="F13" i="71"/>
  <c r="D50" i="71" s="1"/>
  <c r="F17" i="71"/>
  <c r="D54" i="71" s="1"/>
  <c r="Q77" i="70"/>
  <c r="Q39" i="70"/>
  <c r="F9" i="70"/>
  <c r="F14" i="70"/>
  <c r="N16" i="70"/>
  <c r="R16" i="70"/>
  <c r="R17" i="70"/>
  <c r="R38" i="70"/>
  <c r="N38" i="70"/>
  <c r="Q38" i="70"/>
  <c r="R39" i="70"/>
  <c r="R44" i="70"/>
  <c r="N44" i="70"/>
  <c r="Q44" i="70"/>
  <c r="R46" i="70"/>
  <c r="N46" i="70"/>
  <c r="Q46" i="70"/>
  <c r="N48" i="70"/>
  <c r="R52" i="70"/>
  <c r="N52" i="70"/>
  <c r="R54" i="70"/>
  <c r="N54" i="70"/>
  <c r="R57" i="70"/>
  <c r="Q74" i="70"/>
  <c r="Q78" i="70"/>
  <c r="Q80" i="70"/>
  <c r="N87" i="70"/>
  <c r="N89" i="70"/>
  <c r="N91" i="70"/>
  <c r="F11" i="71"/>
  <c r="D48" i="71" s="1"/>
  <c r="F15" i="71"/>
  <c r="D52" i="71" s="1"/>
  <c r="N39" i="70"/>
  <c r="N86" i="70" l="1"/>
  <c r="S50" i="70"/>
  <c r="K15" i="71" s="1"/>
  <c r="N47" i="70"/>
  <c r="R48" i="70"/>
  <c r="R47" i="70"/>
  <c r="I15" i="69" l="1"/>
  <c r="E15" i="69"/>
  <c r="A15" i="69"/>
  <c r="AP13" i="69"/>
  <c r="AM13" i="69"/>
  <c r="AM15" i="69" s="1"/>
  <c r="AH13" i="69"/>
  <c r="AK13" i="69" s="1"/>
  <c r="AF13" i="69"/>
  <c r="AC13" i="69"/>
  <c r="AC15" i="69" s="1"/>
  <c r="AB13" i="69"/>
  <c r="AG13" i="69" s="1"/>
  <c r="AL13" i="69" s="1"/>
  <c r="AQ13" i="69" s="1"/>
  <c r="Y13" i="69"/>
  <c r="Y15" i="69" s="1"/>
  <c r="S13" i="69"/>
  <c r="J13" i="69"/>
  <c r="AP12" i="69"/>
  <c r="AJ12" i="69"/>
  <c r="AK12" i="69" s="1"/>
  <c r="AF12" i="69"/>
  <c r="AA12" i="69"/>
  <c r="AB12" i="69" s="1"/>
  <c r="AG12" i="69" s="1"/>
  <c r="AL12" i="69" s="1"/>
  <c r="AQ12" i="69" s="1"/>
  <c r="S12" i="69"/>
  <c r="AO11" i="69"/>
  <c r="AP11" i="69" s="1"/>
  <c r="AK11" i="69"/>
  <c r="AJ11" i="69"/>
  <c r="AE11" i="69"/>
  <c r="AF11" i="69" s="1"/>
  <c r="AA11" i="69"/>
  <c r="AB11" i="69" s="1"/>
  <c r="S11" i="69"/>
  <c r="J11" i="69"/>
  <c r="AP10" i="69"/>
  <c r="AO10" i="69"/>
  <c r="AJ10" i="69"/>
  <c r="AK10" i="69" s="1"/>
  <c r="AF10" i="69"/>
  <c r="AE10" i="69"/>
  <c r="AB10" i="69"/>
  <c r="AG10" i="69" s="1"/>
  <c r="AA10" i="69"/>
  <c r="AN9" i="69"/>
  <c r="AP9" i="69" s="1"/>
  <c r="AK9" i="69"/>
  <c r="AI9" i="69"/>
  <c r="AD9" i="69"/>
  <c r="AF9" i="69" s="1"/>
  <c r="Z9" i="69"/>
  <c r="AB9" i="69" s="1"/>
  <c r="S9" i="69"/>
  <c r="J9" i="69"/>
  <c r="AP8" i="69"/>
  <c r="AN8" i="69"/>
  <c r="AI8" i="69"/>
  <c r="AK8" i="69" s="1"/>
  <c r="AF8" i="69"/>
  <c r="AD8" i="69"/>
  <c r="AB8" i="69"/>
  <c r="AG8" i="69" s="1"/>
  <c r="Z8" i="69"/>
  <c r="S8" i="69"/>
  <c r="J8" i="69"/>
  <c r="AP7" i="69"/>
  <c r="AK7" i="69"/>
  <c r="AF7" i="69"/>
  <c r="AB7" i="69"/>
  <c r="AG7" i="69" s="1"/>
  <c r="AL7" i="69" s="1"/>
  <c r="AQ7" i="69" s="1"/>
  <c r="AA7" i="69"/>
  <c r="S7" i="69"/>
  <c r="J7" i="69"/>
  <c r="AO6" i="69"/>
  <c r="AP6" i="69" s="1"/>
  <c r="AK6" i="69"/>
  <c r="AF6" i="69"/>
  <c r="AE6" i="69"/>
  <c r="AB6" i="69"/>
  <c r="AG6" i="69" s="1"/>
  <c r="AL6" i="69" s="1"/>
  <c r="AQ6" i="69" s="1"/>
  <c r="AA6" i="69"/>
  <c r="AA15" i="69" s="1"/>
  <c r="AO5" i="69"/>
  <c r="AO15" i="69" s="1"/>
  <c r="AK5" i="69"/>
  <c r="AF5" i="69"/>
  <c r="AF15" i="69" s="1"/>
  <c r="AE5" i="69"/>
  <c r="AE15" i="69" s="1"/>
  <c r="AB5" i="69"/>
  <c r="AG5" i="69" s="1"/>
  <c r="AL5" i="69" s="1"/>
  <c r="S5" i="69"/>
  <c r="O5" i="69"/>
  <c r="N5" i="69"/>
  <c r="J5" i="69"/>
  <c r="AP4" i="69"/>
  <c r="AK4" i="69"/>
  <c r="AK15" i="69" s="1"/>
  <c r="AI4" i="69"/>
  <c r="AI15" i="69" s="1"/>
  <c r="AF4" i="69"/>
  <c r="AB4" i="69"/>
  <c r="AB15" i="69" s="1"/>
  <c r="Z4" i="69"/>
  <c r="S4" i="69"/>
  <c r="N4" i="69"/>
  <c r="O4" i="69" s="1"/>
  <c r="J4" i="69"/>
  <c r="AL8" i="69" l="1"/>
  <c r="AQ8" i="69" s="1"/>
  <c r="AG9" i="69"/>
  <c r="AL9" i="69" s="1"/>
  <c r="AQ9" i="69" s="1"/>
  <c r="AL10" i="69"/>
  <c r="AQ10" i="69" s="1"/>
  <c r="AG11" i="69"/>
  <c r="AL11" i="69" s="1"/>
  <c r="AQ11" i="69" s="1"/>
  <c r="AG4" i="69"/>
  <c r="Z15" i="69"/>
  <c r="AD15" i="69"/>
  <c r="AH15" i="69"/>
  <c r="AJ15" i="69"/>
  <c r="AN15" i="69"/>
  <c r="AP5" i="69"/>
  <c r="AQ5" i="69" s="1"/>
  <c r="AP15" i="69" l="1"/>
  <c r="AG15" i="69"/>
  <c r="AL4" i="69"/>
  <c r="AQ4" i="69" l="1"/>
  <c r="AQ15" i="69" s="1"/>
  <c r="AL15" i="69"/>
  <c r="E74" i="68" l="1"/>
  <c r="F73" i="68"/>
  <c r="J72" i="68"/>
  <c r="F72" i="68"/>
  <c r="F74" i="68" s="1"/>
  <c r="J71" i="68"/>
  <c r="E70" i="68"/>
  <c r="F68" i="68"/>
  <c r="E68" i="68"/>
  <c r="J67" i="68"/>
  <c r="J66" i="68"/>
  <c r="J65" i="68"/>
  <c r="F64" i="68"/>
  <c r="E64" i="68"/>
  <c r="J63" i="68"/>
  <c r="J62" i="68"/>
  <c r="J61" i="68"/>
  <c r="J60" i="68"/>
  <c r="J59" i="68"/>
  <c r="J58" i="68"/>
  <c r="J57" i="68"/>
  <c r="J56" i="68"/>
  <c r="J55" i="68"/>
  <c r="J54" i="68"/>
  <c r="J53" i="68"/>
  <c r="J52" i="68"/>
  <c r="J51" i="68"/>
  <c r="J50" i="68"/>
  <c r="J49" i="68"/>
  <c r="J48" i="68"/>
  <c r="J47" i="68"/>
  <c r="J46" i="68"/>
  <c r="J45" i="68"/>
  <c r="J44" i="68"/>
  <c r="E43" i="68"/>
  <c r="F42" i="68"/>
  <c r="F38" i="68"/>
  <c r="J37" i="68"/>
  <c r="F37" i="68"/>
  <c r="F43" i="68" s="1"/>
  <c r="F34" i="68"/>
  <c r="E34" i="68"/>
  <c r="E35" i="68" s="1"/>
  <c r="E32" i="68"/>
  <c r="J31" i="68"/>
  <c r="J30" i="68"/>
  <c r="F30" i="68"/>
  <c r="E30" i="68"/>
  <c r="F29" i="68"/>
  <c r="F28" i="68"/>
  <c r="J25" i="68"/>
  <c r="F25" i="68"/>
  <c r="F35" i="68" s="1"/>
  <c r="J19" i="68"/>
  <c r="J18" i="68"/>
  <c r="F18" i="68"/>
  <c r="J16" i="68"/>
  <c r="F14" i="68"/>
  <c r="J13" i="68"/>
  <c r="F13" i="68"/>
  <c r="F23" i="68" s="1"/>
  <c r="E13" i="68"/>
  <c r="E23" i="68" s="1"/>
  <c r="E12" i="68"/>
  <c r="J11" i="68"/>
  <c r="F11" i="68"/>
  <c r="J10" i="68"/>
  <c r="J7" i="68"/>
  <c r="F7" i="68"/>
  <c r="F12" i="68" s="1"/>
  <c r="E6" i="68"/>
  <c r="E69" i="68" s="1"/>
  <c r="E75" i="68" s="1"/>
  <c r="F5" i="68"/>
  <c r="F6" i="68" s="1"/>
  <c r="G38" i="67"/>
  <c r="D38" i="67"/>
  <c r="C38" i="67"/>
  <c r="G31" i="67"/>
  <c r="D31" i="67"/>
  <c r="C31" i="67"/>
  <c r="G23" i="67"/>
  <c r="D23" i="67"/>
  <c r="C23" i="67"/>
  <c r="G17" i="67"/>
  <c r="G42" i="67" s="1"/>
  <c r="G43" i="67" s="1"/>
  <c r="D17" i="67"/>
  <c r="D42" i="67" s="1"/>
  <c r="C17" i="67"/>
  <c r="C42" i="67" s="1"/>
  <c r="D10" i="67"/>
  <c r="D43" i="67" s="1"/>
  <c r="C10" i="67"/>
  <c r="M2" i="65"/>
  <c r="I3" i="65"/>
  <c r="E28" i="65"/>
  <c r="C21" i="65"/>
  <c r="E19" i="65" s="1"/>
  <c r="I7" i="65"/>
  <c r="I5" i="65"/>
  <c r="C36" i="65"/>
  <c r="E25" i="65"/>
  <c r="C22" i="65"/>
  <c r="F19" i="65"/>
  <c r="F16" i="65"/>
  <c r="E15" i="65"/>
  <c r="C15" i="65"/>
  <c r="C11" i="65"/>
  <c r="M10" i="65"/>
  <c r="H10" i="65"/>
  <c r="P9" i="65"/>
  <c r="O10" i="65" s="1"/>
  <c r="C8" i="65"/>
  <c r="C10" i="65" s="1"/>
  <c r="M4" i="65"/>
  <c r="F69" i="68" l="1"/>
  <c r="F75" i="68" s="1"/>
  <c r="C43" i="67"/>
  <c r="E24" i="65"/>
  <c r="C12" i="65"/>
  <c r="C9" i="65"/>
  <c r="C13" i="65" l="1"/>
  <c r="C14" i="65" s="1"/>
  <c r="C20" i="65" l="1"/>
  <c r="C19" i="65" s="1"/>
  <c r="C18" i="65" l="1"/>
  <c r="E16" i="65" s="1"/>
  <c r="C17" i="65"/>
  <c r="C16" i="65" l="1"/>
  <c r="E20" i="1" l="1"/>
  <c r="D14" i="9" l="1"/>
  <c r="C29" i="35" l="1"/>
  <c r="I29" i="35" s="1"/>
  <c r="C34" i="34"/>
  <c r="C37" i="34"/>
  <c r="G29" i="35" l="1"/>
  <c r="E29" i="35"/>
  <c r="E20" i="43"/>
  <c r="AH5" i="59" l="1"/>
  <c r="AG5" i="59"/>
  <c r="AE5" i="59"/>
  <c r="AF5" i="59" s="1"/>
  <c r="AD5" i="59"/>
  <c r="Q5" i="59"/>
  <c r="P5" i="59"/>
  <c r="O5" i="59"/>
  <c r="N5" i="59"/>
  <c r="D29" i="43" l="1"/>
  <c r="D39" i="43" s="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s="1"/>
  <c r="AD11" i="59"/>
  <c r="Q12" i="59"/>
  <c r="Q13" i="59"/>
  <c r="P12" i="59"/>
  <c r="P13" i="59"/>
  <c r="AH12" i="59"/>
  <c r="AG12" i="59"/>
  <c r="AE12" i="59"/>
  <c r="AF12" i="59"/>
  <c r="AD12" i="59"/>
  <c r="M15" i="45"/>
  <c r="L15" i="45"/>
  <c r="K15" i="45"/>
  <c r="J15" i="45"/>
  <c r="I15" i="45"/>
  <c r="H15" i="45"/>
  <c r="G15" i="45"/>
  <c r="F15" i="45"/>
  <c r="E15" i="45"/>
  <c r="D15" i="45"/>
  <c r="C15" i="45"/>
  <c r="B15" i="45"/>
  <c r="AH13" i="59"/>
  <c r="AG13" i="59"/>
  <c r="AE13" i="59"/>
  <c r="AF13" i="59" s="1"/>
  <c r="AD13" i="59"/>
  <c r="AH14" i="59"/>
  <c r="AG14" i="59"/>
  <c r="AE14" i="59"/>
  <c r="AF14" i="59"/>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E19" i="1" s="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s="1"/>
  <c r="C82" i="59"/>
  <c r="D82" i="59"/>
  <c r="B82" i="59"/>
  <c r="F81" i="59"/>
  <c r="F80" i="59" s="1"/>
  <c r="B81" i="59"/>
  <c r="B80" i="59" s="1"/>
  <c r="D79" i="59"/>
  <c r="F78" i="59"/>
  <c r="E78" i="59"/>
  <c r="E77" i="59" s="1"/>
  <c r="E76" i="59"/>
  <c r="C78" i="59"/>
  <c r="D78" i="59"/>
  <c r="B78" i="59"/>
  <c r="F77" i="59"/>
  <c r="F76" i="59" s="1"/>
  <c r="B77" i="59"/>
  <c r="B76" i="59" s="1"/>
  <c r="D75" i="59"/>
  <c r="Q74" i="59"/>
  <c r="P74" i="59"/>
  <c r="O74" i="59"/>
  <c r="N74" i="59"/>
  <c r="F74" i="59"/>
  <c r="E74" i="59"/>
  <c r="U74" i="59" s="1"/>
  <c r="C74" i="59"/>
  <c r="T74" i="59" s="1"/>
  <c r="B74" i="59"/>
  <c r="Q73" i="59"/>
  <c r="P73" i="59"/>
  <c r="O73" i="59"/>
  <c r="N73"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s="1"/>
  <c r="B69" i="59"/>
  <c r="B68" i="59" s="1"/>
  <c r="Q68" i="59"/>
  <c r="P68" i="59"/>
  <c r="O68" i="59"/>
  <c r="N68" i="59"/>
  <c r="Q67" i="59"/>
  <c r="P67" i="59"/>
  <c r="O67" i="59"/>
  <c r="N67" i="59"/>
  <c r="D67" i="59"/>
  <c r="Q66" i="59"/>
  <c r="P66" i="59"/>
  <c r="O66" i="59"/>
  <c r="N66" i="59"/>
  <c r="F66" i="59"/>
  <c r="E66" i="59"/>
  <c r="C66" i="59"/>
  <c r="B66" i="59"/>
  <c r="Q65" i="59"/>
  <c r="P65" i="59"/>
  <c r="O65" i="59"/>
  <c r="N65" i="59"/>
  <c r="Q64" i="59"/>
  <c r="P64" i="59"/>
  <c r="O64" i="59"/>
  <c r="N64" i="59"/>
  <c r="Q63" i="59"/>
  <c r="P63" i="59"/>
  <c r="O63" i="59"/>
  <c r="N63" i="59"/>
  <c r="D63" i="59"/>
  <c r="U62" i="59"/>
  <c r="F62" i="59"/>
  <c r="E62" i="59"/>
  <c r="E61" i="59" s="1"/>
  <c r="E60" i="59" s="1"/>
  <c r="P61" i="59"/>
  <c r="C62" i="59"/>
  <c r="B62" i="59"/>
  <c r="B61" i="59"/>
  <c r="P59" i="59"/>
  <c r="D59" i="59"/>
  <c r="Q58" i="59"/>
  <c r="P58" i="59"/>
  <c r="O58" i="59"/>
  <c r="N58" i="59"/>
  <c r="Q57" i="59"/>
  <c r="P57" i="59"/>
  <c r="O57" i="59"/>
  <c r="N57" i="59"/>
  <c r="Q56" i="59"/>
  <c r="P56" i="59"/>
  <c r="O56" i="59"/>
  <c r="N56" i="59"/>
  <c r="Q55" i="59"/>
  <c r="F56" i="59"/>
  <c r="F57" i="59" s="1"/>
  <c r="F58" i="59" s="1"/>
  <c r="V58" i="59" s="1"/>
  <c r="P55" i="59"/>
  <c r="E56" i="59" s="1"/>
  <c r="E57" i="59" s="1"/>
  <c r="E58" i="59" s="1"/>
  <c r="U58" i="59" s="1"/>
  <c r="O55" i="59"/>
  <c r="C56" i="59" s="1"/>
  <c r="N55" i="59"/>
  <c r="B56" i="59"/>
  <c r="B57" i="59" s="1"/>
  <c r="B58" i="59" s="1"/>
  <c r="S58" i="59" s="1"/>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s="1"/>
  <c r="B54" i="59" s="1"/>
  <c r="S54" i="59" s="1"/>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c r="N43" i="59"/>
  <c r="B44" i="59"/>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c r="N35" i="59"/>
  <c r="B36" i="59"/>
  <c r="B37" i="59" s="1"/>
  <c r="B38" i="59" s="1"/>
  <c r="S38" i="59" s="1"/>
  <c r="D35" i="59"/>
  <c r="Q34" i="59"/>
  <c r="P34" i="59"/>
  <c r="O34" i="59"/>
  <c r="N34" i="59"/>
  <c r="Q33" i="59"/>
  <c r="AB33" i="59" s="1"/>
  <c r="P33" i="59"/>
  <c r="AA33" i="59"/>
  <c r="O33" i="59"/>
  <c r="Y33" i="59"/>
  <c r="Z33" i="59" s="1"/>
  <c r="N33" i="59"/>
  <c r="X33" i="59" s="1"/>
  <c r="Z32" i="59"/>
  <c r="Q32" i="59"/>
  <c r="P32" i="59"/>
  <c r="AA32" i="59" s="1"/>
  <c r="O32" i="59"/>
  <c r="Y32" i="59" s="1"/>
  <c r="N32" i="59"/>
  <c r="X32" i="59" s="1"/>
  <c r="Q31" i="59"/>
  <c r="P31" i="59"/>
  <c r="AA31" i="59" s="1"/>
  <c r="O31" i="59"/>
  <c r="Y31" i="59" s="1"/>
  <c r="Z31" i="59" s="1"/>
  <c r="C32" i="59"/>
  <c r="N31" i="59"/>
  <c r="B32" i="59"/>
  <c r="B33" i="59" s="1"/>
  <c r="B34" i="59" s="1"/>
  <c r="S34" i="59" s="1"/>
  <c r="D31" i="59"/>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C28" i="59"/>
  <c r="N27" i="59"/>
  <c r="X27" i="59" s="1"/>
  <c r="B28" i="59"/>
  <c r="B29" i="59" s="1"/>
  <c r="B30" i="59" s="1"/>
  <c r="S30" i="59" s="1"/>
  <c r="D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C24" i="59"/>
  <c r="N23" i="59"/>
  <c r="X23" i="59" s="1"/>
  <c r="D23" i="59"/>
  <c r="O22" i="59"/>
  <c r="N22" i="59"/>
  <c r="C22" i="59"/>
  <c r="T22" i="59" s="1"/>
  <c r="Y19" i="59"/>
  <c r="Z19" i="59" s="1"/>
  <c r="Y20" i="59"/>
  <c r="Z20" i="59" s="1"/>
  <c r="Y22" i="59"/>
  <c r="Z22" i="59" s="1"/>
  <c r="Y21" i="59"/>
  <c r="Z21" i="59" s="1"/>
  <c r="B22" i="59"/>
  <c r="X22" i="59"/>
  <c r="X21" i="59"/>
  <c r="X19" i="59"/>
  <c r="X20" i="59"/>
  <c r="C25" i="59"/>
  <c r="D24" i="59"/>
  <c r="C29" i="59"/>
  <c r="D28" i="59"/>
  <c r="C33" i="59"/>
  <c r="D32" i="59"/>
  <c r="C37" i="59"/>
  <c r="D36" i="59"/>
  <c r="C41" i="59"/>
  <c r="D41" i="59"/>
  <c r="D40" i="59"/>
  <c r="C45" i="59"/>
  <c r="D44" i="59"/>
  <c r="P22" i="59"/>
  <c r="P60" i="59"/>
  <c r="U66" i="59"/>
  <c r="E65" i="59"/>
  <c r="E64" i="59"/>
  <c r="Q22" i="59"/>
  <c r="N61" i="59"/>
  <c r="B60" i="59"/>
  <c r="T62" i="59"/>
  <c r="O62" i="59"/>
  <c r="D62" i="59"/>
  <c r="C61" i="59"/>
  <c r="T66" i="59"/>
  <c r="D66" i="59"/>
  <c r="C65" i="59"/>
  <c r="Q62" i="59"/>
  <c r="C69" i="59"/>
  <c r="E69" i="59"/>
  <c r="E68" i="59" s="1"/>
  <c r="D70" i="59"/>
  <c r="C73" i="59"/>
  <c r="E73" i="59"/>
  <c r="E72" i="59" s="1"/>
  <c r="D74" i="59"/>
  <c r="C77" i="59"/>
  <c r="C81" i="59"/>
  <c r="B21" i="59"/>
  <c r="B20" i="59"/>
  <c r="S22" i="59"/>
  <c r="F22" i="59"/>
  <c r="AB3" i="59"/>
  <c r="AB19" i="59"/>
  <c r="AB20" i="59"/>
  <c r="AB21" i="59"/>
  <c r="AB22" i="59"/>
  <c r="E22" i="59"/>
  <c r="AA20" i="59"/>
  <c r="AA21" i="59"/>
  <c r="AA22" i="59"/>
  <c r="AA3" i="59"/>
  <c r="AA19" i="59"/>
  <c r="C21" i="59"/>
  <c r="C20" i="59" s="1"/>
  <c r="D22" i="59"/>
  <c r="D77" i="59"/>
  <c r="C76" i="59"/>
  <c r="D76" i="59"/>
  <c r="D69" i="59"/>
  <c r="C68" i="59"/>
  <c r="D68" i="59" s="1"/>
  <c r="C64" i="59"/>
  <c r="D64" i="59" s="1"/>
  <c r="D65" i="59"/>
  <c r="C46" i="59"/>
  <c r="D45" i="59"/>
  <c r="D81" i="59"/>
  <c r="C80" i="59"/>
  <c r="D80" i="59" s="1"/>
  <c r="D73" i="59"/>
  <c r="C72" i="59"/>
  <c r="D72" i="59"/>
  <c r="C60" i="59"/>
  <c r="O61" i="59"/>
  <c r="D61" i="59"/>
  <c r="N59" i="59"/>
  <c r="N60" i="59"/>
  <c r="C38" i="59"/>
  <c r="D38" i="59" s="1"/>
  <c r="D37" i="59"/>
  <c r="C34" i="59"/>
  <c r="D34" i="59" s="1"/>
  <c r="D33" i="59"/>
  <c r="C30" i="59"/>
  <c r="D30" i="59" s="1"/>
  <c r="D29" i="59"/>
  <c r="C26" i="59"/>
  <c r="D26" i="59" s="1"/>
  <c r="D25" i="59"/>
  <c r="D21" i="59"/>
  <c r="D20" i="59"/>
  <c r="E21" i="59"/>
  <c r="E20" i="59"/>
  <c r="U22" i="59"/>
  <c r="F21" i="59"/>
  <c r="F20" i="59" s="1"/>
  <c r="V22" i="59"/>
  <c r="O60" i="59"/>
  <c r="D60" i="59"/>
  <c r="O59" i="59"/>
  <c r="T46" i="59"/>
  <c r="D46" i="59"/>
  <c r="T26" i="59"/>
  <c r="T34" i="59"/>
  <c r="T38"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AB21" i="37"/>
  <c r="F21" i="37"/>
  <c r="AA21" i="37" s="1"/>
  <c r="C21" i="37"/>
  <c r="Q21" i="34"/>
  <c r="Z21" i="34" s="1"/>
  <c r="D84" i="34"/>
  <c r="E84" i="34"/>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25" i="40"/>
  <c r="S18" i="36"/>
  <c r="W18" i="35"/>
  <c r="S18" i="35"/>
  <c r="U21" i="37"/>
  <c r="S21" i="37"/>
  <c r="U21" i="33"/>
  <c r="S21" i="21"/>
  <c r="J25" i="40"/>
  <c r="J27" i="39"/>
  <c r="H27" i="39"/>
  <c r="F27" i="39"/>
  <c r="H18" i="36"/>
  <c r="J18" i="36"/>
  <c r="J21" i="37"/>
  <c r="F84" i="34"/>
  <c r="H21" i="34"/>
  <c r="J21" i="33"/>
  <c r="F83" i="21"/>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s="1"/>
  <c r="M76" i="43"/>
  <c r="N76" i="43"/>
  <c r="K76" i="43"/>
  <c r="J76" i="43"/>
  <c r="D76" i="43"/>
  <c r="M75" i="43"/>
  <c r="N75" i="43" s="1"/>
  <c r="K75" i="43"/>
  <c r="J75" i="43" s="1"/>
  <c r="D75" i="43" s="1"/>
  <c r="M74" i="43"/>
  <c r="N74" i="43"/>
  <c r="K74" i="43"/>
  <c r="J74" i="43"/>
  <c r="D74" i="43" s="1"/>
  <c r="M73" i="43"/>
  <c r="N73" i="43" s="1"/>
  <c r="K73" i="43"/>
  <c r="J73" i="43" s="1"/>
  <c r="D73" i="43"/>
  <c r="M72" i="43"/>
  <c r="N72" i="43"/>
  <c r="K72" i="43"/>
  <c r="J72" i="43"/>
  <c r="D72" i="43"/>
  <c r="M71" i="43"/>
  <c r="N71" i="43" s="1"/>
  <c r="K71" i="43"/>
  <c r="J71" i="43" s="1"/>
  <c r="D71" i="43" s="1"/>
  <c r="M70" i="43"/>
  <c r="N70" i="43"/>
  <c r="K70" i="43"/>
  <c r="J70" i="43"/>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C31" i="3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c r="G54" i="33"/>
  <c r="H54" i="33"/>
  <c r="E54" i="33"/>
  <c r="G111" i="21"/>
  <c r="H111" i="21"/>
  <c r="B110" i="39"/>
  <c r="F35" i="39" s="1"/>
  <c r="S35" i="39" s="1"/>
  <c r="B112" i="39"/>
  <c r="J30" i="36"/>
  <c r="H30" i="36"/>
  <c r="F30" i="36"/>
  <c r="AA30" i="36" s="1"/>
  <c r="C79" i="35"/>
  <c r="J31" i="35"/>
  <c r="W31" i="35" s="1"/>
  <c r="H31" i="35"/>
  <c r="AB31" i="35" s="1"/>
  <c r="F31" i="35"/>
  <c r="AA31" i="35" s="1"/>
  <c r="D87" i="35"/>
  <c r="E87" i="35" s="1"/>
  <c r="F87" i="35" s="1"/>
  <c r="G87" i="35" s="1"/>
  <c r="H87" i="35" s="1"/>
  <c r="I87" i="35" s="1"/>
  <c r="J87" i="35" s="1"/>
  <c r="K87" i="35" s="1"/>
  <c r="L87" i="35" s="1"/>
  <c r="M87"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B99" i="35"/>
  <c r="B97" i="35"/>
  <c r="J34" i="35" s="1"/>
  <c r="B77" i="35"/>
  <c r="B75" i="35"/>
  <c r="B73" i="35"/>
  <c r="H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c r="Q16" i="35"/>
  <c r="Z16" i="35"/>
  <c r="Q14" i="35"/>
  <c r="Z14" i="35"/>
  <c r="Q13" i="35"/>
  <c r="Z13" i="35"/>
  <c r="Q12" i="35"/>
  <c r="Z12" i="35"/>
  <c r="Q11" i="35"/>
  <c r="Z11" i="35"/>
  <c r="Q10" i="35"/>
  <c r="Z10" i="35"/>
  <c r="Q9" i="35"/>
  <c r="Z9" i="35"/>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c r="H67" i="34" s="1"/>
  <c r="I67" i="34" s="1"/>
  <c r="D126" i="34"/>
  <c r="D124" i="34"/>
  <c r="E124" i="34" s="1"/>
  <c r="D118" i="34"/>
  <c r="E118" i="34"/>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W27" i="34" s="1"/>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s="1"/>
  <c r="G16" i="20"/>
  <c r="B82" i="43" s="1"/>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1" i="35"/>
  <c r="F36" i="34"/>
  <c r="AA36" i="34" s="1"/>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s="1"/>
  <c r="F11" i="21"/>
  <c r="S11" i="21" s="1"/>
  <c r="C25" i="39"/>
  <c r="H11" i="39"/>
  <c r="AB11" i="39"/>
  <c r="AB39" i="39"/>
  <c r="H11" i="21"/>
  <c r="U11" i="21" s="1"/>
  <c r="J11" i="21"/>
  <c r="AC11" i="21" s="1"/>
  <c r="U33" i="21"/>
  <c r="H36" i="40"/>
  <c r="U36" i="40"/>
  <c r="F35" i="40"/>
  <c r="S35" i="40"/>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AA14" i="35" s="1"/>
  <c r="F23" i="35"/>
  <c r="AA23" i="35" s="1"/>
  <c r="J32" i="35"/>
  <c r="AC32" i="35" s="1"/>
  <c r="J16" i="35"/>
  <c r="W16" i="35" s="1"/>
  <c r="H14" i="35"/>
  <c r="AB14" i="35" s="1"/>
  <c r="H33" i="35"/>
  <c r="AB33" i="35" s="1"/>
  <c r="S8" i="35"/>
  <c r="J20" i="35"/>
  <c r="W20" i="35" s="1"/>
  <c r="H20" i="35"/>
  <c r="U20" i="35" s="1"/>
  <c r="F20" i="35"/>
  <c r="AA20" i="35" s="1"/>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F29" i="35"/>
  <c r="S29" i="35" s="1"/>
  <c r="U34" i="37"/>
  <c r="AB42" i="34"/>
  <c r="H38" i="34"/>
  <c r="AB38" i="34" s="1"/>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s="1"/>
  <c r="H42" i="21"/>
  <c r="AB42" i="21"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AC14" i="34"/>
  <c r="J10" i="36"/>
  <c r="AC10" i="36" s="1"/>
  <c r="AB46" i="21"/>
  <c r="U14" i="21"/>
  <c r="AC14" i="21"/>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S25" i="37"/>
  <c r="W47" i="34"/>
  <c r="W14" i="33"/>
  <c r="AA13" i="33"/>
  <c r="AC31" i="33"/>
  <c r="AA30" i="33"/>
  <c r="AB10" i="33"/>
  <c r="S11" i="33"/>
  <c r="AC33" i="21"/>
  <c r="AB38" i="21"/>
  <c r="AA23" i="37"/>
  <c r="W10" i="36"/>
  <c r="W38" i="37"/>
  <c r="H37" i="21"/>
  <c r="U37" i="21"/>
  <c r="J37" i="21"/>
  <c r="W37" i="21"/>
  <c r="H19" i="34"/>
  <c r="U19" i="34" s="1"/>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D17" i="43"/>
  <c r="I17" i="43"/>
  <c r="D108" i="9"/>
  <c r="F22" i="43"/>
  <c r="G22" i="43"/>
  <c r="H14" i="44"/>
  <c r="W40" i="39"/>
  <c r="AC10" i="34"/>
  <c r="AB30" i="34"/>
  <c r="AB12" i="34"/>
  <c r="AC30" i="34"/>
  <c r="H23" i="34"/>
  <c r="AB23" i="34" s="1"/>
  <c r="F33" i="34"/>
  <c r="S33"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A35" i="39"/>
  <c r="AB21" i="39"/>
  <c r="W44" i="33"/>
  <c r="U36" i="37"/>
  <c r="AB46" i="34"/>
  <c r="S14" i="34"/>
  <c r="AA14" i="34"/>
  <c r="W44" i="21"/>
  <c r="U38" i="34"/>
  <c r="F40" i="34"/>
  <c r="AA40" i="34" s="1"/>
  <c r="G118" i="34"/>
  <c r="U20" i="36"/>
  <c r="AB20" i="36"/>
  <c r="AA16" i="36"/>
  <c r="AC44" i="39"/>
  <c r="W44" i="39"/>
  <c r="H13" i="21"/>
  <c r="U13" i="21"/>
  <c r="J13" i="21"/>
  <c r="F13" i="21"/>
  <c r="AA13" i="21" s="1"/>
  <c r="J45" i="21"/>
  <c r="F45" i="21"/>
  <c r="AA45" i="21"/>
  <c r="S42" i="21"/>
  <c r="C23" i="40"/>
  <c r="AC8" i="34"/>
  <c r="W8" i="34"/>
  <c r="W12" i="34"/>
  <c r="AC12" i="34"/>
  <c r="J9" i="34"/>
  <c r="AC9" i="34" s="1"/>
  <c r="F9" i="34"/>
  <c r="S9" i="34" s="1"/>
  <c r="AA19" i="34"/>
  <c r="S19" i="34"/>
  <c r="AB23" i="36"/>
  <c r="U23" i="36"/>
  <c r="J12" i="36"/>
  <c r="W12" i="36"/>
  <c r="H12" i="36"/>
  <c r="AB12" i="36"/>
  <c r="AA9" i="39"/>
  <c r="S9" i="39"/>
  <c r="AB12" i="39"/>
  <c r="U12" i="39"/>
  <c r="J12" i="39"/>
  <c r="F12" i="39"/>
  <c r="S12" i="39" s="1"/>
  <c r="R29" i="31"/>
  <c r="T29" i="31" s="1"/>
  <c r="F15" i="21"/>
  <c r="S15" i="2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s="1"/>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M1" i="43"/>
  <c r="F101" i="9"/>
  <c r="F33" i="9"/>
  <c r="C25" i="57"/>
  <c r="N102" i="43"/>
  <c r="W40" i="40"/>
  <c r="U15" i="37"/>
  <c r="AB24" i="36"/>
  <c r="H25" i="34"/>
  <c r="U25" i="34" s="1"/>
  <c r="AB35" i="39"/>
  <c r="AC40" i="37"/>
  <c r="S27" i="37"/>
  <c r="AA12" i="37"/>
  <c r="J17" i="34"/>
  <c r="AC17" i="34" s="1"/>
  <c r="G80" i="34"/>
  <c r="F17" i="34"/>
  <c r="AA17" i="34" s="1"/>
  <c r="H27" i="33"/>
  <c r="AB27" i="33"/>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W9" i="34"/>
  <c r="S45" i="21"/>
  <c r="AB13" i="21"/>
  <c r="AC37" i="37"/>
  <c r="U38" i="40"/>
  <c r="F23" i="39"/>
  <c r="AA23" i="39" s="1"/>
  <c r="F97" i="39"/>
  <c r="G97" i="39" s="1"/>
  <c r="S26" i="37"/>
  <c r="S24" i="36"/>
  <c r="F44" i="34"/>
  <c r="S44" i="34" s="1"/>
  <c r="J44" i="34"/>
  <c r="AC44" i="34" s="1"/>
  <c r="S40" i="21"/>
  <c r="U31" i="37"/>
  <c r="W27" i="37"/>
  <c r="AB27" i="37"/>
  <c r="H60" i="37"/>
  <c r="H10" i="37"/>
  <c r="U10" i="37" s="1"/>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S27" i="36"/>
  <c r="AB25" i="34"/>
  <c r="I60" i="37"/>
  <c r="J10" i="37"/>
  <c r="AC10" i="37"/>
  <c r="H23" i="39"/>
  <c r="AB23" i="39"/>
  <c r="J11" i="34"/>
  <c r="W11" i="34" s="1"/>
  <c r="J27" i="33"/>
  <c r="W27" i="33" s="1"/>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W14" i="35"/>
  <c r="AC26" i="35"/>
  <c r="AC27" i="35"/>
  <c r="U14" i="35"/>
  <c r="U35" i="35"/>
  <c r="U8" i="35"/>
  <c r="AA13" i="35"/>
  <c r="S20" i="35"/>
  <c r="AB13"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S37" i="37"/>
  <c r="AA14" i="37"/>
  <c r="AA38" i="37"/>
  <c r="S40" i="34"/>
  <c r="AB41"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W29" i="35"/>
  <c r="U33" i="35"/>
  <c r="U22" i="35"/>
  <c r="AA33" i="35"/>
  <c r="S22" i="35"/>
  <c r="U28" i="35"/>
  <c r="AB27" i="35"/>
  <c r="S35" i="35"/>
  <c r="AB26" i="35"/>
  <c r="AC16" i="35"/>
  <c r="AA25" i="35"/>
  <c r="AC34" i="37"/>
  <c r="U29" i="37"/>
  <c r="U30" i="37"/>
  <c r="S40" i="37"/>
  <c r="AC29" i="37"/>
  <c r="U26" i="37"/>
  <c r="AC13" i="37"/>
  <c r="U38" i="37"/>
  <c r="AA13" i="37"/>
  <c r="W25" i="37"/>
  <c r="S9" i="37"/>
  <c r="G84" i="34"/>
  <c r="J21" i="34"/>
  <c r="W21" i="34" s="1"/>
  <c r="AC19" i="34"/>
  <c r="AC23" i="34"/>
  <c r="AB28" i="34"/>
  <c r="W41" i="34"/>
  <c r="AA45" i="34"/>
  <c r="AB45" i="34"/>
  <c r="AB35" i="34"/>
  <c r="W29" i="34"/>
  <c r="W4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9" i="39"/>
  <c r="C15" i="40"/>
  <c r="C17" i="40"/>
  <c r="B54" i="43"/>
  <c r="B65" i="43"/>
  <c r="U30" i="40"/>
  <c r="B49" i="43"/>
  <c r="B52"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D20" i="1"/>
  <c r="F50" i="11"/>
  <c r="F18" i="1"/>
  <c r="C11" i="12" s="1"/>
  <c r="C15" i="12" s="1"/>
  <c r="K87" i="43"/>
  <c r="J87" i="43" s="1"/>
  <c r="D87" i="43"/>
  <c r="C7" i="43"/>
  <c r="C3" i="4"/>
  <c r="B4" i="55" s="1"/>
  <c r="B53" i="60" s="1"/>
  <c r="L106" i="9"/>
  <c r="A18" i="55" s="1"/>
  <c r="B48" i="60" s="1"/>
  <c r="J22" i="43"/>
  <c r="M84" i="43"/>
  <c r="N84" i="43"/>
  <c r="K84" i="43"/>
  <c r="J84" i="43"/>
  <c r="D84" i="43"/>
  <c r="M81" i="43"/>
  <c r="N81" i="43" s="1"/>
  <c r="K81" i="43"/>
  <c r="J81" i="43" s="1"/>
  <c r="D81" i="43"/>
  <c r="M88" i="43"/>
  <c r="N88" i="43"/>
  <c r="K88" i="43"/>
  <c r="J88" i="43"/>
  <c r="D88" i="43"/>
  <c r="I114" i="57"/>
  <c r="D131" i="57" s="1"/>
  <c r="B41" i="1"/>
  <c r="M27" i="15" s="1"/>
  <c r="E81" i="43"/>
  <c r="B79" i="43" s="1"/>
  <c r="C13" i="12"/>
  <c r="C36" i="11"/>
  <c r="D118" i="57"/>
  <c r="D119" i="57"/>
  <c r="I115" i="57" s="1"/>
  <c r="D132" i="57" s="1"/>
  <c r="D134" i="57"/>
  <c r="D130" i="9"/>
  <c r="D13" i="52"/>
  <c r="N46" i="9"/>
  <c r="H9" i="44"/>
  <c r="H7" i="44"/>
  <c r="H10" i="44"/>
  <c r="N12" i="43"/>
  <c r="N4" i="43"/>
  <c r="M7" i="43"/>
  <c r="N1" i="43"/>
  <c r="M10" i="43"/>
  <c r="M2" i="43"/>
  <c r="H15" i="44"/>
  <c r="H86" i="43"/>
  <c r="H5" i="44"/>
  <c r="N10" i="43"/>
  <c r="N2" i="43"/>
  <c r="N11" i="43"/>
  <c r="N9" i="43"/>
  <c r="M4" i="43"/>
  <c r="C6" i="43" s="1"/>
  <c r="N5" i="43"/>
  <c r="N3" i="43"/>
  <c r="F59" i="43" s="1"/>
  <c r="M9" i="43"/>
  <c r="E17" i="43"/>
  <c r="N17" i="43"/>
  <c r="L17" i="43"/>
  <c r="O17" i="43"/>
  <c r="M17" i="43"/>
  <c r="J1" i="61"/>
  <c r="J52" i="15"/>
  <c r="C16" i="59"/>
  <c r="D16" i="59"/>
  <c r="D17" i="59"/>
  <c r="B18" i="59"/>
  <c r="S18" i="59" s="1"/>
  <c r="AB18" i="59"/>
  <c r="U18" i="59"/>
  <c r="AA17" i="59"/>
  <c r="X17" i="59"/>
  <c r="AB17" i="59"/>
  <c r="AA16" i="59"/>
  <c r="Y16" i="59"/>
  <c r="Z16" i="59"/>
  <c r="Y14" i="59"/>
  <c r="Z14" i="59"/>
  <c r="AB14" i="59"/>
  <c r="AB12" i="59"/>
  <c r="X14" i="59"/>
  <c r="X12" i="59"/>
  <c r="AA14" i="59"/>
  <c r="AA12" i="59"/>
  <c r="AB13" i="59"/>
  <c r="X13" i="59"/>
  <c r="U14" i="59"/>
  <c r="J30" i="35"/>
  <c r="AC30" i="35" s="1"/>
  <c r="H30" i="35"/>
  <c r="AB30" i="35" s="1"/>
  <c r="N56" i="9"/>
  <c r="O56" i="9"/>
  <c r="O58" i="57"/>
  <c r="K58" i="57"/>
  <c r="K59" i="57" s="1"/>
  <c r="K61" i="57" s="1"/>
  <c r="K63" i="57" s="1"/>
  <c r="N58" i="57"/>
  <c r="K56" i="9"/>
  <c r="K57" i="9" s="1"/>
  <c r="K59" i="9" s="1"/>
  <c r="K61" i="9" s="1"/>
  <c r="L58" i="57"/>
  <c r="F15" i="59"/>
  <c r="F14" i="59"/>
  <c r="F13" i="59" s="1"/>
  <c r="F12" i="59" s="1"/>
  <c r="F11" i="59" s="1"/>
  <c r="F10" i="59" s="1"/>
  <c r="C15" i="59"/>
  <c r="C14" i="59"/>
  <c r="C13" i="59" s="1"/>
  <c r="C12" i="59" s="1"/>
  <c r="C11" i="59" s="1"/>
  <c r="D11" i="59" s="1"/>
  <c r="X3" i="59"/>
  <c r="Y3" i="59"/>
  <c r="Z3" i="59" s="1"/>
  <c r="D15" i="59"/>
  <c r="F48" i="43"/>
  <c r="H50" i="43" s="1"/>
  <c r="G4" i="47"/>
  <c r="B17" i="59"/>
  <c r="B16" i="59" s="1"/>
  <c r="B15" i="59" s="1"/>
  <c r="B14" i="59" s="1"/>
  <c r="D14" i="59"/>
  <c r="I116" i="57"/>
  <c r="D133" i="57" s="1"/>
  <c r="I14" i="62" s="1"/>
  <c r="B8" i="62" s="1"/>
  <c r="D120" i="57"/>
  <c r="D12" i="59"/>
  <c r="I114" i="9"/>
  <c r="D129" i="9" s="1"/>
  <c r="I112" i="9"/>
  <c r="D39" i="50" s="1"/>
  <c r="D40" i="50" s="1"/>
  <c r="D116" i="9"/>
  <c r="D114" i="9"/>
  <c r="D115" i="9"/>
  <c r="I113" i="9" s="1"/>
  <c r="F5" i="61"/>
  <c r="E2" i="37"/>
  <c r="F4" i="61"/>
  <c r="D19" i="57"/>
  <c r="D7" i="61"/>
  <c r="D20" i="57"/>
  <c r="D3" i="61"/>
  <c r="E2" i="36"/>
  <c r="E2" i="35"/>
  <c r="C19" i="57"/>
  <c r="D5" i="61"/>
  <c r="D4" i="61"/>
  <c r="H23" i="31"/>
  <c r="E2" i="34"/>
  <c r="C20" i="57"/>
  <c r="E2" i="33"/>
  <c r="F7" i="61"/>
  <c r="E2" i="11"/>
  <c r="F6" i="61"/>
  <c r="E2" i="21"/>
  <c r="D6" i="61"/>
  <c r="F3" i="61"/>
  <c r="W40" i="34" l="1"/>
  <c r="AC39" i="34"/>
  <c r="U36" i="34"/>
  <c r="S36" i="34"/>
  <c r="AB40" i="34"/>
  <c r="S39" i="34"/>
  <c r="S38" i="34"/>
  <c r="AC36" i="34"/>
  <c r="F126" i="34"/>
  <c r="G126" i="34" s="1"/>
  <c r="AB37" i="34"/>
  <c r="AA44" i="34"/>
  <c r="AB44" i="34"/>
  <c r="AC25" i="34"/>
  <c r="W35" i="34"/>
  <c r="AA33" i="34"/>
  <c r="AC33" i="34"/>
  <c r="W15" i="34"/>
  <c r="U34" i="34"/>
  <c r="W17" i="34"/>
  <c r="S34" i="34"/>
  <c r="S23" i="34"/>
  <c r="AC21" i="34"/>
  <c r="S21" i="34"/>
  <c r="AB19" i="34"/>
  <c r="S17" i="34"/>
  <c r="AB17" i="34"/>
  <c r="U15" i="34"/>
  <c r="U9" i="34"/>
  <c r="AA9" i="34"/>
  <c r="C27" i="15"/>
  <c r="G103" i="43"/>
  <c r="J6" i="15"/>
  <c r="H81" i="43"/>
  <c r="H63" i="43"/>
  <c r="H59" i="43"/>
  <c r="H64" i="43"/>
  <c r="H61" i="43"/>
  <c r="H65" i="43"/>
  <c r="H67" i="43"/>
  <c r="G15" i="47"/>
  <c r="AC26" i="33"/>
  <c r="W26" i="33"/>
  <c r="B13" i="59"/>
  <c r="B12" i="59" s="1"/>
  <c r="B11" i="59" s="1"/>
  <c r="B10" i="59" s="1"/>
  <c r="S14" i="59"/>
  <c r="U9" i="33"/>
  <c r="AB9" i="33"/>
  <c r="AC21" i="21"/>
  <c r="E48" i="43"/>
  <c r="B46" i="43" s="1"/>
  <c r="F9" i="59"/>
  <c r="F8" i="59" s="1"/>
  <c r="F7" i="59" s="1"/>
  <c r="F6" i="59" s="1"/>
  <c r="V10" i="59"/>
  <c r="D13" i="59"/>
  <c r="V14" i="59"/>
  <c r="T14" i="59"/>
  <c r="C106" i="9"/>
  <c r="H102" i="9" s="1"/>
  <c r="AA15" i="39"/>
  <c r="AB25" i="39"/>
  <c r="U23" i="37"/>
  <c r="S46" i="33"/>
  <c r="S14" i="33"/>
  <c r="S47" i="34"/>
  <c r="AB37" i="37"/>
  <c r="AA44" i="33"/>
  <c r="F9" i="35"/>
  <c r="AA9" i="35" s="1"/>
  <c r="F9" i="36"/>
  <c r="J9" i="36"/>
  <c r="H29" i="35"/>
  <c r="I21" i="58"/>
  <c r="D1" i="58" s="1"/>
  <c r="E10" i="58" s="1"/>
  <c r="U25" i="31"/>
  <c r="C36" i="57" s="1"/>
  <c r="D125" i="57" s="1"/>
  <c r="D78" i="43"/>
  <c r="E70" i="43" s="1"/>
  <c r="B68" i="43" s="1"/>
  <c r="C24" i="43" s="1"/>
  <c r="N100" i="43"/>
  <c r="J100" i="43"/>
  <c r="F100" i="43"/>
  <c r="M100" i="43"/>
  <c r="I100" i="43"/>
  <c r="E100" i="43"/>
  <c r="C31" i="58"/>
  <c r="C30" i="58"/>
  <c r="E26" i="58" s="1"/>
  <c r="S21" i="33"/>
  <c r="T30" i="59"/>
  <c r="D48" i="59"/>
  <c r="C49" i="59"/>
  <c r="D52" i="59"/>
  <c r="C53" i="59"/>
  <c r="D56" i="59"/>
  <c r="C57" i="59"/>
  <c r="C25" i="40"/>
  <c r="E24" i="59"/>
  <c r="E25" i="59" s="1"/>
  <c r="E26" i="59" s="1"/>
  <c r="U26" i="59" s="1"/>
  <c r="F24" i="59"/>
  <c r="F25" i="59" s="1"/>
  <c r="F26" i="59" s="1"/>
  <c r="V26" i="59" s="1"/>
  <c r="E28" i="59"/>
  <c r="E29" i="59" s="1"/>
  <c r="E30" i="59" s="1"/>
  <c r="U30" i="59" s="1"/>
  <c r="F28" i="59"/>
  <c r="F29" i="59" s="1"/>
  <c r="F30" i="59" s="1"/>
  <c r="V30" i="59" s="1"/>
  <c r="X31" i="59"/>
  <c r="E32" i="59"/>
  <c r="E33" i="59" s="1"/>
  <c r="E34" i="59" s="1"/>
  <c r="AB31" i="59"/>
  <c r="F32" i="59"/>
  <c r="F33" i="59" s="1"/>
  <c r="F34" i="59" s="1"/>
  <c r="V34" i="59" s="1"/>
  <c r="AB32" i="59"/>
  <c r="P62" i="59"/>
  <c r="V66" i="59"/>
  <c r="F65" i="59"/>
  <c r="F64" i="59" s="1"/>
  <c r="V74" i="59"/>
  <c r="F73" i="59"/>
  <c r="F72" i="59" s="1"/>
  <c r="X16" i="59"/>
  <c r="AA13" i="59"/>
  <c r="X15" i="59"/>
  <c r="Y12" i="59"/>
  <c r="Z12" i="59" s="1"/>
  <c r="AB10" i="59"/>
  <c r="AA5" i="59"/>
  <c r="B24" i="59"/>
  <c r="B25" i="59" s="1"/>
  <c r="B26" i="59" s="1"/>
  <c r="S26" i="59" s="1"/>
  <c r="S62" i="59"/>
  <c r="N62" i="59"/>
  <c r="V62" i="59"/>
  <c r="F61" i="59"/>
  <c r="S66" i="59"/>
  <c r="B65" i="59"/>
  <c r="B64" i="59" s="1"/>
  <c r="S74" i="59"/>
  <c r="B73" i="59"/>
  <c r="B72" i="59" s="1"/>
  <c r="AA15" i="59"/>
  <c r="AA18" i="59"/>
  <c r="E9" i="59"/>
  <c r="E8" i="59" s="1"/>
  <c r="E7" i="59" s="1"/>
  <c r="E6" i="59" s="1"/>
  <c r="U10" i="59"/>
  <c r="Y18" i="59"/>
  <c r="Z18" i="59" s="1"/>
  <c r="AB16" i="59"/>
  <c r="Y15" i="59"/>
  <c r="Z15" i="59" s="1"/>
  <c r="AB15" i="59"/>
  <c r="AA11" i="59"/>
  <c r="AB11" i="59"/>
  <c r="X11" i="59"/>
  <c r="Y6" i="59"/>
  <c r="Z6" i="59" s="1"/>
  <c r="AB7" i="59"/>
  <c r="Y17" i="59"/>
  <c r="Z17" i="59" s="1"/>
  <c r="Y13" i="59"/>
  <c r="Z13" i="59" s="1"/>
  <c r="X9" i="59"/>
  <c r="AA10" i="59"/>
  <c r="AA9" i="59"/>
  <c r="AA6" i="59"/>
  <c r="AA7" i="59"/>
  <c r="X5" i="59"/>
  <c r="X6" i="59"/>
  <c r="AB5" i="59"/>
  <c r="Y5" i="59"/>
  <c r="Z5" i="59" s="1"/>
  <c r="B15" i="50"/>
  <c r="V18" i="59"/>
  <c r="X18" i="59"/>
  <c r="Y11" i="59"/>
  <c r="Z11" i="59" s="1"/>
  <c r="Y9" i="59"/>
  <c r="Z9" i="59" s="1"/>
  <c r="AB9" i="59"/>
  <c r="AA8" i="59"/>
  <c r="X7" i="59"/>
  <c r="X8" i="59"/>
  <c r="AB6" i="59"/>
  <c r="AB8" i="59"/>
  <c r="Y7" i="59"/>
  <c r="Z7" i="59" s="1"/>
  <c r="Y8" i="59"/>
  <c r="Z8" i="59" s="1"/>
  <c r="B56" i="43"/>
  <c r="C21" i="39"/>
  <c r="U23" i="35"/>
  <c r="AB23" i="35"/>
  <c r="J23" i="35"/>
  <c r="S34" i="35"/>
  <c r="W34" i="35"/>
  <c r="AC34" i="35"/>
  <c r="AB36" i="35"/>
  <c r="U36" i="35"/>
  <c r="AB34" i="35"/>
  <c r="F36" i="35"/>
  <c r="J36" i="35"/>
  <c r="AC12" i="35"/>
  <c r="W12" i="35"/>
  <c r="F12" i="35"/>
  <c r="H12" i="35"/>
  <c r="U30" i="35"/>
  <c r="AA29" i="35"/>
  <c r="S26" i="35"/>
  <c r="W24" i="35"/>
  <c r="S24" i="35"/>
  <c r="AB24" i="35"/>
  <c r="U25" i="35"/>
  <c r="AC20" i="35"/>
  <c r="AB20" i="35"/>
  <c r="U18" i="35"/>
  <c r="AB16" i="35"/>
  <c r="D24" i="15"/>
  <c r="M60" i="15"/>
  <c r="D19" i="1"/>
  <c r="F19" i="1"/>
  <c r="D18" i="1"/>
  <c r="C29" i="39"/>
  <c r="B55" i="43"/>
  <c r="B75" i="43"/>
  <c r="B74" i="43"/>
  <c r="C17" i="39"/>
  <c r="B41" i="47"/>
  <c r="W32" i="35"/>
  <c r="W33" i="35"/>
  <c r="U32" i="35"/>
  <c r="S32" i="35"/>
  <c r="AA30" i="35"/>
  <c r="W30" i="35"/>
  <c r="S28" i="35"/>
  <c r="W28" i="35"/>
  <c r="H10" i="35"/>
  <c r="J10" i="35"/>
  <c r="AC10" i="35" s="1"/>
  <c r="H56" i="35"/>
  <c r="I56" i="35" s="1"/>
  <c r="F10" i="35"/>
  <c r="AA10" i="35" s="1"/>
  <c r="W9" i="35"/>
  <c r="S10" i="35"/>
  <c r="W10" i="35"/>
  <c r="S9" i="35"/>
  <c r="U9" i="35"/>
  <c r="H66" i="43"/>
  <c r="H60" i="43"/>
  <c r="H87" i="43"/>
  <c r="H84" i="43"/>
  <c r="W8" i="35"/>
  <c r="C29" i="11"/>
  <c r="D27" i="11" s="1"/>
  <c r="D42" i="50"/>
  <c r="D43" i="50" s="1"/>
  <c r="F7" i="15"/>
  <c r="E13" i="1"/>
  <c r="C8" i="11" s="1"/>
  <c r="S37" i="34"/>
  <c r="AC11" i="34"/>
  <c r="AB11" i="34"/>
  <c r="F90" i="34"/>
  <c r="G90" i="34" s="1"/>
  <c r="H90" i="34" s="1"/>
  <c r="I90" i="34" s="1"/>
  <c r="J90" i="34" s="1"/>
  <c r="K90" i="34" s="1"/>
  <c r="L90" i="34" s="1"/>
  <c r="M90" i="34" s="1"/>
  <c r="H27" i="34"/>
  <c r="U27" i="34" s="1"/>
  <c r="AC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27" i="34" l="1"/>
  <c r="D22" i="43"/>
  <c r="C21" i="43" s="1"/>
  <c r="D70" i="39"/>
  <c r="C9" i="59"/>
  <c r="T10" i="59"/>
  <c r="H75" i="43"/>
  <c r="F60" i="59"/>
  <c r="Q61" i="59"/>
  <c r="D57" i="59"/>
  <c r="C58" i="59"/>
  <c r="D53" i="59"/>
  <c r="C54" i="59"/>
  <c r="D49" i="59"/>
  <c r="C50" i="59"/>
  <c r="AB29" i="35"/>
  <c r="U29" i="35"/>
  <c r="AA9" i="36"/>
  <c r="S9" i="36"/>
  <c r="D10" i="59"/>
  <c r="M19" i="43"/>
  <c r="U34" i="59"/>
  <c r="AC9" i="36"/>
  <c r="W9" i="36"/>
  <c r="B9" i="59"/>
  <c r="B8" i="59" s="1"/>
  <c r="B7" i="59" s="1"/>
  <c r="B6" i="59" s="1"/>
  <c r="S10" i="59"/>
  <c r="AC23" i="35"/>
  <c r="W23" i="35"/>
  <c r="AA36" i="35"/>
  <c r="S36" i="35"/>
  <c r="W36" i="35"/>
  <c r="AC36" i="35"/>
  <c r="U12" i="35"/>
  <c r="AB12" i="35"/>
  <c r="S12" i="35"/>
  <c r="AA12" i="35"/>
  <c r="U10" i="35"/>
  <c r="AB10" i="35"/>
  <c r="H76" i="43"/>
  <c r="S43" i="34"/>
  <c r="H73" i="43"/>
  <c r="H78" i="43"/>
  <c r="H7" i="35"/>
  <c r="AB7" i="35" s="1"/>
  <c r="T38" i="35" s="1"/>
  <c r="G38" i="35" s="1"/>
  <c r="F7" i="35"/>
  <c r="AA7"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E42" i="37"/>
  <c r="I68" i="39"/>
  <c r="H70" i="39"/>
  <c r="D22" i="50"/>
  <c r="B35" i="60" s="1"/>
  <c r="B33" i="60"/>
  <c r="D9" i="59"/>
  <c r="C8" i="59"/>
  <c r="C19" i="43"/>
  <c r="P24" i="43"/>
  <c r="B66" i="40" s="1"/>
  <c r="P21" i="43"/>
  <c r="B71" i="39" s="1"/>
  <c r="P23" i="43"/>
  <c r="P22" i="43"/>
  <c r="P28" i="43"/>
  <c r="N28" i="43"/>
  <c r="M28" i="43"/>
  <c r="O28" i="43"/>
  <c r="G20" i="43" s="1"/>
  <c r="E41" i="43" s="1"/>
  <c r="C41" i="43" s="1"/>
  <c r="F11" i="15"/>
  <c r="M11" i="15"/>
  <c r="J10" i="15" s="1"/>
  <c r="J5" i="15" s="1"/>
  <c r="J7" i="36" l="1"/>
  <c r="AC7" i="36" s="1"/>
  <c r="V36" i="36" s="1"/>
  <c r="I36" i="36" s="1"/>
  <c r="C39" i="43"/>
  <c r="G39" i="43" s="1"/>
  <c r="I39" i="43" s="1"/>
  <c r="Q60" i="59"/>
  <c r="Q59" i="59"/>
  <c r="S6" i="59"/>
  <c r="B5" i="59"/>
  <c r="D50" i="59"/>
  <c r="T50" i="59"/>
  <c r="D54" i="59"/>
  <c r="T54" i="59"/>
  <c r="T58" i="59"/>
  <c r="D58" i="59"/>
  <c r="R38" i="35"/>
  <c r="E38" i="35" s="1"/>
  <c r="AC7" i="35"/>
  <c r="V38" i="35" s="1"/>
  <c r="I38" i="35" s="1"/>
  <c r="U7" i="35"/>
  <c r="S7" i="35"/>
  <c r="C19" i="15"/>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F59" i="34"/>
  <c r="G58" i="21"/>
  <c r="G52" i="33"/>
  <c r="H52" i="33" s="1"/>
  <c r="G53" i="33"/>
  <c r="H53" i="33" s="1"/>
  <c r="I46" i="37"/>
  <c r="J46" i="37" s="1"/>
  <c r="I47" i="37"/>
  <c r="J47" i="37" s="1"/>
  <c r="G47" i="37"/>
  <c r="H47" i="37" s="1"/>
  <c r="C38" i="43"/>
  <c r="C10" i="15"/>
  <c r="C5" i="15" s="1"/>
  <c r="C54" i="15"/>
  <c r="C49" i="15" s="1"/>
  <c r="J24" i="15"/>
  <c r="J26" i="15"/>
  <c r="F22" i="11"/>
  <c r="F41" i="11" s="1"/>
  <c r="F24" i="15"/>
  <c r="F25" i="12"/>
  <c r="I43" i="35" l="1"/>
  <c r="J43" i="35" s="1"/>
  <c r="R39" i="35"/>
  <c r="C38" i="3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20" i="11" s="1"/>
  <c r="C28" i="11" s="1"/>
  <c r="C27" i="11" s="1"/>
  <c r="C39" i="35"/>
  <c r="B2" i="35" s="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H59" i="34"/>
  <c r="R37" i="36"/>
  <c r="E36" i="36"/>
  <c r="K70" i="39"/>
  <c r="L68" i="39"/>
  <c r="I58" i="21"/>
  <c r="C41" i="11"/>
  <c r="C49" i="11" s="1"/>
  <c r="C29" i="15"/>
  <c r="J14" i="15" s="1"/>
  <c r="C32" i="12"/>
  <c r="C51" i="11" l="1"/>
  <c r="C23" i="65"/>
  <c r="C26" i="65" s="1"/>
  <c r="C23" i="11"/>
  <c r="C25" i="1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7" i="65" l="1"/>
  <c r="C27" i="65" s="1"/>
  <c r="C24" i="65" s="1"/>
  <c r="H7" i="21"/>
  <c r="F7" i="21"/>
  <c r="S7" i="21" s="1"/>
  <c r="C22" i="11"/>
  <c r="C31" i="11" s="1"/>
  <c r="C52" i="11" s="1"/>
  <c r="B2" i="11" s="1"/>
  <c r="C3" i="65" s="1"/>
  <c r="D14" i="62"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AA7" i="21"/>
  <c r="R48" i="21" s="1"/>
  <c r="Q46" i="15"/>
  <c r="C60" i="15"/>
  <c r="C57" i="15"/>
  <c r="C66" i="15" s="1"/>
  <c r="C37" i="15"/>
  <c r="C30" i="15" s="1"/>
  <c r="C39" i="15" s="1"/>
  <c r="Q68" i="15"/>
  <c r="J16" i="15"/>
  <c r="J25" i="15" s="1"/>
  <c r="C4" i="65" l="1"/>
  <c r="C29" i="65" s="1"/>
  <c r="C30" i="65" s="1"/>
  <c r="D36" i="65" s="1"/>
  <c r="C98" i="57"/>
  <c r="E98" i="57" s="1"/>
  <c r="E99" i="57" s="1"/>
  <c r="W7" i="21"/>
  <c r="B3" i="11"/>
  <c r="C56" i="1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J9" i="65" l="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C101" i="9" l="1"/>
  <c r="C102" i="9"/>
  <c r="R50" i="34"/>
  <c r="C49"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35" i="65" l="1"/>
  <c r="C50" i="34"/>
  <c r="B2" i="34" s="1"/>
  <c r="D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D20" i="9"/>
  <c r="J8" i="65" l="1"/>
  <c r="G35" i="65"/>
  <c r="D37" i="65"/>
  <c r="M31" i="65" s="1"/>
  <c r="P31" i="65" s="1"/>
  <c r="G20" i="9"/>
  <c r="C32" i="9" s="1"/>
  <c r="C35" i="9" s="1"/>
  <c r="C34" i="9" s="1"/>
  <c r="D102" i="9"/>
  <c r="G47" i="40"/>
  <c r="H47" i="40" s="1"/>
  <c r="E42" i="40"/>
  <c r="M32" i="65" l="1"/>
  <c r="P32" i="65" s="1"/>
  <c r="G37" i="65"/>
  <c r="J10" i="65"/>
  <c r="E38" i="65"/>
  <c r="E39" i="65" s="1"/>
  <c r="C38" i="65"/>
  <c r="C39" i="65" s="1"/>
  <c r="I47" i="40"/>
  <c r="J47" i="40" s="1"/>
  <c r="E47" i="40"/>
  <c r="F47" i="40" s="1"/>
  <c r="E46" i="40"/>
  <c r="F46" i="40" s="1"/>
  <c r="C43" i="40"/>
  <c r="C42" i="40"/>
  <c r="M33" i="65" l="1"/>
  <c r="P33" i="65"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M34" i="65" l="1"/>
  <c r="P34" i="65" s="1"/>
  <c r="M68" i="9"/>
  <c r="N68" i="9" s="1"/>
  <c r="M67" i="9"/>
  <c r="N67" i="9" s="1"/>
  <c r="D8" i="50"/>
  <c r="B22" i="60" s="1"/>
  <c r="M35" i="65" l="1"/>
  <c r="P35" i="65" s="1"/>
  <c r="I121" i="9"/>
  <c r="C104" i="9" s="1"/>
  <c r="G121" i="9"/>
  <c r="F121" i="9" s="1"/>
  <c r="F122" i="9" s="1"/>
  <c r="E121" i="9"/>
  <c r="D121" i="9" s="1"/>
  <c r="D122" i="9" s="1"/>
  <c r="M36" i="65" l="1"/>
  <c r="P36" i="65" s="1"/>
  <c r="D107" i="9"/>
  <c r="I103" i="9"/>
  <c r="H121" i="9"/>
  <c r="P37" i="65" l="1"/>
  <c r="E14" i="62"/>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8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8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800-000004000000}">
      <text>
        <r>
          <rPr>
            <b/>
            <sz val="12"/>
            <color indexed="81"/>
            <rFont val="宋体"/>
            <family val="3"/>
            <charset val="134"/>
          </rPr>
          <t>所属项目品质或
物业管理</t>
        </r>
      </text>
    </comment>
    <comment ref="B90" authorId="0" shapeId="0" xr:uid="{00000000-0006-0000-18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900-000004000000}">
      <text>
        <r>
          <rPr>
            <b/>
            <sz val="12"/>
            <color indexed="81"/>
            <rFont val="宋体"/>
            <family val="3"/>
            <charset val="134"/>
          </rPr>
          <t>所属项目品质或
物业管理</t>
        </r>
      </text>
    </comment>
    <comment ref="B86" authorId="0" shapeId="0" xr:uid="{00000000-0006-0000-1900-000005000000}">
      <text>
        <r>
          <rPr>
            <b/>
            <sz val="12"/>
            <color indexed="81"/>
            <rFont val="宋体"/>
            <family val="3"/>
            <charset val="134"/>
          </rPr>
          <t>所属项目品质</t>
        </r>
      </text>
    </comment>
    <comment ref="B89" authorId="0" shapeId="0" xr:uid="{00000000-0006-0000-19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A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C9" authorId="0" shapeId="0" xr:uid="{068E2A29-0A35-4C52-9C0F-A5F53583C211}">
      <text>
        <r>
          <rPr>
            <b/>
            <sz val="9"/>
            <color indexed="81"/>
            <rFont val="宋体"/>
            <family val="3"/>
            <charset val="134"/>
          </rPr>
          <t>作者:</t>
        </r>
        <r>
          <rPr>
            <sz val="9"/>
            <color indexed="81"/>
            <rFont val="宋体"/>
            <family val="3"/>
            <charset val="134"/>
          </rPr>
          <t xml:space="preserve">
不含10年包租50户203</t>
        </r>
        <r>
          <rPr>
            <sz val="9"/>
            <color indexed="81"/>
            <rFont val="宋体"/>
            <family val="3"/>
            <charset val="134"/>
          </rPr>
          <t>3</t>
        </r>
        <r>
          <rPr>
            <sz val="9"/>
            <color indexed="81"/>
            <rFont val="宋体"/>
            <family val="3"/>
            <charset val="134"/>
          </rPr>
          <t>.</t>
        </r>
        <r>
          <rPr>
            <sz val="9"/>
            <color indexed="81"/>
            <rFont val="宋体"/>
            <family val="3"/>
            <charset val="134"/>
          </rPr>
          <t>24</t>
        </r>
        <r>
          <rPr>
            <sz val="9"/>
            <color indexed="81"/>
            <rFont val="宋体"/>
            <family val="3"/>
            <charset val="134"/>
          </rPr>
          <t>平米.</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C5" authorId="0" shapeId="0" xr:uid="{B95948B3-108B-4343-A597-5D299FD5966B}">
      <text>
        <r>
          <rPr>
            <b/>
            <sz val="9"/>
            <color indexed="81"/>
            <rFont val="宋体"/>
            <family val="3"/>
            <charset val="134"/>
          </rPr>
          <t>作者:</t>
        </r>
        <r>
          <rPr>
            <sz val="9"/>
            <color indexed="81"/>
            <rFont val="宋体"/>
            <family val="3"/>
            <charset val="134"/>
          </rPr>
          <t xml:space="preserve">
108/209/211部分面积</t>
        </r>
      </text>
    </comment>
    <comment ref="C13" authorId="0" shapeId="0" xr:uid="{D611E7D8-D8D2-40C8-A6F0-8B4CAD312DC1}">
      <text>
        <r>
          <rPr>
            <b/>
            <sz val="9"/>
            <color indexed="81"/>
            <rFont val="宋体"/>
            <family val="3"/>
            <charset val="134"/>
          </rPr>
          <t>作者:</t>
        </r>
        <r>
          <rPr>
            <sz val="9"/>
            <color indexed="81"/>
            <rFont val="宋体"/>
            <family val="3"/>
            <charset val="134"/>
          </rPr>
          <t xml:space="preserve">
327为第0069645号</t>
        </r>
      </text>
    </comment>
    <comment ref="B14" authorId="0" shapeId="0" xr:uid="{AA10A76E-7370-456C-8748-01E748944736}">
      <text>
        <r>
          <rPr>
            <b/>
            <sz val="9"/>
            <rFont val="宋体"/>
            <family val="3"/>
            <charset val="134"/>
          </rPr>
          <t>作者:</t>
        </r>
        <r>
          <rPr>
            <sz val="9"/>
            <rFont val="宋体"/>
            <family val="3"/>
            <charset val="134"/>
          </rPr>
          <t xml:space="preserve">
更换达内,童程童美</t>
        </r>
      </text>
    </comment>
    <comment ref="C24" authorId="0" shapeId="0" xr:uid="{765E1E59-2951-45DB-A36B-1C4EDE36D873}">
      <text>
        <r>
          <rPr>
            <b/>
            <sz val="9"/>
            <color indexed="81"/>
            <rFont val="宋体"/>
            <family val="3"/>
            <charset val="134"/>
          </rPr>
          <t>作者:</t>
        </r>
        <r>
          <rPr>
            <sz val="9"/>
            <color indexed="81"/>
            <rFont val="宋体"/>
            <family val="3"/>
            <charset val="134"/>
          </rPr>
          <t xml:space="preserve">
中保康310/312/314/316/318</t>
        </r>
      </text>
    </comment>
    <comment ref="C25" authorId="0" shapeId="0" xr:uid="{8C3DC737-E730-4D0F-A9CC-296A3C8577F1}">
      <text>
        <r>
          <rPr>
            <b/>
            <sz val="9"/>
            <color indexed="81"/>
            <rFont val="宋体"/>
            <family val="3"/>
            <charset val="134"/>
          </rPr>
          <t>作者:</t>
        </r>
        <r>
          <rPr>
            <sz val="9"/>
            <color indexed="81"/>
            <rFont val="宋体"/>
            <family val="3"/>
            <charset val="134"/>
          </rPr>
          <t xml:space="preserve">
416是海联移字第00010号   海其更字第00195号310/312/314/316/318</t>
        </r>
      </text>
    </comment>
    <comment ref="B26" authorId="0" shapeId="0" xr:uid="{008185A1-D076-46B2-8F16-E3D8822D7B4B}">
      <text>
        <r>
          <rPr>
            <b/>
            <sz val="9"/>
            <rFont val="宋体"/>
            <family val="3"/>
            <charset val="134"/>
          </rPr>
          <t>作者:</t>
        </r>
        <r>
          <rPr>
            <sz val="9"/>
            <rFont val="宋体"/>
            <family val="3"/>
            <charset val="134"/>
          </rPr>
          <t xml:space="preserve">
更换为世纪中为16.4.1-17.3.31，租金4.85</t>
        </r>
      </text>
    </comment>
    <comment ref="C26" authorId="0" shapeId="0" xr:uid="{EE98E8CA-7D75-4F21-B8F0-782DB2775152}">
      <text>
        <r>
          <rPr>
            <b/>
            <sz val="9"/>
            <color indexed="81"/>
            <rFont val="宋体"/>
            <family val="3"/>
            <charset val="134"/>
          </rPr>
          <t>作者:</t>
        </r>
        <r>
          <rPr>
            <sz val="9"/>
            <color indexed="81"/>
            <rFont val="宋体"/>
            <family val="3"/>
            <charset val="134"/>
          </rPr>
          <t xml:space="preserve">
中保康310/312/314/316/318</t>
        </r>
      </text>
    </comment>
    <comment ref="C28" authorId="0" shapeId="0" xr:uid="{0BD97446-EC61-4985-87EF-4E3F9F563F03}">
      <text>
        <r>
          <rPr>
            <b/>
            <sz val="9"/>
            <color indexed="81"/>
            <rFont val="宋体"/>
            <family val="3"/>
            <charset val="134"/>
          </rPr>
          <t>作者:</t>
        </r>
        <r>
          <rPr>
            <sz val="9"/>
            <color indexed="81"/>
            <rFont val="宋体"/>
            <family val="3"/>
            <charset val="134"/>
          </rPr>
          <t xml:space="preserve">
中保康310/312/314/316/318</t>
        </r>
      </text>
    </comment>
    <comment ref="B30" authorId="0" shapeId="0" xr:uid="{816E64FF-D22C-404C-8594-C57539DCAB79}">
      <text>
        <r>
          <rPr>
            <b/>
            <sz val="9"/>
            <rFont val="宋体"/>
            <family val="3"/>
            <charset val="134"/>
          </rPr>
          <t>作者:</t>
        </r>
        <r>
          <rPr>
            <sz val="9"/>
            <rFont val="宋体"/>
            <family val="3"/>
            <charset val="134"/>
          </rPr>
          <t xml:space="preserve">
2015.4由王茹变更三羌投资有限公司；
2015.8由三羌变更千人易得教育</t>
        </r>
      </text>
    </comment>
    <comment ref="B41" authorId="0" shapeId="0" xr:uid="{CDE5054D-4474-4EC8-B79B-52CA05069684}">
      <text>
        <r>
          <rPr>
            <b/>
            <sz val="9"/>
            <rFont val="宋体"/>
            <family val="3"/>
            <charset val="134"/>
          </rPr>
          <t>作者:</t>
        </r>
        <r>
          <rPr>
            <sz val="9"/>
            <rFont val="宋体"/>
            <family val="3"/>
            <charset val="134"/>
          </rPr>
          <t xml:space="preserve">
王伟解除协议日为5.31，换为佰家衣库</t>
        </r>
      </text>
    </comment>
    <comment ref="D70" authorId="0" shapeId="0" xr:uid="{C0057BA1-30FE-424D-B865-6C661B17381D}">
      <text>
        <r>
          <rPr>
            <b/>
            <sz val="9"/>
            <rFont val="宋体"/>
            <family val="3"/>
            <charset val="134"/>
          </rPr>
          <t>作者:</t>
        </r>
        <r>
          <rPr>
            <sz val="9"/>
            <rFont val="宋体"/>
            <family val="3"/>
            <charset val="134"/>
          </rPr>
          <t xml:space="preserve">
华文租金合同，但产权是邦维代收。原华文合同解除自2016.6.1与邦维签订合同。</t>
        </r>
      </text>
    </comment>
    <comment ref="C72" authorId="0" shapeId="0" xr:uid="{929DF089-1E98-4B08-A01D-40142F233E6F}">
      <text>
        <r>
          <rPr>
            <b/>
            <sz val="9"/>
            <color indexed="81"/>
            <rFont val="宋体"/>
            <family val="3"/>
            <charset val="134"/>
          </rPr>
          <t>作者:</t>
        </r>
        <r>
          <rPr>
            <sz val="9"/>
            <color indexed="81"/>
            <rFont val="宋体"/>
            <family val="3"/>
            <charset val="134"/>
          </rPr>
          <t xml:space="preserve">
102/202/226/228</t>
        </r>
      </text>
    </comment>
    <comment ref="E72" authorId="0" shapeId="0" xr:uid="{31C0C3B9-2F24-46CD-BD3C-82671BA9EA88}">
      <text>
        <r>
          <rPr>
            <b/>
            <sz val="9"/>
            <rFont val="宋体"/>
            <family val="3"/>
            <charset val="134"/>
          </rPr>
          <t>作者:</t>
        </r>
        <r>
          <rPr>
            <sz val="9"/>
            <rFont val="宋体"/>
            <family val="3"/>
            <charset val="134"/>
          </rPr>
          <t xml:space="preserve">
一层450.1平,二层1122.92平</t>
        </r>
      </text>
    </comment>
    <comment ref="F72" authorId="0" shapeId="0" xr:uid="{020B6D0B-A5E7-4BBC-8DBF-812BF212F588}">
      <text>
        <r>
          <rPr>
            <b/>
            <sz val="9"/>
            <rFont val="宋体"/>
            <family val="3"/>
            <charset val="134"/>
          </rPr>
          <t>作者:</t>
        </r>
        <r>
          <rPr>
            <sz val="9"/>
            <rFont val="宋体"/>
            <family val="3"/>
            <charset val="134"/>
          </rPr>
          <t xml:space="preserve">
一层450.1平,二层1122.92平</t>
        </r>
      </text>
    </comment>
    <comment ref="C73" authorId="0" shapeId="0" xr:uid="{7A6939A2-4B82-45CE-9386-043D6CF1E479}">
      <text>
        <r>
          <rPr>
            <b/>
            <sz val="9"/>
            <color indexed="81"/>
            <rFont val="宋体"/>
            <family val="3"/>
            <charset val="134"/>
          </rPr>
          <t>作者:</t>
        </r>
        <r>
          <rPr>
            <sz val="9"/>
            <color indexed="81"/>
            <rFont val="宋体"/>
            <family val="3"/>
            <charset val="134"/>
          </rPr>
          <t xml:space="preserve">
保龄、地下餐厅</t>
        </r>
      </text>
    </comment>
    <comment ref="D73" authorId="0" shapeId="0" xr:uid="{1B1F2528-776D-4319-A393-6660602E03E5}">
      <text>
        <r>
          <rPr>
            <b/>
            <sz val="9"/>
            <rFont val="宋体"/>
            <family val="3"/>
            <charset val="134"/>
          </rPr>
          <t>作者:</t>
        </r>
        <r>
          <rPr>
            <sz val="9"/>
            <rFont val="宋体"/>
            <family val="3"/>
            <charset val="134"/>
          </rPr>
          <t xml:space="preserve">
业主天使源面积2016.4平米，自有面积463.6平米。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H4" authorId="0" shapeId="0" xr:uid="{F9A52625-1F1A-4046-A91F-6ACD38FC8726}">
      <text>
        <r>
          <rPr>
            <b/>
            <sz val="9"/>
            <rFont val="宋体"/>
            <family val="3"/>
            <charset val="134"/>
          </rPr>
          <t>作者:</t>
        </r>
        <r>
          <rPr>
            <sz val="9"/>
            <rFont val="宋体"/>
            <family val="3"/>
            <charset val="134"/>
          </rPr>
          <t xml:space="preserve">
续租三年：15.03.16-18.03.15</t>
        </r>
      </text>
    </comment>
    <comment ref="E7" authorId="0" shapeId="0" xr:uid="{607440EC-945D-4E1C-A1EF-27DD9F2FD3BF}">
      <text>
        <r>
          <rPr>
            <sz val="9"/>
            <rFont val="宋体"/>
            <family val="3"/>
            <charset val="134"/>
          </rPr>
          <t xml:space="preserve">首层东侧面积：250平米
</t>
        </r>
        <r>
          <rPr>
            <sz val="9"/>
            <rFont val="宋体"/>
            <family val="3"/>
            <charset val="134"/>
          </rPr>
          <t>地下同样方位面积：175平米</t>
        </r>
      </text>
    </comment>
    <comment ref="E8" authorId="0" shapeId="0" xr:uid="{A5C05DCD-2F26-475B-A858-27D797605C75}">
      <text>
        <r>
          <rPr>
            <sz val="9"/>
            <rFont val="宋体"/>
            <family val="3"/>
            <charset val="134"/>
          </rPr>
          <t xml:space="preserve">七层面积
</t>
        </r>
      </text>
    </comment>
    <comment ref="F8" authorId="0" shapeId="0" xr:uid="{61FF4233-74BC-4514-B308-4FCCE688C518}">
      <text>
        <r>
          <rPr>
            <sz val="9"/>
            <rFont val="宋体"/>
            <family val="3"/>
            <charset val="134"/>
          </rPr>
          <t xml:space="preserve">合同期内租金共计1191552元
</t>
        </r>
      </text>
    </comment>
    <comment ref="E9" authorId="0" shapeId="0" xr:uid="{17ACC220-C9E2-48ED-9AB0-A30432E53968}">
      <text>
        <r>
          <rPr>
            <sz val="9"/>
            <rFont val="宋体"/>
            <family val="3"/>
            <charset val="134"/>
          </rPr>
          <t xml:space="preserve">八层面积
</t>
        </r>
      </text>
    </comment>
    <comment ref="E10" authorId="0" shapeId="0" xr:uid="{40C5BF6C-EE38-4BBD-B68F-A2E12A1F74A7}">
      <text>
        <r>
          <rPr>
            <sz val="9"/>
            <rFont val="宋体"/>
            <family val="3"/>
            <charset val="134"/>
          </rPr>
          <t>长26.5米，宽9米=238.5平米</t>
        </r>
      </text>
    </comment>
    <comment ref="E12" authorId="0" shapeId="0" xr:uid="{BC519AB2-27B4-4B18-A962-D028F3FB784E}">
      <text>
        <r>
          <rPr>
            <sz val="9"/>
            <rFont val="宋体"/>
            <family val="3"/>
            <charset val="134"/>
          </rPr>
          <t>长30米；宽8米=240平米</t>
        </r>
      </text>
    </comment>
    <comment ref="G13" authorId="0" shapeId="0" xr:uid="{D8DA2E05-4F30-407B-A1BF-0F0C5F5C8EA4}">
      <text>
        <r>
          <rPr>
            <sz val="9"/>
            <rFont val="宋体"/>
            <family val="3"/>
            <charset val="134"/>
          </rPr>
          <t xml:space="preserve">免租期1个月:
</t>
        </r>
        <r>
          <rPr>
            <sz val="9"/>
            <rFont val="宋体"/>
            <family val="3"/>
            <charset val="134"/>
          </rPr>
          <t xml:space="preserve">2014.1.1-2014.1.31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8CEE3A46-34E6-4601-BFF1-CB81D0AD0EF1}">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F060AD0-64B7-4EA7-A0A3-54A7A039A5DB}">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85D3601-A909-4789-BA1A-1AB8C8464A7A}">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30FD21C9-F2A8-4392-B5B5-185EC091C01E}">
      <text>
        <r>
          <rPr>
            <sz val="10"/>
            <color indexed="81"/>
            <rFont val="宋体"/>
            <family val="3"/>
            <charset val="134"/>
          </rPr>
          <t>取值范围：
1.5%-2.5%</t>
        </r>
        <r>
          <rPr>
            <sz val="9"/>
            <color indexed="81"/>
            <rFont val="宋体"/>
            <family val="3"/>
            <charset val="134"/>
          </rPr>
          <t xml:space="preserve">
</t>
        </r>
      </text>
    </comment>
    <comment ref="AL5" authorId="0" shapeId="0" xr:uid="{6168F488-9411-4244-9BCB-5BC299C2EBB2}">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3E7F6B87-7272-40A2-8C9F-694CB8D75585}">
      <text>
        <r>
          <rPr>
            <sz val="10"/>
            <color indexed="81"/>
            <rFont val="宋体"/>
            <family val="3"/>
            <charset val="134"/>
          </rPr>
          <t>取值范围：
1%-3%</t>
        </r>
        <r>
          <rPr>
            <sz val="9"/>
            <color indexed="81"/>
            <rFont val="宋体"/>
            <family val="3"/>
            <charset val="134"/>
          </rPr>
          <t xml:space="preserve">
</t>
        </r>
      </text>
    </comment>
    <comment ref="B44" authorId="1" shapeId="0" xr:uid="{418F7188-6C61-46DB-9E9D-D1397FB516C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1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1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1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1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1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1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<sst xmlns="http://schemas.openxmlformats.org/spreadsheetml/2006/main" count="8165" uniqueCount="3576">
  <si>
    <t>土地使用权证号</t>
    <phoneticPr fontId="8" type="noConversion"/>
  </si>
  <si>
    <t>——</t>
    <phoneticPr fontId="6" type="noConversion"/>
  </si>
  <si>
    <t>建筑面积依据</t>
    <phoneticPr fontId="8" type="noConversion"/>
  </si>
  <si>
    <t>建设内容/楼号</t>
    <phoneticPr fontId="8" type="noConversion"/>
  </si>
  <si>
    <t>1-2.1</t>
  </si>
  <si>
    <t>1-2.2</t>
  </si>
  <si>
    <t>1-2.3</t>
  </si>
  <si>
    <t>1-2.4</t>
  </si>
  <si>
    <t>1-3.1</t>
  </si>
  <si>
    <t>1-3.2</t>
  </si>
  <si>
    <t>1-3.3</t>
  </si>
  <si>
    <t>1-3.4</t>
    <phoneticPr fontId="16" type="noConversion"/>
  </si>
  <si>
    <t>v</t>
    <phoneticPr fontId="16" type="noConversion"/>
  </si>
  <si>
    <t>——</t>
    <phoneticPr fontId="16" type="noConversion"/>
  </si>
  <si>
    <t>3</t>
    <phoneticPr fontId="6" type="noConversion"/>
  </si>
  <si>
    <t>3-1</t>
    <phoneticPr fontId="6" type="noConversion"/>
  </si>
  <si>
    <t>3-1-1</t>
    <phoneticPr fontId="6" type="noConversion"/>
  </si>
  <si>
    <t>3-1-2</t>
    <phoneticPr fontId="6" type="noConversion"/>
  </si>
  <si>
    <t>3-1-3</t>
    <phoneticPr fontId="6" type="noConversion"/>
  </si>
  <si>
    <t>3-2</t>
    <phoneticPr fontId="6" type="noConversion"/>
  </si>
  <si>
    <t>3-3</t>
    <phoneticPr fontId="6" type="noConversion"/>
  </si>
  <si>
    <t>3-4</t>
    <phoneticPr fontId="6" type="noConversion"/>
  </si>
  <si>
    <t>4</t>
    <phoneticPr fontId="6" type="noConversion"/>
  </si>
  <si>
    <t>5</t>
    <phoneticPr fontId="6" type="noConversion"/>
  </si>
  <si>
    <t>6</t>
    <phoneticPr fontId="6" type="noConversion"/>
  </si>
  <si>
    <t>100/</t>
    <phoneticPr fontId="6" type="noConversion"/>
  </si>
  <si>
    <t>——</t>
    <phoneticPr fontId="6" type="noConversion"/>
  </si>
  <si>
    <t>100/</t>
    <phoneticPr fontId="6" type="noConversion"/>
  </si>
  <si>
    <t>100/</t>
    <phoneticPr fontId="6" type="noConversion"/>
  </si>
  <si>
    <t>好</t>
  </si>
  <si>
    <t>较好</t>
  </si>
  <si>
    <t>一般</t>
  </si>
  <si>
    <t>较差</t>
  </si>
  <si>
    <t>——</t>
    <phoneticPr fontId="16" type="noConversion"/>
  </si>
  <si>
    <t>100/</t>
    <phoneticPr fontId="6" type="noConversion"/>
  </si>
  <si>
    <t>差</t>
  </si>
  <si>
    <t>-</t>
    <phoneticPr fontId="27" type="noConversion"/>
  </si>
  <si>
    <t>-</t>
    <phoneticPr fontId="27" type="noConversion"/>
  </si>
  <si>
    <t>-</t>
    <phoneticPr fontId="27" type="noConversion"/>
  </si>
  <si>
    <t>-</t>
    <phoneticPr fontId="27" type="noConversion"/>
  </si>
  <si>
    <t>-</t>
    <phoneticPr fontId="27" type="noConversion"/>
  </si>
  <si>
    <t>——</t>
    <phoneticPr fontId="33" type="noConversion"/>
  </si>
  <si>
    <t>3</t>
    <phoneticPr fontId="33" type="noConversion"/>
  </si>
  <si>
    <t>4</t>
    <phoneticPr fontId="33" type="noConversion"/>
  </si>
  <si>
    <t>5</t>
    <phoneticPr fontId="33" type="noConversion"/>
  </si>
  <si>
    <t>——</t>
    <phoneticPr fontId="22" type="noConversion"/>
  </si>
  <si>
    <t>4</t>
    <phoneticPr fontId="30" type="noConversion"/>
  </si>
  <si>
    <t>2</t>
    <phoneticPr fontId="33" type="noConversion"/>
  </si>
  <si>
    <t>——</t>
    <phoneticPr fontId="10"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</si>
  <si>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</si>
  <si>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</si>
  <si>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</si>
  <si>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</si>
  <si>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</si>
  <si>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</si>
  <si>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</si>
  <si>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</si>
  <si>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</si>
  <si>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</si>
  <si>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</si>
  <si>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</si>
  <si>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</si>
  <si>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</si>
  <si>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8" type="noConversion"/>
  </si>
  <si>
    <t>地下公共配套设施</t>
    <phoneticPr fontId="38" type="noConversion"/>
  </si>
  <si>
    <t>地上物业管理用房</t>
    <phoneticPr fontId="38" type="noConversion"/>
  </si>
  <si>
    <t>地下设备及其他</t>
    <phoneticPr fontId="38" type="noConversion"/>
  </si>
  <si>
    <t>分摊土地面积</t>
    <phoneticPr fontId="38" type="noConversion"/>
  </si>
  <si>
    <t>建筑面积</t>
    <phoneticPr fontId="38" type="noConversion"/>
  </si>
  <si>
    <t>面积合计</t>
    <phoneticPr fontId="38" type="noConversion"/>
  </si>
  <si>
    <t>六级</t>
  </si>
  <si>
    <t>1.1</t>
    <phoneticPr fontId="33" type="noConversion"/>
  </si>
  <si>
    <t>1.2</t>
    <phoneticPr fontId="33" type="noConversion"/>
  </si>
  <si>
    <t>2.1</t>
    <phoneticPr fontId="33" type="noConversion"/>
  </si>
  <si>
    <t>2.1.1</t>
    <phoneticPr fontId="33" type="noConversion"/>
  </si>
  <si>
    <t>2.1.2</t>
    <phoneticPr fontId="33" type="noConversion"/>
  </si>
  <si>
    <t>2.1.3</t>
    <phoneticPr fontId="33" type="noConversion"/>
  </si>
  <si>
    <t>2.2</t>
    <phoneticPr fontId="33" type="noConversion"/>
  </si>
  <si>
    <t>2.3</t>
    <phoneticPr fontId="33" type="noConversion"/>
  </si>
  <si>
    <t>2.4</t>
    <phoneticPr fontId="33" type="noConversion"/>
  </si>
  <si>
    <t>2.5</t>
    <phoneticPr fontId="33" type="noConversion"/>
  </si>
  <si>
    <t>2.6</t>
    <phoneticPr fontId="33" type="noConversion"/>
  </si>
  <si>
    <r>
      <rPr>
        <sz val="11"/>
        <color indexed="8"/>
        <rFont val="楷体_GB2312"/>
        <family val="3"/>
        <charset val="134"/>
      </rPr>
      <t>好</t>
    </r>
    <phoneticPr fontId="6" type="noConversion"/>
  </si>
  <si>
    <r>
      <rPr>
        <sz val="11"/>
        <color indexed="8"/>
        <rFont val="楷体_GB2312"/>
        <family val="3"/>
        <charset val="134"/>
      </rPr>
      <t>较好</t>
    </r>
    <phoneticPr fontId="6" type="noConversion"/>
  </si>
  <si>
    <r>
      <rPr>
        <sz val="11"/>
        <color indexed="8"/>
        <rFont val="楷体_GB2312"/>
        <family val="3"/>
        <charset val="134"/>
      </rPr>
      <t>一般</t>
    </r>
    <phoneticPr fontId="6" type="noConversion"/>
  </si>
  <si>
    <r>
      <rPr>
        <sz val="11"/>
        <color indexed="8"/>
        <rFont val="楷体_GB2312"/>
        <family val="3"/>
        <charset val="134"/>
      </rPr>
      <t>较差</t>
    </r>
    <phoneticPr fontId="6" type="noConversion"/>
  </si>
  <si>
    <r>
      <rPr>
        <sz val="11"/>
        <color indexed="8"/>
        <rFont val="楷体_GB2312"/>
        <family val="3"/>
        <charset val="134"/>
      </rPr>
      <t>差</t>
    </r>
    <phoneticPr fontId="6" type="noConversion"/>
  </si>
  <si>
    <t>四级</t>
  </si>
  <si>
    <t>Ⅱ—03</t>
  </si>
  <si>
    <t>A1</t>
    <phoneticPr fontId="6" type="noConversion"/>
  </si>
  <si>
    <t>A2</t>
  </si>
  <si>
    <t>A3</t>
  </si>
  <si>
    <t>A4</t>
  </si>
  <si>
    <t>2016-2</t>
  </si>
  <si>
    <t>2014-1</t>
  </si>
  <si>
    <t>2014-2</t>
  </si>
  <si>
    <t>2014-3</t>
  </si>
  <si>
    <t>2014-4</t>
  </si>
  <si>
    <t>2015-1</t>
  </si>
  <si>
    <t>2015-2</t>
  </si>
  <si>
    <t>2015-3</t>
  </si>
  <si>
    <t>2015-4</t>
  </si>
  <si>
    <t>2016-1</t>
  </si>
  <si>
    <t>2016-3</t>
  </si>
  <si>
    <t>R&gt;10</t>
    <phoneticPr fontId="6" type="noConversion"/>
  </si>
  <si>
    <t>北京市区片基准地价表</t>
    <phoneticPr fontId="6" type="noConversion"/>
  </si>
  <si>
    <t>一级</t>
    <phoneticPr fontId="6" type="noConversion"/>
  </si>
  <si>
    <t>二级</t>
    <phoneticPr fontId="6" type="noConversion"/>
  </si>
  <si>
    <t>三级</t>
    <phoneticPr fontId="6" type="noConversion"/>
  </si>
  <si>
    <t>四级</t>
    <phoneticPr fontId="6" type="noConversion"/>
  </si>
  <si>
    <t>五级</t>
    <phoneticPr fontId="6" type="noConversion"/>
  </si>
  <si>
    <t>六级</t>
    <phoneticPr fontId="6" type="noConversion"/>
  </si>
  <si>
    <t>七级</t>
    <phoneticPr fontId="6" type="noConversion"/>
  </si>
  <si>
    <t>八级</t>
    <phoneticPr fontId="6" type="noConversion"/>
  </si>
  <si>
    <t>九级</t>
    <phoneticPr fontId="6" type="noConversion"/>
  </si>
  <si>
    <t>十级</t>
    <phoneticPr fontId="6" type="noConversion"/>
  </si>
  <si>
    <t>十一级</t>
    <phoneticPr fontId="6" type="noConversion"/>
  </si>
  <si>
    <t>十二级</t>
    <phoneticPr fontId="6" type="noConversion"/>
  </si>
  <si>
    <t>基准日期：2014年1月1日                                                    单位：元/建筑平方米</t>
    <phoneticPr fontId="6" type="noConversion"/>
  </si>
  <si>
    <t>Ⅰ—01</t>
    <phoneticPr fontId="6" type="noConversion"/>
  </si>
  <si>
    <t>Ⅱ—01</t>
    <phoneticPr fontId="6" type="noConversion"/>
  </si>
  <si>
    <t>Ⅲ—01</t>
    <phoneticPr fontId="6" type="noConversion"/>
  </si>
  <si>
    <t>Ⅳ-01</t>
    <phoneticPr fontId="6" type="noConversion"/>
  </si>
  <si>
    <t>Ⅴ-01</t>
    <phoneticPr fontId="6" type="noConversion"/>
  </si>
  <si>
    <t>Ⅵ-01</t>
    <phoneticPr fontId="6" type="noConversion"/>
  </si>
  <si>
    <t>Ⅶ-01</t>
    <phoneticPr fontId="6" type="noConversion"/>
  </si>
  <si>
    <t>Ⅷ-01</t>
    <phoneticPr fontId="6" type="noConversion"/>
  </si>
  <si>
    <t>Ⅸ-01</t>
    <phoneticPr fontId="6" type="noConversion"/>
  </si>
  <si>
    <t>Ⅹ-01</t>
    <phoneticPr fontId="6" type="noConversion"/>
  </si>
  <si>
    <t>Ⅺ-门1</t>
    <phoneticPr fontId="6" type="noConversion"/>
  </si>
  <si>
    <t>Ⅻ-门1</t>
    <phoneticPr fontId="6" type="noConversion"/>
  </si>
  <si>
    <t>级别</t>
    <phoneticPr fontId="6" type="noConversion"/>
  </si>
  <si>
    <t>商业</t>
    <phoneticPr fontId="6" type="noConversion"/>
  </si>
  <si>
    <t>办公</t>
    <phoneticPr fontId="6" type="noConversion"/>
  </si>
  <si>
    <t>居住</t>
    <phoneticPr fontId="6" type="noConversion"/>
  </si>
  <si>
    <t>工业</t>
    <phoneticPr fontId="6" type="noConversion"/>
  </si>
  <si>
    <t>Ⅰ—02</t>
    <phoneticPr fontId="6" type="noConversion"/>
  </si>
  <si>
    <t>Ⅱ—02</t>
  </si>
  <si>
    <t>Ⅲ—02</t>
  </si>
  <si>
    <t>Ⅳ-02</t>
  </si>
  <si>
    <t>Ⅴ-02</t>
  </si>
  <si>
    <t>Ⅵ-02</t>
  </si>
  <si>
    <t>Ⅶ-02</t>
  </si>
  <si>
    <t>Ⅷ-02</t>
  </si>
  <si>
    <t>Ⅸ-02</t>
  </si>
  <si>
    <t>Ⅹ-02</t>
  </si>
  <si>
    <t>Ⅺ-门斋</t>
    <phoneticPr fontId="6" type="noConversion"/>
  </si>
  <si>
    <t>Ⅻ-房1</t>
    <phoneticPr fontId="6" type="noConversion"/>
  </si>
  <si>
    <t>区片编号</t>
    <phoneticPr fontId="6" type="noConversion"/>
  </si>
  <si>
    <t>区片价格</t>
    <phoneticPr fontId="6" type="noConversion"/>
  </si>
  <si>
    <t>Ⅰ—03</t>
  </si>
  <si>
    <t>Ⅲ—03</t>
  </si>
  <si>
    <t>Ⅳ-03</t>
  </si>
  <si>
    <t>Ⅴ-03</t>
  </si>
  <si>
    <t>Ⅵ-03</t>
  </si>
  <si>
    <t>Ⅶ-03</t>
  </si>
  <si>
    <t>Ⅷ-03</t>
  </si>
  <si>
    <t>Ⅸ-门1</t>
    <phoneticPr fontId="6" type="noConversion"/>
  </si>
  <si>
    <t>Ⅹ-门1</t>
    <phoneticPr fontId="6" type="noConversion"/>
  </si>
  <si>
    <t>Ⅺ-房1</t>
    <phoneticPr fontId="6" type="noConversion"/>
  </si>
  <si>
    <t>Ⅻ-昌1</t>
    <phoneticPr fontId="6" type="noConversion"/>
  </si>
  <si>
    <t>一级</t>
  </si>
  <si>
    <t>Ⅰ—04</t>
  </si>
  <si>
    <t>Ⅱ—04</t>
  </si>
  <si>
    <t>Ⅲ—04</t>
  </si>
  <si>
    <t>Ⅳ-04</t>
  </si>
  <si>
    <t>Ⅴ-04</t>
  </si>
  <si>
    <t>Ⅵ-04</t>
  </si>
  <si>
    <t>Ⅶ-04</t>
  </si>
  <si>
    <t>Ⅷ-04</t>
  </si>
  <si>
    <t>Ⅸ-门2</t>
    <phoneticPr fontId="6" type="noConversion"/>
  </si>
  <si>
    <t>Ⅹ-房1</t>
    <phoneticPr fontId="6" type="noConversion"/>
  </si>
  <si>
    <t>Ⅺ-房2</t>
  </si>
  <si>
    <t>Ⅻ-平1</t>
    <phoneticPr fontId="6" type="noConversion"/>
  </si>
  <si>
    <t>Ⅰ—05</t>
  </si>
  <si>
    <t>Ⅱ—05</t>
  </si>
  <si>
    <t>Ⅲ—05</t>
  </si>
  <si>
    <t>Ⅳ-05</t>
  </si>
  <si>
    <t>Ⅴ-05</t>
  </si>
  <si>
    <t>Ⅵ-05</t>
  </si>
  <si>
    <t>Ⅶ-05</t>
  </si>
  <si>
    <t>Ⅷ-门1</t>
    <phoneticPr fontId="6" type="noConversion"/>
  </si>
  <si>
    <t>Ⅸ-门潭</t>
    <phoneticPr fontId="6" type="noConversion"/>
  </si>
  <si>
    <t>Ⅹ-房2</t>
  </si>
  <si>
    <t>Ⅺ-通1</t>
    <phoneticPr fontId="6" type="noConversion"/>
  </si>
  <si>
    <t>Ⅻ-怀1</t>
    <phoneticPr fontId="6" type="noConversion"/>
  </si>
  <si>
    <t>三级</t>
    <phoneticPr fontId="6" type="noConversion"/>
  </si>
  <si>
    <t>Ⅱ—06</t>
  </si>
  <si>
    <t>Ⅲ—06</t>
  </si>
  <si>
    <t>Ⅳ-06</t>
  </si>
  <si>
    <t>Ⅴ-06</t>
  </si>
  <si>
    <t>Ⅵ-06</t>
  </si>
  <si>
    <t>Ⅶ-06</t>
  </si>
  <si>
    <t>Ⅷ-门军</t>
    <phoneticPr fontId="6" type="noConversion"/>
  </si>
  <si>
    <t>Ⅸ-房1</t>
    <phoneticPr fontId="6" type="noConversion"/>
  </si>
  <si>
    <t>Ⅹ-通1</t>
    <phoneticPr fontId="6" type="noConversion"/>
  </si>
  <si>
    <t>Ⅺ-顺1</t>
    <phoneticPr fontId="6" type="noConversion"/>
  </si>
  <si>
    <t>Ⅻ-密1</t>
    <phoneticPr fontId="6" type="noConversion"/>
  </si>
  <si>
    <t>四级</t>
    <phoneticPr fontId="6" type="noConversion"/>
  </si>
  <si>
    <t>Ⅱ—07</t>
  </si>
  <si>
    <t>Ⅲ—07</t>
  </si>
  <si>
    <t>Ⅳ-07</t>
  </si>
  <si>
    <t>Ⅴ-07</t>
  </si>
  <si>
    <t>Ⅵ-07</t>
  </si>
  <si>
    <t>Ⅶ-07</t>
  </si>
  <si>
    <t>Ⅷ-房1</t>
    <phoneticPr fontId="6" type="noConversion"/>
  </si>
  <si>
    <t>Ⅸ-房2</t>
  </si>
  <si>
    <t>Ⅹ-顺1</t>
    <phoneticPr fontId="6" type="noConversion"/>
  </si>
  <si>
    <t>Ⅺ-兴1</t>
    <phoneticPr fontId="6" type="noConversion"/>
  </si>
  <si>
    <t>Ⅻ-延1</t>
    <phoneticPr fontId="6" type="noConversion"/>
  </si>
  <si>
    <t>五级</t>
    <phoneticPr fontId="6" type="noConversion"/>
  </si>
  <si>
    <t>Ⅱ—08</t>
  </si>
  <si>
    <t>Ⅲ—08</t>
  </si>
  <si>
    <t>Ⅳ-08</t>
  </si>
  <si>
    <t>Ⅴ-08</t>
  </si>
  <si>
    <t>Ⅵ-08</t>
  </si>
  <si>
    <t>Ⅶ-08</t>
  </si>
  <si>
    <t>Ⅷ-房2</t>
  </si>
  <si>
    <t>Ⅸ-房3</t>
  </si>
  <si>
    <t>Ⅹ-顺2</t>
  </si>
  <si>
    <t>Ⅺ-兴2</t>
    <phoneticPr fontId="6" type="noConversion"/>
  </si>
  <si>
    <t>二级</t>
  </si>
  <si>
    <t>Ⅱ—01</t>
    <phoneticPr fontId="6" type="noConversion"/>
  </si>
  <si>
    <t>六级</t>
    <phoneticPr fontId="6" type="noConversion"/>
  </si>
  <si>
    <t>Ⅱ—09</t>
  </si>
  <si>
    <t>Ⅲ—09</t>
  </si>
  <si>
    <t>Ⅳ-09</t>
  </si>
  <si>
    <t>Ⅴ-09</t>
  </si>
  <si>
    <t>Ⅵ-09</t>
  </si>
  <si>
    <t>Ⅶ-09</t>
  </si>
  <si>
    <t>Ⅷ-房3</t>
  </si>
  <si>
    <t>Ⅸ-房4</t>
  </si>
  <si>
    <t>Ⅹ-顺3</t>
  </si>
  <si>
    <t>Ⅺ-昌1</t>
    <phoneticPr fontId="6" type="noConversion"/>
  </si>
  <si>
    <t>七级</t>
    <phoneticPr fontId="6" type="noConversion"/>
  </si>
  <si>
    <t>Ⅱ—10</t>
  </si>
  <si>
    <t>Ⅲ—10</t>
  </si>
  <si>
    <t>Ⅳ-10</t>
  </si>
  <si>
    <t>Ⅴ-10</t>
  </si>
  <si>
    <t>Ⅵ-10</t>
  </si>
  <si>
    <t>Ⅶ-10</t>
  </si>
  <si>
    <t>Ⅷ-通1</t>
    <phoneticPr fontId="6" type="noConversion"/>
  </si>
  <si>
    <t>Ⅸ-房5</t>
  </si>
  <si>
    <t>Ⅹ-兴1</t>
    <phoneticPr fontId="6" type="noConversion"/>
  </si>
  <si>
    <t>Ⅺ-昌2</t>
  </si>
  <si>
    <t>八级</t>
    <phoneticPr fontId="6" type="noConversion"/>
  </si>
  <si>
    <t>Ⅱ—11</t>
  </si>
  <si>
    <t>Ⅲ—11</t>
  </si>
  <si>
    <t>Ⅳ-11</t>
  </si>
  <si>
    <t>Ⅴ-11</t>
  </si>
  <si>
    <t>Ⅵ-11</t>
  </si>
  <si>
    <t>Ⅶ-11</t>
  </si>
  <si>
    <t>Ⅷ-通2</t>
  </si>
  <si>
    <t>Ⅸ-房6</t>
  </si>
  <si>
    <t>Ⅹ-兴2</t>
  </si>
  <si>
    <t>Ⅺ-平1</t>
    <phoneticPr fontId="6" type="noConversion"/>
  </si>
  <si>
    <t>九级</t>
    <phoneticPr fontId="6" type="noConversion"/>
  </si>
  <si>
    <t>Ⅱ—12</t>
  </si>
  <si>
    <t>Ⅲ—12</t>
  </si>
  <si>
    <t>Ⅳ-12</t>
  </si>
  <si>
    <t>Ⅴ-12</t>
  </si>
  <si>
    <t>Ⅵ-12</t>
  </si>
  <si>
    <t>Ⅶ-12</t>
  </si>
  <si>
    <t>Ⅷ-通3</t>
  </si>
  <si>
    <t>Ⅸ-通1</t>
    <phoneticPr fontId="6" type="noConversion"/>
  </si>
  <si>
    <t>Ⅹ-昌1</t>
    <phoneticPr fontId="6" type="noConversion"/>
  </si>
  <si>
    <t>Ⅺ-平2</t>
  </si>
  <si>
    <t>十级</t>
    <phoneticPr fontId="6" type="noConversion"/>
  </si>
  <si>
    <t>Ⅱ—13</t>
  </si>
  <si>
    <t>Ⅲ—13</t>
  </si>
  <si>
    <t>Ⅳ-13</t>
  </si>
  <si>
    <t>Ⅴ-13</t>
  </si>
  <si>
    <t>Ⅵ-13</t>
  </si>
  <si>
    <t>Ⅶ-13</t>
  </si>
  <si>
    <t>Ⅷ-顺1</t>
    <phoneticPr fontId="6" type="noConversion"/>
  </si>
  <si>
    <t>Ⅸ-通2</t>
  </si>
  <si>
    <t>Ⅹ-昌2</t>
  </si>
  <si>
    <t>Ⅺ-平3</t>
  </si>
  <si>
    <t>十一级</t>
    <phoneticPr fontId="6" type="noConversion"/>
  </si>
  <si>
    <t>Ⅱ—14</t>
  </si>
  <si>
    <t>Ⅲ—14</t>
  </si>
  <si>
    <t>Ⅳ-14</t>
  </si>
  <si>
    <t>Ⅴ-14</t>
  </si>
  <si>
    <t>Ⅵ-14</t>
  </si>
  <si>
    <t>Ⅶ-门1</t>
    <phoneticPr fontId="6" type="noConversion"/>
  </si>
  <si>
    <t>Ⅷ-顺2</t>
  </si>
  <si>
    <t>Ⅸ-通3</t>
  </si>
  <si>
    <t>Ⅹ-昌3</t>
  </si>
  <si>
    <t>Ⅺ-平4</t>
  </si>
  <si>
    <t>十二级</t>
    <phoneticPr fontId="6" type="noConversion"/>
  </si>
  <si>
    <t>Ⅱ—15</t>
  </si>
  <si>
    <t>Ⅲ—15</t>
  </si>
  <si>
    <t>Ⅳ-15</t>
  </si>
  <si>
    <t>Ⅴ-15</t>
  </si>
  <si>
    <t>Ⅵ-15</t>
  </si>
  <si>
    <t>Ⅶ-房1</t>
    <phoneticPr fontId="6" type="noConversion"/>
  </si>
  <si>
    <t>Ⅷ-顺3</t>
    <phoneticPr fontId="6" type="noConversion"/>
  </si>
  <si>
    <t>Ⅸ-顺1</t>
    <phoneticPr fontId="6" type="noConversion"/>
  </si>
  <si>
    <t>Ⅹ-平1</t>
    <phoneticPr fontId="6" type="noConversion"/>
  </si>
  <si>
    <t>Ⅺ-怀1</t>
    <phoneticPr fontId="6" type="noConversion"/>
  </si>
  <si>
    <t>Ⅱ—16</t>
  </si>
  <si>
    <t>Ⅲ—16</t>
  </si>
  <si>
    <t>Ⅳ-16</t>
  </si>
  <si>
    <t>Ⅴ-16</t>
  </si>
  <si>
    <t>Ⅵ-16</t>
  </si>
  <si>
    <t>Ⅶ-房2</t>
  </si>
  <si>
    <t>Ⅷ-顺4</t>
  </si>
  <si>
    <t>Ⅸ-顺2</t>
  </si>
  <si>
    <t>Ⅹ-平2</t>
  </si>
  <si>
    <t>Ⅺ-怀2</t>
  </si>
  <si>
    <t>Ⅱ—17</t>
  </si>
  <si>
    <t>Ⅲ—17</t>
  </si>
  <si>
    <t>Ⅳ-17</t>
  </si>
  <si>
    <t>Ⅴ-17</t>
  </si>
  <si>
    <t>Ⅵ-17</t>
  </si>
  <si>
    <t>Ⅶ-通1</t>
    <phoneticPr fontId="6" type="noConversion"/>
  </si>
  <si>
    <t>Ⅷ-顺5</t>
  </si>
  <si>
    <t>Ⅸ-顺3</t>
  </si>
  <si>
    <t>Ⅹ-怀1</t>
    <phoneticPr fontId="6" type="noConversion"/>
  </si>
  <si>
    <t>Ⅺ-密1</t>
    <phoneticPr fontId="6" type="noConversion"/>
  </si>
  <si>
    <t>Ⅱ—18</t>
  </si>
  <si>
    <t>Ⅲ—18</t>
  </si>
  <si>
    <t>Ⅳ-18</t>
  </si>
  <si>
    <t>Ⅴ-18</t>
  </si>
  <si>
    <t>Ⅵ-18</t>
  </si>
  <si>
    <t>Ⅶ-顺1</t>
    <phoneticPr fontId="6" type="noConversion"/>
  </si>
  <si>
    <t>Ⅷ-顺6</t>
  </si>
  <si>
    <t>Ⅸ-顺4</t>
  </si>
  <si>
    <t>Ⅹ-怀2</t>
  </si>
  <si>
    <t>Ⅺ-密2</t>
  </si>
  <si>
    <t>Ⅱ—19</t>
  </si>
  <si>
    <t>Ⅲ—19</t>
  </si>
  <si>
    <t>Ⅳ-19</t>
  </si>
  <si>
    <t>Ⅴ-19</t>
  </si>
  <si>
    <t>Ⅵ-19</t>
  </si>
  <si>
    <t>Ⅶ-顺2</t>
  </si>
  <si>
    <t>Ⅷ-顺7</t>
  </si>
  <si>
    <t>Ⅸ-兴1</t>
    <phoneticPr fontId="6" type="noConversion"/>
  </si>
  <si>
    <t>Ⅹ-怀3</t>
  </si>
  <si>
    <t>Ⅺ-密3</t>
  </si>
  <si>
    <t>Ⅲ—20</t>
  </si>
  <si>
    <t>Ⅳ-20</t>
  </si>
  <si>
    <t>Ⅴ-20</t>
  </si>
  <si>
    <t>Ⅵ-20</t>
  </si>
  <si>
    <t>Ⅶ-兴1</t>
    <phoneticPr fontId="6" type="noConversion"/>
  </si>
  <si>
    <t>Ⅷ-兴1</t>
    <phoneticPr fontId="6" type="noConversion"/>
  </si>
  <si>
    <t>Ⅸ-兴2</t>
  </si>
  <si>
    <t>Ⅹ-密1</t>
    <phoneticPr fontId="6" type="noConversion"/>
  </si>
  <si>
    <t>Ⅺ-延1</t>
    <phoneticPr fontId="6" type="noConversion"/>
  </si>
  <si>
    <t>Ⅱ—13</t>
    <phoneticPr fontId="6" type="noConversion"/>
  </si>
  <si>
    <t>Ⅳ-21</t>
  </si>
  <si>
    <t>Ⅴ-21</t>
  </si>
  <si>
    <t>Ⅵ-21</t>
  </si>
  <si>
    <t>Ⅶ-兴2</t>
  </si>
  <si>
    <t>Ⅷ-兴2</t>
  </si>
  <si>
    <t>Ⅸ-兴3</t>
  </si>
  <si>
    <t>Ⅹ-延1</t>
    <phoneticPr fontId="6" type="noConversion"/>
  </si>
  <si>
    <t>Ⅺ-延2</t>
  </si>
  <si>
    <t>Ⅳ-22</t>
  </si>
  <si>
    <t>Ⅴ-22</t>
  </si>
  <si>
    <t>Ⅵ-22</t>
  </si>
  <si>
    <t>Ⅶ-兴3</t>
  </si>
  <si>
    <t>Ⅷ-昌1</t>
    <phoneticPr fontId="6" type="noConversion"/>
  </si>
  <si>
    <t>Ⅸ-兴4</t>
  </si>
  <si>
    <t>Ⅹ-延2</t>
  </si>
  <si>
    <t>Ⅳ-23</t>
  </si>
  <si>
    <t>Ⅴ-23</t>
  </si>
  <si>
    <t>Ⅵ-23</t>
  </si>
  <si>
    <t>Ⅶ-昌1</t>
    <phoneticPr fontId="6" type="noConversion"/>
  </si>
  <si>
    <t>Ⅷ-昌2</t>
  </si>
  <si>
    <t>Ⅸ-兴5</t>
  </si>
  <si>
    <t>Ⅹ-亦1</t>
    <phoneticPr fontId="6" type="noConversion"/>
  </si>
  <si>
    <t>Ⅳ-电子城东</t>
    <phoneticPr fontId="6" type="noConversion"/>
  </si>
  <si>
    <t>Ⅴ-24</t>
  </si>
  <si>
    <t>Ⅵ-24</t>
  </si>
  <si>
    <t>Ⅶ-昌2</t>
  </si>
  <si>
    <t>Ⅷ-昌3</t>
  </si>
  <si>
    <t>Ⅸ-昌1</t>
    <phoneticPr fontId="6" type="noConversion"/>
  </si>
  <si>
    <t>Ⅹ-马坊工业园</t>
    <phoneticPr fontId="6" type="noConversion"/>
  </si>
  <si>
    <t>Ⅳ-电子城西</t>
    <phoneticPr fontId="6" type="noConversion"/>
  </si>
  <si>
    <t>Ⅴ-25</t>
  </si>
  <si>
    <t>Ⅵ-通1</t>
    <phoneticPr fontId="6" type="noConversion"/>
  </si>
  <si>
    <t>Ⅶ-昌3</t>
  </si>
  <si>
    <t>Ⅷ-昌4</t>
  </si>
  <si>
    <t>Ⅸ-昌2</t>
  </si>
  <si>
    <t>Ⅹ-延庆开发区</t>
    <phoneticPr fontId="6" type="noConversion"/>
  </si>
  <si>
    <t>Ⅳ-上地核心</t>
    <phoneticPr fontId="6" type="noConversion"/>
  </si>
  <si>
    <t>Ⅴ-26</t>
  </si>
  <si>
    <t>Ⅵ-通2</t>
  </si>
  <si>
    <t>Ⅶ-昌4</t>
  </si>
  <si>
    <t>Ⅷ-平1</t>
    <phoneticPr fontId="6" type="noConversion"/>
  </si>
  <si>
    <t>Ⅸ-昌3</t>
  </si>
  <si>
    <t>Ⅹ-八达岭开发区</t>
    <phoneticPr fontId="6" type="noConversion"/>
  </si>
  <si>
    <t>Ⅳ-丰台园东</t>
    <phoneticPr fontId="6" type="noConversion"/>
  </si>
  <si>
    <t>Ⅴ-电子城北</t>
    <phoneticPr fontId="6" type="noConversion"/>
  </si>
  <si>
    <t>Ⅵ-通3</t>
  </si>
  <si>
    <t>Ⅶ-昌5</t>
  </si>
  <si>
    <t>Ⅷ-怀1</t>
    <phoneticPr fontId="6" type="noConversion"/>
  </si>
  <si>
    <t>Ⅸ-昌4</t>
  </si>
  <si>
    <t>三级</t>
  </si>
  <si>
    <t>Ⅲ—01</t>
    <phoneticPr fontId="6" type="noConversion"/>
  </si>
  <si>
    <t>Ⅴ-永丰产业基地</t>
    <phoneticPr fontId="6" type="noConversion"/>
  </si>
  <si>
    <t>Ⅵ-通4</t>
  </si>
  <si>
    <t>Ⅶ-亦1</t>
    <phoneticPr fontId="6" type="noConversion"/>
  </si>
  <si>
    <t>Ⅷ-密1</t>
    <phoneticPr fontId="6" type="noConversion"/>
  </si>
  <si>
    <t>Ⅸ-昌5</t>
  </si>
  <si>
    <t>Ⅴ-航天城</t>
    <phoneticPr fontId="6" type="noConversion"/>
  </si>
  <si>
    <t>Ⅵ-顺1</t>
    <phoneticPr fontId="6" type="noConversion"/>
  </si>
  <si>
    <t>Ⅶ-国际教育园</t>
    <phoneticPr fontId="6" type="noConversion"/>
  </si>
  <si>
    <t>Ⅸ-昌南</t>
    <phoneticPr fontId="6" type="noConversion"/>
  </si>
  <si>
    <r>
      <t>Ⅴ-西北旺</t>
    </r>
    <r>
      <rPr>
        <sz val="10"/>
        <color indexed="8"/>
        <rFont val="宋体"/>
        <family val="3"/>
        <charset val="134"/>
      </rPr>
      <t>Ⅰ</t>
    </r>
    <phoneticPr fontId="6" type="noConversion"/>
  </si>
  <si>
    <t>Ⅵ-兴1</t>
    <phoneticPr fontId="6" type="noConversion"/>
  </si>
  <si>
    <t>Ⅶ-农林园</t>
    <phoneticPr fontId="6" type="noConversion"/>
  </si>
  <si>
    <t>Ⅷ-亦1</t>
    <phoneticPr fontId="6" type="noConversion"/>
  </si>
  <si>
    <t>Ⅸ-平1</t>
    <phoneticPr fontId="6" type="noConversion"/>
  </si>
  <si>
    <r>
      <t>Ⅴ-西北旺</t>
    </r>
    <r>
      <rPr>
        <sz val="10"/>
        <color indexed="8"/>
        <rFont val="宋体"/>
        <family val="3"/>
        <charset val="134"/>
      </rPr>
      <t>Ⅱ</t>
    </r>
    <phoneticPr fontId="6" type="noConversion"/>
  </si>
  <si>
    <t>Ⅵ-昌1</t>
    <phoneticPr fontId="6" type="noConversion"/>
  </si>
  <si>
    <t>Ⅶ-上庄科技</t>
    <phoneticPr fontId="6" type="noConversion"/>
  </si>
  <si>
    <t>Ⅷ-亦2</t>
  </si>
  <si>
    <t>Ⅸ-怀1</t>
    <phoneticPr fontId="6" type="noConversion"/>
  </si>
  <si>
    <t>Ⅴ-石景山园南区</t>
    <phoneticPr fontId="6" type="noConversion"/>
  </si>
  <si>
    <t>Ⅵ-昌2</t>
  </si>
  <si>
    <t>Ⅶ-文化教育基地</t>
    <phoneticPr fontId="6" type="noConversion"/>
  </si>
  <si>
    <t>Ⅷ-良乡开发区A</t>
    <phoneticPr fontId="6" type="noConversion"/>
  </si>
  <si>
    <t>Ⅸ-密1</t>
    <phoneticPr fontId="6" type="noConversion"/>
  </si>
  <si>
    <r>
      <t>Ⅴ-石景山园北</t>
    </r>
    <r>
      <rPr>
        <sz val="10"/>
        <color indexed="8"/>
        <rFont val="宋体"/>
        <family val="3"/>
        <charset val="134"/>
      </rPr>
      <t>Ⅰ</t>
    </r>
    <phoneticPr fontId="6" type="noConversion"/>
  </si>
  <si>
    <t>Ⅵ-昌3</t>
  </si>
  <si>
    <r>
      <t>Ⅶ-苏家坨科技</t>
    </r>
    <r>
      <rPr>
        <sz val="10"/>
        <color indexed="8"/>
        <rFont val="宋体"/>
        <family val="3"/>
        <charset val="134"/>
      </rPr>
      <t>Ⅰ</t>
    </r>
    <phoneticPr fontId="6" type="noConversion"/>
  </si>
  <si>
    <t>Ⅷ-良乡开发区B</t>
    <phoneticPr fontId="6" type="noConversion"/>
  </si>
  <si>
    <t>Ⅸ-延1</t>
    <phoneticPr fontId="6" type="noConversion"/>
  </si>
  <si>
    <r>
      <t>Ⅴ-石景山园北</t>
    </r>
    <r>
      <rPr>
        <sz val="10"/>
        <color indexed="8"/>
        <rFont val="宋体"/>
        <family val="3"/>
        <charset val="134"/>
      </rPr>
      <t>Ⅱ</t>
    </r>
    <phoneticPr fontId="6" type="noConversion"/>
  </si>
  <si>
    <t>Ⅵ-昌4</t>
  </si>
  <si>
    <r>
      <t>Ⅶ-苏家坨科技</t>
    </r>
    <r>
      <rPr>
        <sz val="10"/>
        <color indexed="8"/>
        <rFont val="宋体"/>
        <family val="3"/>
        <charset val="134"/>
      </rPr>
      <t>Ⅱ</t>
    </r>
    <phoneticPr fontId="6" type="noConversion"/>
  </si>
  <si>
    <t>Ⅷ-良乡开发区C</t>
    <phoneticPr fontId="6" type="noConversion"/>
  </si>
  <si>
    <t>Ⅸ-亦1</t>
    <phoneticPr fontId="6" type="noConversion"/>
  </si>
  <si>
    <t>Ⅵ-亦1</t>
    <phoneticPr fontId="6" type="noConversion"/>
  </si>
  <si>
    <r>
      <t>Ⅶ-丰台园西</t>
    </r>
    <r>
      <rPr>
        <sz val="10"/>
        <color indexed="8"/>
        <rFont val="宋体"/>
        <family val="3"/>
        <charset val="134"/>
      </rPr>
      <t>Ⅰ</t>
    </r>
    <phoneticPr fontId="6" type="noConversion"/>
  </si>
  <si>
    <t>Ⅷ-通州环保园</t>
    <phoneticPr fontId="6" type="noConversion"/>
  </si>
  <si>
    <t>Ⅸ-房山工业园东</t>
    <phoneticPr fontId="6" type="noConversion"/>
  </si>
  <si>
    <t>Ⅵ-创新园</t>
    <phoneticPr fontId="6" type="noConversion"/>
  </si>
  <si>
    <r>
      <t>Ⅶ-丰台园西</t>
    </r>
    <r>
      <rPr>
        <sz val="10"/>
        <color indexed="8"/>
        <rFont val="宋体"/>
        <family val="3"/>
        <charset val="134"/>
      </rPr>
      <t>Ⅱ</t>
    </r>
    <phoneticPr fontId="6" type="noConversion"/>
  </si>
  <si>
    <t>Ⅷ-空港北区A</t>
    <phoneticPr fontId="6" type="noConversion"/>
  </si>
  <si>
    <t>Ⅸ-房山工业园西</t>
    <phoneticPr fontId="6" type="noConversion"/>
  </si>
  <si>
    <t>Ⅵ-海淀环保园</t>
    <phoneticPr fontId="6" type="noConversion"/>
  </si>
  <si>
    <t>Ⅶ-石龙开发区</t>
    <phoneticPr fontId="6" type="noConversion"/>
  </si>
  <si>
    <t>Ⅷ-空港北区B</t>
    <phoneticPr fontId="6" type="noConversion"/>
  </si>
  <si>
    <t>Ⅸ-通州开发区东</t>
    <phoneticPr fontId="6" type="noConversion"/>
  </si>
  <si>
    <r>
      <t>Ⅵ-温泉科技</t>
    </r>
    <r>
      <rPr>
        <sz val="10"/>
        <color indexed="8"/>
        <rFont val="宋体"/>
        <family val="3"/>
        <charset val="134"/>
      </rPr>
      <t>Ⅰ</t>
    </r>
    <phoneticPr fontId="6" type="noConversion"/>
  </si>
  <si>
    <t>Ⅶ-光机电</t>
    <phoneticPr fontId="6" type="noConversion"/>
  </si>
  <si>
    <t>Ⅷ-生物医药基地</t>
    <phoneticPr fontId="6" type="noConversion"/>
  </si>
  <si>
    <t>Ⅸ-永乐开发区</t>
    <phoneticPr fontId="6" type="noConversion"/>
  </si>
  <si>
    <r>
      <t>Ⅵ-温泉科技</t>
    </r>
    <r>
      <rPr>
        <sz val="10"/>
        <color indexed="8"/>
        <rFont val="宋体"/>
        <family val="3"/>
        <charset val="134"/>
      </rPr>
      <t>Ⅱ</t>
    </r>
    <phoneticPr fontId="6" type="noConversion"/>
  </si>
  <si>
    <t>Ⅶ-通州开发区西</t>
    <phoneticPr fontId="6" type="noConversion"/>
  </si>
  <si>
    <t>Ⅷ-小汤山工业园</t>
    <phoneticPr fontId="6" type="noConversion"/>
  </si>
  <si>
    <t>Ⅸ-采育开发区</t>
    <phoneticPr fontId="6" type="noConversion"/>
  </si>
  <si>
    <r>
      <t>Ⅵ-温泉科技</t>
    </r>
    <r>
      <rPr>
        <sz val="10"/>
        <color indexed="8"/>
        <rFont val="宋体"/>
        <family val="3"/>
        <charset val="134"/>
      </rPr>
      <t>Ⅲ</t>
    </r>
    <phoneticPr fontId="6" type="noConversion"/>
  </si>
  <si>
    <t>Ⅶ-林河开发区</t>
    <phoneticPr fontId="6" type="noConversion"/>
  </si>
  <si>
    <t>Ⅸ-兴谷开发区A</t>
    <phoneticPr fontId="6" type="noConversion"/>
  </si>
  <si>
    <t>Ⅵ-天竺保税区南</t>
    <phoneticPr fontId="6" type="noConversion"/>
  </si>
  <si>
    <t>Ⅶ-大兴开发区</t>
    <phoneticPr fontId="6" type="noConversion"/>
  </si>
  <si>
    <t>Ⅸ-兴谷开发区B</t>
    <phoneticPr fontId="6" type="noConversion"/>
  </si>
  <si>
    <t>Ⅵ-天竺保税区北1</t>
    <phoneticPr fontId="6" type="noConversion"/>
  </si>
  <si>
    <r>
      <t>Ⅶ-昌平园南</t>
    </r>
    <r>
      <rPr>
        <sz val="10"/>
        <color indexed="8"/>
        <rFont val="宋体"/>
        <family val="3"/>
        <charset val="134"/>
      </rPr>
      <t>Ⅰ</t>
    </r>
    <phoneticPr fontId="6" type="noConversion"/>
  </si>
  <si>
    <t>Ⅸ-雁栖开发区A</t>
    <phoneticPr fontId="6" type="noConversion"/>
  </si>
  <si>
    <t>Ⅵ-天竺保税区北2</t>
  </si>
  <si>
    <r>
      <t>Ⅶ-昌平园南</t>
    </r>
    <r>
      <rPr>
        <sz val="10"/>
        <color indexed="8"/>
        <rFont val="宋体"/>
        <family val="3"/>
        <charset val="134"/>
      </rPr>
      <t>Ⅱ</t>
    </r>
    <phoneticPr fontId="6" type="noConversion"/>
  </si>
  <si>
    <t>Ⅸ-雁栖开发区B</t>
    <phoneticPr fontId="6" type="noConversion"/>
  </si>
  <si>
    <t>Ⅵ-空港A</t>
    <phoneticPr fontId="6" type="noConversion"/>
  </si>
  <si>
    <r>
      <t>Ⅶ-昌平园北</t>
    </r>
    <r>
      <rPr>
        <sz val="10"/>
        <color indexed="8"/>
        <rFont val="宋体"/>
        <family val="3"/>
        <charset val="134"/>
      </rPr>
      <t>Ⅰ</t>
    </r>
    <phoneticPr fontId="6" type="noConversion"/>
  </si>
  <si>
    <t>Ⅸ-雁栖开发区C</t>
    <phoneticPr fontId="6" type="noConversion"/>
  </si>
  <si>
    <t>Ⅵ-空港B</t>
    <phoneticPr fontId="6" type="noConversion"/>
  </si>
  <si>
    <r>
      <t>Ⅶ-昌平园北</t>
    </r>
    <r>
      <rPr>
        <sz val="10"/>
        <color indexed="8"/>
        <rFont val="宋体"/>
        <family val="3"/>
        <charset val="134"/>
      </rPr>
      <t>Ⅱ</t>
    </r>
    <phoneticPr fontId="6" type="noConversion"/>
  </si>
  <si>
    <t>Ⅸ-密云开发区</t>
    <phoneticPr fontId="6" type="noConversion"/>
  </si>
  <si>
    <t>Ⅵ-生命科学园</t>
    <phoneticPr fontId="6" type="noConversion"/>
  </si>
  <si>
    <r>
      <t>Ⅶ-昌平园北</t>
    </r>
    <r>
      <rPr>
        <sz val="10"/>
        <color indexed="8"/>
        <rFont val="宋体"/>
        <family val="3"/>
        <charset val="134"/>
      </rPr>
      <t>Ⅲ</t>
    </r>
    <phoneticPr fontId="6" type="noConversion"/>
  </si>
  <si>
    <t>Ⅵ-昌三一光电</t>
    <phoneticPr fontId="6" type="noConversion"/>
  </si>
  <si>
    <t>Ⅶ-BDA东</t>
    <phoneticPr fontId="6" type="noConversion"/>
  </si>
  <si>
    <t>Ⅳ-01</t>
    <phoneticPr fontId="6" type="noConversion"/>
  </si>
  <si>
    <t>Ⅵ-BDA核心</t>
    <phoneticPr fontId="6" type="noConversion"/>
  </si>
  <si>
    <t>Ⅶ-BDA西</t>
    <phoneticPr fontId="6" type="noConversion"/>
  </si>
  <si>
    <t>五级</t>
  </si>
  <si>
    <t>Ⅴ-01</t>
    <phoneticPr fontId="6" type="noConversion"/>
  </si>
  <si>
    <t>Ⅵ-01</t>
    <phoneticPr fontId="6" type="noConversion"/>
  </si>
  <si>
    <t>七级</t>
  </si>
  <si>
    <t>Ⅶ-01</t>
    <phoneticPr fontId="6" type="noConversion"/>
  </si>
  <si>
    <t>八级</t>
  </si>
  <si>
    <t>Ⅷ-01</t>
    <phoneticPr fontId="6" type="noConversion"/>
  </si>
  <si>
    <t>九级</t>
  </si>
  <si>
    <t>Ⅸ-01</t>
    <phoneticPr fontId="6" type="noConversion"/>
  </si>
  <si>
    <t>Ⅸ-门1</t>
    <phoneticPr fontId="6" type="noConversion"/>
  </si>
  <si>
    <t>Ⅸ-门2</t>
    <phoneticPr fontId="6" type="noConversion"/>
  </si>
  <si>
    <t>十级</t>
  </si>
  <si>
    <t>Ⅹ-01</t>
    <phoneticPr fontId="6" type="noConversion"/>
  </si>
  <si>
    <t>Ⅹ-门1</t>
    <phoneticPr fontId="6" type="noConversion"/>
  </si>
  <si>
    <t>Ⅹ-门斋</t>
    <phoneticPr fontId="6" type="noConversion"/>
  </si>
  <si>
    <t>Ⅹ-房1</t>
    <phoneticPr fontId="6" type="noConversion"/>
  </si>
  <si>
    <t>Ⅺ-门1</t>
    <phoneticPr fontId="6" type="noConversion"/>
  </si>
  <si>
    <t>Ⅺ-门斋</t>
    <phoneticPr fontId="6" type="noConversion"/>
  </si>
  <si>
    <t>Ⅺ-房1</t>
    <phoneticPr fontId="6" type="noConversion"/>
  </si>
  <si>
    <t>Ⅻ-门1</t>
    <phoneticPr fontId="6" type="noConversion"/>
  </si>
  <si>
    <t>Ⅻ-房1</t>
    <phoneticPr fontId="6" type="noConversion"/>
  </si>
  <si>
    <t>Ⅻ-昌1</t>
    <phoneticPr fontId="6" type="noConversion"/>
  </si>
  <si>
    <t>Ⅻ-平1</t>
    <phoneticPr fontId="6" type="noConversion"/>
  </si>
  <si>
    <t>土地级别</t>
    <phoneticPr fontId="6" type="noConversion"/>
  </si>
  <si>
    <t>通路</t>
    <phoneticPr fontId="6" type="noConversion"/>
  </si>
  <si>
    <t>通电</t>
    <phoneticPr fontId="6" type="noConversion"/>
  </si>
  <si>
    <t>通讯</t>
    <phoneticPr fontId="6" type="noConversion"/>
  </si>
  <si>
    <t>通上水</t>
    <phoneticPr fontId="6" type="noConversion"/>
  </si>
  <si>
    <t>通下水</t>
    <phoneticPr fontId="6" type="noConversion"/>
  </si>
  <si>
    <t>通热</t>
    <phoneticPr fontId="6" type="noConversion"/>
  </si>
  <si>
    <t>燃气</t>
    <phoneticPr fontId="6" type="noConversion"/>
  </si>
  <si>
    <t>平整</t>
    <phoneticPr fontId="6" type="noConversion"/>
  </si>
  <si>
    <t>——</t>
    <phoneticPr fontId="6" type="noConversion"/>
  </si>
  <si>
    <t>北京市基准地价用途修正系数表</t>
    <phoneticPr fontId="6" type="noConversion"/>
  </si>
  <si>
    <t>用途</t>
    <phoneticPr fontId="6" type="noConversion"/>
  </si>
  <si>
    <t>用途类别划分</t>
    <phoneticPr fontId="6" type="noConversion"/>
  </si>
  <si>
    <t>用途修正  系数</t>
    <phoneticPr fontId="6" type="noConversion"/>
  </si>
  <si>
    <t>比准类别</t>
    <phoneticPr fontId="6" type="noConversion"/>
  </si>
  <si>
    <t>批发零售用地</t>
    <phoneticPr fontId="6" type="noConversion"/>
  </si>
  <si>
    <t>（指主要用于商品批发、零售的用地，包括商场、商店、超市、各类批发（零售）市场、加油站等及其附属的小型仓库、车间、工场等）</t>
    <phoneticPr fontId="6" type="noConversion"/>
  </si>
  <si>
    <t>其他类别</t>
    <phoneticPr fontId="6" type="noConversion"/>
  </si>
  <si>
    <t>住宿餐饮用地</t>
    <phoneticPr fontId="6" type="noConversion"/>
  </si>
  <si>
    <t>（指主要用于提供住宿、餐饮服务的用地，包括宾馆、酒店、饭店、旅馆、招待所、度假村、餐厅、酒吧等）</t>
    <phoneticPr fontId="6" type="noConversion"/>
  </si>
  <si>
    <t>商务金融用地（商业类）</t>
    <phoneticPr fontId="6" type="noConversion"/>
  </si>
  <si>
    <t>（指金融、证券、通讯、保险等营业网点用地）</t>
    <phoneticPr fontId="6" type="noConversion"/>
  </si>
  <si>
    <t>其他商服用地</t>
    <phoneticPr fontId="6" type="noConversion"/>
  </si>
  <si>
    <t>（指上述用地以外的其他商业、服务业用地，包括洗车场、洗染店、废旧物资回收站、维修网点、照相馆、理发美容店、洗浴场所、俱乐部、康乐中心、歌舞厅、赛车场、影视基地、影剧院、邮政、电信营业网点等）</t>
    <phoneticPr fontId="6" type="noConversion"/>
  </si>
  <si>
    <t>殡葬用地等特殊用地</t>
    <phoneticPr fontId="6" type="noConversion"/>
  </si>
  <si>
    <t>商务金融用地（办公类）</t>
    <phoneticPr fontId="6" type="noConversion"/>
  </si>
  <si>
    <t>（指企业、服务业等办公用地，以及经营性的办公场所用地，包括写字楼、商业性办公楼和企业厂区外独立的办公楼）</t>
    <phoneticPr fontId="6" type="noConversion"/>
  </si>
  <si>
    <t>其他商服用地（停车场、停车楼等用地）</t>
    <phoneticPr fontId="6" type="noConversion"/>
  </si>
  <si>
    <t>其他商服用地（指展览馆、会展中心等用地）</t>
    <phoneticPr fontId="6" type="noConversion"/>
  </si>
  <si>
    <t>机场航站楼用地</t>
    <phoneticPr fontId="6" type="noConversion"/>
  </si>
  <si>
    <t>科教用地</t>
    <phoneticPr fontId="6" type="noConversion"/>
  </si>
  <si>
    <t>（指用于各类教育，独立的科研、勘测、设计、技术推广、科普等的用地）</t>
    <phoneticPr fontId="6" type="noConversion"/>
  </si>
  <si>
    <t>新闻出版用地</t>
    <phoneticPr fontId="6" type="noConversion"/>
  </si>
  <si>
    <t>（指用于广播电台、电视台、电影厂、报社、杂志社、通讯社、出版社等的用地）、</t>
    <phoneticPr fontId="6" type="noConversion"/>
  </si>
  <si>
    <t>机关团体用地</t>
    <phoneticPr fontId="6" type="noConversion"/>
  </si>
  <si>
    <t>（指用于党政机关、社会团体、群众自治组织等的用地）</t>
    <phoneticPr fontId="6" type="noConversion"/>
  </si>
  <si>
    <t>医卫慈善用地</t>
    <phoneticPr fontId="6" type="noConversion"/>
  </si>
  <si>
    <t>（指用于医疗保健、卫生防疫、急救康复、医检药检、福利救助、养老设施等的用地）</t>
    <phoneticPr fontId="6" type="noConversion"/>
  </si>
  <si>
    <t>文体娱乐用地</t>
    <phoneticPr fontId="6" type="noConversion"/>
  </si>
  <si>
    <t>（指各类文化、体育及公共广场用地）</t>
    <phoneticPr fontId="6" type="noConversion"/>
  </si>
  <si>
    <t>产业用地</t>
    <phoneticPr fontId="6" type="noConversion"/>
  </si>
  <si>
    <t>（指高新技术产业研发与展示中心等产业用地）</t>
    <phoneticPr fontId="6" type="noConversion"/>
  </si>
  <si>
    <t>居住用地（指二类居住用地）</t>
    <phoneticPr fontId="6" type="noConversion"/>
  </si>
  <si>
    <t>（指二类居住用地（地上容积率≥１。）</t>
    <phoneticPr fontId="6" type="noConversion"/>
  </si>
  <si>
    <t>居住用地（指一类居住用地）</t>
    <phoneticPr fontId="6" type="noConversion"/>
  </si>
  <si>
    <t>（指一类居住用地（地上容积率＜１。）</t>
    <phoneticPr fontId="6" type="noConversion"/>
  </si>
  <si>
    <t>工业用地</t>
    <phoneticPr fontId="6" type="noConversion"/>
  </si>
  <si>
    <t>（指工业生产及直接为工业生产服务的附属设施用地）</t>
    <phoneticPr fontId="6" type="noConversion"/>
  </si>
  <si>
    <t>采矿用地</t>
    <phoneticPr fontId="6" type="noConversion"/>
  </si>
  <si>
    <t>（指采矿、采石、采砂（沙）场，盐田，砖瓦窑等地面生产设施及尾矿堆放地）</t>
    <phoneticPr fontId="6" type="noConversion"/>
  </si>
  <si>
    <t>仓储用地</t>
    <phoneticPr fontId="6" type="noConversion"/>
  </si>
  <si>
    <t>（指用于物资储备、中转的物流仓储场所等用地）</t>
    <phoneticPr fontId="6" type="noConversion"/>
  </si>
  <si>
    <t>公共设施用地</t>
    <phoneticPr fontId="6" type="noConversion"/>
  </si>
  <si>
    <t>（指用于城乡基础设施的用地，包括给排水、供电、供热、供气、邮政、电信、消防、环卫、公用设施维修等用地。）</t>
    <phoneticPr fontId="6" type="noConversion"/>
  </si>
  <si>
    <t>交通用地</t>
    <phoneticPr fontId="6" type="noConversion"/>
  </si>
  <si>
    <t>（指铁路用地、公路用地、机场用地、管道运输用地等，包括铁路、公路、机场、管道运输的地面线路、站场等用地以及城市道路、车站及其相应附属设施用地）</t>
    <phoneticPr fontId="6" type="noConversion"/>
  </si>
  <si>
    <t>备注：本用途修正系数仅适用于地上部分各类用途的修正，地下空间部分不适用上表中的用途修正，直接使用地下空间修正</t>
    <phoneticPr fontId="6" type="noConversion"/>
  </si>
  <si>
    <t>地下</t>
    <phoneticPr fontId="6" type="noConversion"/>
  </si>
  <si>
    <t>地下仓储</t>
    <phoneticPr fontId="6" type="noConversion"/>
  </si>
  <si>
    <t>车库</t>
    <phoneticPr fontId="6" type="noConversion"/>
  </si>
  <si>
    <t>—</t>
    <phoneticPr fontId="6" type="noConversion"/>
  </si>
  <si>
    <t>北京市商业路线价加价幅度表</t>
    <phoneticPr fontId="6" type="noConversion"/>
  </si>
  <si>
    <t>序号</t>
    <phoneticPr fontId="6" type="noConversion"/>
  </si>
  <si>
    <t>区县</t>
    <phoneticPr fontId="6" type="noConversion"/>
  </si>
  <si>
    <t>商业街名称</t>
    <phoneticPr fontId="6" type="noConversion"/>
  </si>
  <si>
    <t>起止点</t>
    <phoneticPr fontId="6" type="noConversion"/>
  </si>
  <si>
    <t>加价幅度</t>
    <phoneticPr fontId="6" type="noConversion"/>
  </si>
  <si>
    <t>标准深度（m）</t>
    <phoneticPr fontId="6" type="noConversion"/>
  </si>
  <si>
    <t>东城区</t>
    <phoneticPr fontId="6" type="noConversion"/>
  </si>
  <si>
    <t>东长安街</t>
    <phoneticPr fontId="6" type="noConversion"/>
  </si>
  <si>
    <t>天安门——东单</t>
    <phoneticPr fontId="6" type="noConversion"/>
  </si>
  <si>
    <t>建国门内大街</t>
    <phoneticPr fontId="6" type="noConversion"/>
  </si>
  <si>
    <t>建国门——东单</t>
    <phoneticPr fontId="6" type="noConversion"/>
  </si>
  <si>
    <t>王府井商业街</t>
    <phoneticPr fontId="6" type="noConversion"/>
  </si>
  <si>
    <t>东长安街——五四大街</t>
    <phoneticPr fontId="6" type="noConversion"/>
  </si>
  <si>
    <t>东单北大街</t>
    <phoneticPr fontId="6" type="noConversion"/>
  </si>
  <si>
    <t>金鱼胡同——东单路口</t>
    <phoneticPr fontId="6" type="noConversion"/>
  </si>
  <si>
    <t>东四南大街</t>
    <phoneticPr fontId="6" type="noConversion"/>
  </si>
  <si>
    <t>东四路口——金鱼胡同</t>
    <phoneticPr fontId="6" type="noConversion"/>
  </si>
  <si>
    <t>东直门内大街      （簋街）</t>
    <phoneticPr fontId="6" type="noConversion"/>
  </si>
  <si>
    <t>东直门桥——北新桥</t>
    <phoneticPr fontId="6" type="noConversion"/>
  </si>
  <si>
    <t>北京站东街</t>
    <phoneticPr fontId="6" type="noConversion"/>
  </si>
  <si>
    <t>建国门南大街——北京站</t>
    <phoneticPr fontId="6" type="noConversion"/>
  </si>
  <si>
    <t>北京站街</t>
    <phoneticPr fontId="6" type="noConversion"/>
  </si>
  <si>
    <t>建国门内大街——北京站</t>
    <phoneticPr fontId="6" type="noConversion"/>
  </si>
  <si>
    <t>东四十条</t>
    <phoneticPr fontId="6" type="noConversion"/>
  </si>
  <si>
    <t>东四十条桥——东四北大街</t>
    <phoneticPr fontId="6" type="noConversion"/>
  </si>
  <si>
    <t>张自忠路</t>
    <phoneticPr fontId="6" type="noConversion"/>
  </si>
  <si>
    <t>东四北大街——交道口南大街</t>
    <phoneticPr fontId="6" type="noConversion"/>
  </si>
  <si>
    <t>地安门东大街</t>
    <phoneticPr fontId="6" type="noConversion"/>
  </si>
  <si>
    <t>交道口南大街——地安门外大街</t>
    <phoneticPr fontId="6" type="noConversion"/>
  </si>
  <si>
    <t>前门商业街</t>
    <phoneticPr fontId="6" type="noConversion"/>
  </si>
  <si>
    <t>前门箭楼——珠市口</t>
    <phoneticPr fontId="6" type="noConversion"/>
  </si>
  <si>
    <t>崇外商业街</t>
    <phoneticPr fontId="6" type="noConversion"/>
  </si>
  <si>
    <t>崇文门——磁器口</t>
    <phoneticPr fontId="6" type="noConversion"/>
  </si>
  <si>
    <t>广渠门内大街</t>
    <phoneticPr fontId="6" type="noConversion"/>
  </si>
  <si>
    <t>广渠门——磁器口</t>
    <phoneticPr fontId="6" type="noConversion"/>
  </si>
  <si>
    <t>珠市口东大街</t>
    <phoneticPr fontId="6" type="noConversion"/>
  </si>
  <si>
    <t>磁器口——珠市口</t>
    <phoneticPr fontId="6" type="noConversion"/>
  </si>
  <si>
    <t>西城区</t>
    <phoneticPr fontId="6" type="noConversion"/>
  </si>
  <si>
    <t>西长安街</t>
    <phoneticPr fontId="6" type="noConversion"/>
  </si>
  <si>
    <t>天安门——西单</t>
    <phoneticPr fontId="6" type="noConversion"/>
  </si>
  <si>
    <t>复兴门内大街</t>
    <phoneticPr fontId="6" type="noConversion"/>
  </si>
  <si>
    <t>西单——复兴门</t>
    <phoneticPr fontId="6" type="noConversion"/>
  </si>
  <si>
    <t>复兴门外大街</t>
    <phoneticPr fontId="6" type="noConversion"/>
  </si>
  <si>
    <t>复兴门——木樨地</t>
    <phoneticPr fontId="6" type="noConversion"/>
  </si>
  <si>
    <t>西单商业街</t>
    <phoneticPr fontId="6" type="noConversion"/>
  </si>
  <si>
    <t>西单——辟才胡同</t>
    <phoneticPr fontId="6" type="noConversion"/>
  </si>
  <si>
    <t>西四商业街</t>
    <phoneticPr fontId="6" type="noConversion"/>
  </si>
  <si>
    <t>辟才胡同——平安里</t>
    <phoneticPr fontId="6" type="noConversion"/>
  </si>
  <si>
    <t>新街口商业街</t>
    <phoneticPr fontId="6" type="noConversion"/>
  </si>
  <si>
    <t>平安里——积水潭桥</t>
    <phoneticPr fontId="6" type="noConversion"/>
  </si>
  <si>
    <t>双旗杆西街       （福利特商业街）</t>
    <phoneticPr fontId="6" type="noConversion"/>
  </si>
  <si>
    <t>北三环中路——黄寺大街</t>
    <phoneticPr fontId="6" type="noConversion"/>
  </si>
  <si>
    <t>地安门西大街</t>
    <phoneticPr fontId="6" type="noConversion"/>
  </si>
  <si>
    <t>地安门外大街——新街口南大街</t>
    <phoneticPr fontId="6" type="noConversion"/>
  </si>
  <si>
    <t>平安里西大街</t>
    <phoneticPr fontId="6" type="noConversion"/>
  </si>
  <si>
    <t>新街口南大街——车公庄</t>
    <phoneticPr fontId="6" type="noConversion"/>
  </si>
  <si>
    <t>大栅栏商业街</t>
    <phoneticPr fontId="6" type="noConversion"/>
  </si>
  <si>
    <t>前门大街——煤市街</t>
    <phoneticPr fontId="6" type="noConversion"/>
  </si>
  <si>
    <t>珠市口西大街</t>
    <phoneticPr fontId="6" type="noConversion"/>
  </si>
  <si>
    <t>珠市口——南新华街</t>
    <phoneticPr fontId="6" type="noConversion"/>
  </si>
  <si>
    <t>骡马市大街</t>
    <phoneticPr fontId="6" type="noConversion"/>
  </si>
  <si>
    <t>南新华街——菜市口</t>
    <phoneticPr fontId="6" type="noConversion"/>
  </si>
  <si>
    <t>广安门内大街</t>
    <phoneticPr fontId="6" type="noConversion"/>
  </si>
  <si>
    <t>菜市口——广安门桥</t>
    <phoneticPr fontId="6" type="noConversion"/>
  </si>
  <si>
    <t>宣武门外大街</t>
    <phoneticPr fontId="6" type="noConversion"/>
  </si>
  <si>
    <t>宣武门——菜市口</t>
    <phoneticPr fontId="6" type="noConversion"/>
  </si>
  <si>
    <t>菜市口大街</t>
    <phoneticPr fontId="6" type="noConversion"/>
  </si>
  <si>
    <t>菜市口——开阳桥</t>
    <phoneticPr fontId="6" type="noConversion"/>
  </si>
  <si>
    <t>马连道路</t>
    <phoneticPr fontId="6" type="noConversion"/>
  </si>
  <si>
    <t>广安门外大街——红莲南路</t>
    <phoneticPr fontId="6" type="noConversion"/>
  </si>
  <si>
    <t>朝阳区</t>
    <phoneticPr fontId="6" type="noConversion"/>
  </si>
  <si>
    <t>朝外商业街</t>
    <phoneticPr fontId="6" type="noConversion"/>
  </si>
  <si>
    <t>朝阳门——东大桥</t>
    <phoneticPr fontId="6" type="noConversion"/>
  </si>
  <si>
    <t>安立路</t>
    <phoneticPr fontId="6" type="noConversion"/>
  </si>
  <si>
    <t>安慧桥——慧忠北路</t>
    <phoneticPr fontId="6" type="noConversion"/>
  </si>
  <si>
    <t>三里屯路</t>
    <phoneticPr fontId="6" type="noConversion"/>
  </si>
  <si>
    <t>工人体育场北路——东直门外大街</t>
    <phoneticPr fontId="6" type="noConversion"/>
  </si>
  <si>
    <t>秀水街</t>
    <phoneticPr fontId="6" type="noConversion"/>
  </si>
  <si>
    <t>建国门外大街——光华路</t>
    <phoneticPr fontId="6" type="noConversion"/>
  </si>
  <si>
    <t>大羊坊路         （十里河建材商业街）</t>
    <phoneticPr fontId="6" type="noConversion"/>
  </si>
  <si>
    <t>十里河桥——小武基路</t>
    <phoneticPr fontId="6" type="noConversion"/>
  </si>
  <si>
    <t>建国门外大街</t>
    <phoneticPr fontId="6" type="noConversion"/>
  </si>
  <si>
    <t>建国门桥——国贸桥</t>
    <phoneticPr fontId="6" type="noConversion"/>
  </si>
  <si>
    <t>建国路</t>
    <phoneticPr fontId="6" type="noConversion"/>
  </si>
  <si>
    <t>国贸桥——西大望路</t>
    <phoneticPr fontId="6" type="noConversion"/>
  </si>
  <si>
    <t>海淀区</t>
    <phoneticPr fontId="6" type="noConversion"/>
  </si>
  <si>
    <t>中关村大街</t>
    <phoneticPr fontId="6" type="noConversion"/>
  </si>
  <si>
    <t>海淀南路——北四环</t>
    <phoneticPr fontId="6" type="noConversion"/>
  </si>
  <si>
    <t>复兴路</t>
    <phoneticPr fontId="6" type="noConversion"/>
  </si>
  <si>
    <t>木樨地——万寿路</t>
    <phoneticPr fontId="6" type="noConversion"/>
  </si>
  <si>
    <t>海淀中路</t>
    <phoneticPr fontId="6" type="noConversion"/>
  </si>
  <si>
    <t>丰台区</t>
    <phoneticPr fontId="6" type="noConversion"/>
  </si>
  <si>
    <t>蒲芳路、紫芳路    （方庄商业街）</t>
    <phoneticPr fontId="6" type="noConversion"/>
  </si>
  <si>
    <t>蒲黄榆路——方庄东路</t>
    <phoneticPr fontId="6" type="noConversion"/>
  </si>
  <si>
    <t>石景山区</t>
    <phoneticPr fontId="6" type="noConversion"/>
  </si>
  <si>
    <t>石景山路</t>
    <phoneticPr fontId="6" type="noConversion"/>
  </si>
  <si>
    <t>八宝山——八角桥</t>
    <phoneticPr fontId="6" type="noConversion"/>
  </si>
  <si>
    <t>门头沟区</t>
    <phoneticPr fontId="6" type="noConversion"/>
  </si>
  <si>
    <t>新桥大街</t>
    <phoneticPr fontId="6" type="noConversion"/>
  </si>
  <si>
    <t>门头沟路——双峪路</t>
    <phoneticPr fontId="6" type="noConversion"/>
  </si>
  <si>
    <t>房山区</t>
    <phoneticPr fontId="6" type="noConversion"/>
  </si>
  <si>
    <t>南关大街</t>
    <phoneticPr fontId="6" type="noConversion"/>
  </si>
  <si>
    <t>房山东大街——南关立交桥</t>
    <phoneticPr fontId="6" type="noConversion"/>
  </si>
  <si>
    <t>拱辰大街</t>
    <phoneticPr fontId="6" type="noConversion"/>
  </si>
  <si>
    <t>良乡中路——月华大街</t>
    <phoneticPr fontId="6" type="noConversion"/>
  </si>
  <si>
    <t>通州区</t>
    <phoneticPr fontId="6" type="noConversion"/>
  </si>
  <si>
    <t>新华大街</t>
    <phoneticPr fontId="6" type="noConversion"/>
  </si>
  <si>
    <t>车站路——通惠南路</t>
    <phoneticPr fontId="6" type="noConversion"/>
  </si>
  <si>
    <t>云景东路</t>
    <phoneticPr fontId="6" type="noConversion"/>
  </si>
  <si>
    <t>地铁八通线——云景南大街</t>
    <phoneticPr fontId="6" type="noConversion"/>
  </si>
  <si>
    <t>顺义区</t>
    <phoneticPr fontId="6" type="noConversion"/>
  </si>
  <si>
    <t>新顺大街</t>
    <phoneticPr fontId="6" type="noConversion"/>
  </si>
  <si>
    <t>幸福西街——站前街</t>
    <phoneticPr fontId="6" type="noConversion"/>
  </si>
  <si>
    <t>大兴区</t>
    <phoneticPr fontId="6" type="noConversion"/>
  </si>
  <si>
    <t>兴华大街</t>
    <phoneticPr fontId="6" type="noConversion"/>
  </si>
  <si>
    <t>金星西路——黄村火车站</t>
    <phoneticPr fontId="6" type="noConversion"/>
  </si>
  <si>
    <t>昌平区</t>
    <phoneticPr fontId="6" type="noConversion"/>
  </si>
  <si>
    <t>回龙观西大街</t>
    <phoneticPr fontId="6" type="noConversion"/>
  </si>
  <si>
    <t>京藏高速公路——文华西路</t>
    <phoneticPr fontId="6" type="noConversion"/>
  </si>
  <si>
    <t>鼓楼东、西街</t>
    <phoneticPr fontId="6" type="noConversion"/>
  </si>
  <si>
    <t>东环路——西环路</t>
    <phoneticPr fontId="6" type="noConversion"/>
  </si>
  <si>
    <t>鼓楼南、北街</t>
    <phoneticPr fontId="6" type="noConversion"/>
  </si>
  <si>
    <t>北环路——府学路</t>
    <phoneticPr fontId="6" type="noConversion"/>
  </si>
  <si>
    <t>平谷区</t>
    <phoneticPr fontId="6" type="noConversion"/>
  </si>
  <si>
    <t>步行街</t>
    <phoneticPr fontId="6" type="noConversion"/>
  </si>
  <si>
    <t>文化北街——向阳北街</t>
    <phoneticPr fontId="6" type="noConversion"/>
  </si>
  <si>
    <t>怀柔区</t>
    <phoneticPr fontId="6" type="noConversion"/>
  </si>
  <si>
    <t>商业街</t>
    <phoneticPr fontId="6" type="noConversion"/>
  </si>
  <si>
    <t>迎宾路——青春路</t>
    <phoneticPr fontId="6" type="noConversion"/>
  </si>
  <si>
    <t>密云县</t>
    <phoneticPr fontId="6" type="noConversion"/>
  </si>
  <si>
    <t>鼓楼东、西大街</t>
    <phoneticPr fontId="6" type="noConversion"/>
  </si>
  <si>
    <t>新中街——南更道</t>
    <phoneticPr fontId="6" type="noConversion"/>
  </si>
  <si>
    <t>鼓楼大街</t>
    <phoneticPr fontId="6" type="noConversion"/>
  </si>
  <si>
    <t>西大桥路——康复路</t>
    <phoneticPr fontId="6" type="noConversion"/>
  </si>
  <si>
    <t>延庆县</t>
    <phoneticPr fontId="6" type="noConversion"/>
  </si>
  <si>
    <t>东外大街</t>
    <phoneticPr fontId="6" type="noConversion"/>
  </si>
  <si>
    <t>香苑街——东顺城街</t>
    <phoneticPr fontId="6" type="noConversion"/>
  </si>
  <si>
    <t>不临58条商业街</t>
    <phoneticPr fontId="6" type="noConversion"/>
  </si>
  <si>
    <t>容积率</t>
    <phoneticPr fontId="6" type="noConversion"/>
  </si>
  <si>
    <t>北京市基准地价容积率修正系数表（商业）</t>
    <phoneticPr fontId="6" type="noConversion"/>
  </si>
  <si>
    <t>北京市基准地价容积率修正系数表（办公）</t>
    <phoneticPr fontId="6" type="noConversion"/>
  </si>
  <si>
    <t>北京市基准地价容积率修正系数表（居住）</t>
    <phoneticPr fontId="6" type="noConversion"/>
  </si>
  <si>
    <t>北京市基准地价容积率修正系数表（工业）</t>
    <phoneticPr fontId="6" type="noConversion"/>
  </si>
  <si>
    <t>结果不可超过《北京市区片基准地价因素总修正幅度表》所列修正幅度；依据估价对象用途调整链接</t>
    <phoneticPr fontId="6" type="noConversion"/>
  </si>
  <si>
    <t>影响因素</t>
    <phoneticPr fontId="6" type="noConversion"/>
  </si>
  <si>
    <t>情况说明</t>
    <phoneticPr fontId="6" type="noConversion"/>
  </si>
  <si>
    <t>等级</t>
    <phoneticPr fontId="6" type="noConversion"/>
  </si>
  <si>
    <t xml:space="preserve"> 商业繁华程度</t>
    <phoneticPr fontId="6" type="noConversion"/>
  </si>
  <si>
    <t>较好</t>
    <phoneticPr fontId="6" type="noConversion"/>
  </si>
  <si>
    <t>交通便捷度</t>
    <phoneticPr fontId="6" type="noConversion"/>
  </si>
  <si>
    <t>区域土地利用方向</t>
    <phoneticPr fontId="6" type="noConversion"/>
  </si>
  <si>
    <t>临街宽度和深度</t>
    <phoneticPr fontId="6" type="noConversion"/>
  </si>
  <si>
    <t>临街道路状况</t>
    <phoneticPr fontId="6" type="noConversion"/>
  </si>
  <si>
    <t>宗地形状及可利用程度</t>
    <phoneticPr fontId="6" type="noConversion"/>
  </si>
  <si>
    <t>公共服务设施状况</t>
    <phoneticPr fontId="6" type="noConversion"/>
  </si>
  <si>
    <t>基础设施完备状况</t>
    <phoneticPr fontId="6" type="noConversion"/>
  </si>
  <si>
    <t>自然和人文环境状况</t>
    <phoneticPr fontId="6" type="noConversion"/>
  </si>
  <si>
    <t>办公集聚程度</t>
    <phoneticPr fontId="6" type="noConversion"/>
  </si>
  <si>
    <t>居住社区成熟度</t>
    <phoneticPr fontId="6" type="noConversion"/>
  </si>
  <si>
    <t>临路状况</t>
    <phoneticPr fontId="6" type="noConversion"/>
  </si>
  <si>
    <t>与区域中心的接近程度</t>
    <phoneticPr fontId="6" type="noConversion"/>
  </si>
  <si>
    <t>产业集聚程度</t>
    <phoneticPr fontId="6" type="noConversion"/>
  </si>
  <si>
    <t>环境状况</t>
    <phoneticPr fontId="6" type="noConversion"/>
  </si>
  <si>
    <t>住宅</t>
    <phoneticPr fontId="6" type="noConversion"/>
  </si>
  <si>
    <t>住宅</t>
    <phoneticPr fontId="6" type="noConversion"/>
  </si>
  <si>
    <r>
      <rPr>
        <sz val="10"/>
        <color indexed="8"/>
        <rFont val="宋体"/>
        <family val="3"/>
        <charset val="134"/>
      </rPr>
      <t>修正系数</t>
    </r>
    <phoneticPr fontId="76" type="noConversion"/>
  </si>
  <si>
    <r>
      <rPr>
        <sz val="10"/>
        <color indexed="8"/>
        <rFont val="楷体_GB2312"/>
        <family val="3"/>
        <charset val="134"/>
      </rPr>
      <t>修正幅度</t>
    </r>
    <phoneticPr fontId="6" type="noConversion"/>
  </si>
  <si>
    <r>
      <rPr>
        <sz val="10"/>
        <color indexed="8"/>
        <rFont val="楷体_GB2312"/>
        <family val="3"/>
        <charset val="134"/>
      </rPr>
      <t>权重</t>
    </r>
    <phoneticPr fontId="6" type="noConversion"/>
  </si>
  <si>
    <r>
      <rPr>
        <sz val="10"/>
        <rFont val="楷体_GB2312"/>
        <family val="3"/>
        <charset val="134"/>
      </rPr>
      <t>合计</t>
    </r>
    <phoneticPr fontId="6" type="noConversion"/>
  </si>
  <si>
    <r>
      <rPr>
        <sz val="10"/>
        <color indexed="8"/>
        <rFont val="楷体_GB2312"/>
        <family val="3"/>
        <charset val="134"/>
      </rPr>
      <t>修正幅度</t>
    </r>
    <phoneticPr fontId="6" type="noConversion"/>
  </si>
  <si>
    <r>
      <rPr>
        <sz val="10"/>
        <color indexed="8"/>
        <rFont val="楷体_GB2312"/>
        <family val="3"/>
        <charset val="134"/>
      </rPr>
      <t>权重</t>
    </r>
    <phoneticPr fontId="6" type="noConversion"/>
  </si>
  <si>
    <r>
      <rPr>
        <sz val="10"/>
        <rFont val="楷体_GB2312"/>
        <family val="3"/>
        <charset val="134"/>
      </rPr>
      <t>合计</t>
    </r>
    <phoneticPr fontId="6" type="noConversion"/>
  </si>
  <si>
    <t>宽度XX米，深度XX米,临街宽度及深度比例较适宜，对土地利用无不利影响</t>
    <phoneticPr fontId="76" type="noConversion"/>
  </si>
  <si>
    <t>宗地形状不规则，但对宗地利用影响较小</t>
    <phoneticPr fontId="76" type="noConversion"/>
  </si>
  <si>
    <t>临近区域中心，距离小于500米</t>
    <phoneticPr fontId="76" type="noConversion"/>
  </si>
  <si>
    <t>*</t>
    <phoneticPr fontId="16" type="noConversion"/>
  </si>
  <si>
    <t>二级分类</t>
    <phoneticPr fontId="6" type="noConversion"/>
  </si>
  <si>
    <t>抵押物名称</t>
    <phoneticPr fontId="10" type="noConversion"/>
  </si>
  <si>
    <t>（1）已抵押担保的债权数额</t>
    <phoneticPr fontId="10" type="noConversion"/>
  </si>
  <si>
    <t>（2）拖欠的建设工程价款</t>
    <phoneticPr fontId="10" type="noConversion"/>
  </si>
  <si>
    <t>（3）其他法定优先受偿款</t>
    <phoneticPr fontId="10" type="noConversion"/>
  </si>
  <si>
    <t>今日</t>
    <phoneticPr fontId="6" type="noConversion"/>
  </si>
  <si>
    <t>资质过期显示为红色</t>
    <phoneticPr fontId="6" type="noConversion"/>
  </si>
  <si>
    <t>注册房地产估价师</t>
    <phoneticPr fontId="6" type="noConversion"/>
  </si>
  <si>
    <t>注册证号</t>
    <phoneticPr fontId="6" type="noConversion"/>
  </si>
  <si>
    <t>资质有效期</t>
    <phoneticPr fontId="6" type="noConversion"/>
  </si>
  <si>
    <t>土地估价师</t>
    <phoneticPr fontId="6" type="noConversion"/>
  </si>
  <si>
    <t>证号</t>
    <phoneticPr fontId="6" type="noConversion"/>
  </si>
  <si>
    <t>梁津</t>
    <phoneticPr fontId="6" type="noConversion"/>
  </si>
  <si>
    <t>叶凌</t>
    <phoneticPr fontId="6" type="noConversion"/>
  </si>
  <si>
    <t>王鹏</t>
    <phoneticPr fontId="6" type="noConversion"/>
  </si>
  <si>
    <t>欧红伟</t>
    <phoneticPr fontId="6" type="noConversion"/>
  </si>
  <si>
    <t>吴薇</t>
    <phoneticPr fontId="6" type="noConversion"/>
  </si>
  <si>
    <t>陈颖</t>
    <phoneticPr fontId="6" type="noConversion"/>
  </si>
  <si>
    <t>崔锴</t>
    <phoneticPr fontId="6" type="noConversion"/>
  </si>
  <si>
    <t>郑燚</t>
    <phoneticPr fontId="6" type="noConversion"/>
  </si>
  <si>
    <t>刘敬东</t>
    <phoneticPr fontId="6" type="noConversion"/>
  </si>
  <si>
    <t>估价机构</t>
    <phoneticPr fontId="6" type="noConversion"/>
  </si>
  <si>
    <t>房地产</t>
    <phoneticPr fontId="6" type="noConversion"/>
  </si>
  <si>
    <t>土地</t>
    <phoneticPr fontId="6" type="noConversion"/>
  </si>
  <si>
    <t>证书名称</t>
    <phoneticPr fontId="6" type="noConversion"/>
  </si>
  <si>
    <t>号码</t>
    <phoneticPr fontId="6" type="noConversion"/>
  </si>
  <si>
    <t>资质有效期</t>
    <phoneticPr fontId="6" type="noConversion"/>
  </si>
  <si>
    <t>注册证书</t>
    <phoneticPr fontId="6" type="noConversion"/>
  </si>
  <si>
    <t>A201111009</t>
    <phoneticPr fontId="6" type="noConversion"/>
  </si>
  <si>
    <t>资信等级：A级</t>
    <phoneticPr fontId="6" type="noConversion"/>
  </si>
  <si>
    <t>北京康正宏基房地产评估有限公司</t>
    <phoneticPr fontId="6" type="noConversion"/>
  </si>
  <si>
    <t>房地产估价师及注册号</t>
    <phoneticPr fontId="83" type="noConversion"/>
  </si>
  <si>
    <t>土地估价师及注册号</t>
    <phoneticPr fontId="83" type="noConversion"/>
  </si>
  <si>
    <t>估价结果：</t>
    <phoneticPr fontId="86" type="noConversion"/>
  </si>
  <si>
    <t>建筑面积（平方米）</t>
    <phoneticPr fontId="10" type="noConversion"/>
  </si>
  <si>
    <t>1.房地产价值</t>
    <phoneticPr fontId="86" type="noConversion"/>
  </si>
  <si>
    <t>XX</t>
  </si>
  <si>
    <t>——</t>
    <phoneticPr fontId="88" type="noConversion"/>
  </si>
  <si>
    <t>北京市区片基准地价因素总修正幅度表</t>
    <phoneticPr fontId="6" type="noConversion"/>
  </si>
  <si>
    <t>商业</t>
    <phoneticPr fontId="6" type="noConversion"/>
  </si>
  <si>
    <t>办公</t>
    <phoneticPr fontId="6" type="noConversion"/>
  </si>
  <si>
    <t>住宅</t>
    <phoneticPr fontId="6" type="noConversion"/>
  </si>
  <si>
    <t>工业</t>
    <phoneticPr fontId="6" type="noConversion"/>
  </si>
  <si>
    <t>级别</t>
    <phoneticPr fontId="6" type="noConversion"/>
  </si>
  <si>
    <t>区片编号</t>
    <phoneticPr fontId="6" type="noConversion"/>
  </si>
  <si>
    <t>一级</t>
    <phoneticPr fontId="6" type="noConversion"/>
  </si>
  <si>
    <t>Ⅰ—01</t>
    <phoneticPr fontId="6" type="noConversion"/>
  </si>
  <si>
    <t>Ⅰ—02</t>
    <phoneticPr fontId="6" type="noConversion"/>
  </si>
  <si>
    <t>Ⅱ—01</t>
    <phoneticPr fontId="6" type="noConversion"/>
  </si>
  <si>
    <t>Ⅱ—13</t>
    <phoneticPr fontId="6" type="noConversion"/>
  </si>
  <si>
    <t>Ⅲ—01</t>
    <phoneticPr fontId="6" type="noConversion"/>
  </si>
  <si>
    <t>Ⅳ-01</t>
    <phoneticPr fontId="6" type="noConversion"/>
  </si>
  <si>
    <t>Ⅳ-电子城东</t>
    <phoneticPr fontId="6" type="noConversion"/>
  </si>
  <si>
    <t>Ⅳ-电子城西</t>
    <phoneticPr fontId="6" type="noConversion"/>
  </si>
  <si>
    <t>Ⅳ-上地核心</t>
    <phoneticPr fontId="6" type="noConversion"/>
  </si>
  <si>
    <t>Ⅳ-丰台园东</t>
    <phoneticPr fontId="6" type="noConversion"/>
  </si>
  <si>
    <t>Ⅴ-01</t>
    <phoneticPr fontId="6" type="noConversion"/>
  </si>
  <si>
    <t>Ⅴ-电子城北</t>
    <phoneticPr fontId="6" type="noConversion"/>
  </si>
  <si>
    <t>Ⅴ-永丰产业基地</t>
    <phoneticPr fontId="6" type="noConversion"/>
  </si>
  <si>
    <t>Ⅴ-航天城</t>
    <phoneticPr fontId="6" type="noConversion"/>
  </si>
  <si>
    <r>
      <t>Ⅴ-西北旺</t>
    </r>
    <r>
      <rPr>
        <sz val="10"/>
        <color indexed="8"/>
        <rFont val="宋体"/>
        <family val="3"/>
        <charset val="134"/>
      </rPr>
      <t>Ⅰ</t>
    </r>
    <phoneticPr fontId="6" type="noConversion"/>
  </si>
  <si>
    <r>
      <t>Ⅴ-西北旺</t>
    </r>
    <r>
      <rPr>
        <sz val="10"/>
        <color indexed="8"/>
        <rFont val="宋体"/>
        <family val="3"/>
        <charset val="134"/>
      </rPr>
      <t>Ⅱ</t>
    </r>
    <phoneticPr fontId="6" type="noConversion"/>
  </si>
  <si>
    <t>Ⅴ-石景山园南区</t>
    <phoneticPr fontId="6" type="noConversion"/>
  </si>
  <si>
    <r>
      <t>Ⅴ-石景山园北</t>
    </r>
    <r>
      <rPr>
        <sz val="10"/>
        <color indexed="8"/>
        <rFont val="宋体"/>
        <family val="3"/>
        <charset val="134"/>
      </rPr>
      <t>Ⅰ</t>
    </r>
    <phoneticPr fontId="6" type="noConversion"/>
  </si>
  <si>
    <r>
      <t>Ⅴ-石景山园北</t>
    </r>
    <r>
      <rPr>
        <sz val="10"/>
        <color indexed="8"/>
        <rFont val="宋体"/>
        <family val="3"/>
        <charset val="134"/>
      </rPr>
      <t>Ⅱ</t>
    </r>
    <phoneticPr fontId="6" type="noConversion"/>
  </si>
  <si>
    <t>Ⅵ-01</t>
    <phoneticPr fontId="6" type="noConversion"/>
  </si>
  <si>
    <t>Ⅵ-通1</t>
    <phoneticPr fontId="6" type="noConversion"/>
  </si>
  <si>
    <t>Ⅵ-顺1</t>
    <phoneticPr fontId="6" type="noConversion"/>
  </si>
  <si>
    <t>Ⅵ-兴1</t>
    <phoneticPr fontId="6" type="noConversion"/>
  </si>
  <si>
    <t>Ⅵ-昌1</t>
    <phoneticPr fontId="6" type="noConversion"/>
  </si>
  <si>
    <t>Ⅵ-亦1</t>
    <phoneticPr fontId="6" type="noConversion"/>
  </si>
  <si>
    <t>Ⅵ-创新园</t>
    <phoneticPr fontId="6" type="noConversion"/>
  </si>
  <si>
    <t>Ⅵ-海淀环保园</t>
    <phoneticPr fontId="6" type="noConversion"/>
  </si>
  <si>
    <r>
      <t>Ⅵ-温泉科技</t>
    </r>
    <r>
      <rPr>
        <sz val="10"/>
        <color indexed="8"/>
        <rFont val="宋体"/>
        <family val="3"/>
        <charset val="134"/>
      </rPr>
      <t>Ⅰ</t>
    </r>
    <phoneticPr fontId="6" type="noConversion"/>
  </si>
  <si>
    <r>
      <t>Ⅵ-温泉科技</t>
    </r>
    <r>
      <rPr>
        <sz val="10"/>
        <color indexed="8"/>
        <rFont val="宋体"/>
        <family val="3"/>
        <charset val="134"/>
      </rPr>
      <t>Ⅱ</t>
    </r>
    <phoneticPr fontId="6" type="noConversion"/>
  </si>
  <si>
    <r>
      <t>Ⅵ-温泉科技</t>
    </r>
    <r>
      <rPr>
        <sz val="10"/>
        <color indexed="8"/>
        <rFont val="宋体"/>
        <family val="3"/>
        <charset val="134"/>
      </rPr>
      <t>Ⅲ</t>
    </r>
    <phoneticPr fontId="6" type="noConversion"/>
  </si>
  <si>
    <t>Ⅵ-天竺保税区南</t>
    <phoneticPr fontId="6" type="noConversion"/>
  </si>
  <si>
    <t>Ⅵ-天竺保税区北1</t>
    <phoneticPr fontId="6" type="noConversion"/>
  </si>
  <si>
    <t>Ⅵ-空港A</t>
    <phoneticPr fontId="6" type="noConversion"/>
  </si>
  <si>
    <t>Ⅵ-空港B</t>
    <phoneticPr fontId="6" type="noConversion"/>
  </si>
  <si>
    <t>Ⅵ-生命科学园</t>
    <phoneticPr fontId="6" type="noConversion"/>
  </si>
  <si>
    <t>Ⅵ-昌三一光电</t>
    <phoneticPr fontId="6" type="noConversion"/>
  </si>
  <si>
    <t>Ⅵ-BDA核心</t>
    <phoneticPr fontId="6" type="noConversion"/>
  </si>
  <si>
    <t>Ⅶ-01</t>
    <phoneticPr fontId="6" type="noConversion"/>
  </si>
  <si>
    <t>Ⅶ-门1</t>
    <phoneticPr fontId="6" type="noConversion"/>
  </si>
  <si>
    <t>Ⅶ-房1</t>
    <phoneticPr fontId="6" type="noConversion"/>
  </si>
  <si>
    <t>Ⅶ-通1</t>
    <phoneticPr fontId="6" type="noConversion"/>
  </si>
  <si>
    <t>Ⅶ-顺1</t>
    <phoneticPr fontId="6" type="noConversion"/>
  </si>
  <si>
    <t>Ⅶ-兴1</t>
    <phoneticPr fontId="6" type="noConversion"/>
  </si>
  <si>
    <t>Ⅶ-昌1</t>
    <phoneticPr fontId="6" type="noConversion"/>
  </si>
  <si>
    <t>Ⅶ-亦1</t>
    <phoneticPr fontId="6" type="noConversion"/>
  </si>
  <si>
    <t>Ⅶ-国际教育园</t>
    <phoneticPr fontId="6" type="noConversion"/>
  </si>
  <si>
    <t>Ⅶ-农林园</t>
    <phoneticPr fontId="6" type="noConversion"/>
  </si>
  <si>
    <t>Ⅶ-上庄科技</t>
    <phoneticPr fontId="6" type="noConversion"/>
  </si>
  <si>
    <t>Ⅶ-文化教育基地</t>
    <phoneticPr fontId="6" type="noConversion"/>
  </si>
  <si>
    <r>
      <t>Ⅶ-苏家坨科技</t>
    </r>
    <r>
      <rPr>
        <sz val="10"/>
        <color indexed="8"/>
        <rFont val="宋体"/>
        <family val="3"/>
        <charset val="134"/>
      </rPr>
      <t>Ⅰ</t>
    </r>
    <phoneticPr fontId="6" type="noConversion"/>
  </si>
  <si>
    <r>
      <t>Ⅶ-苏家坨科技</t>
    </r>
    <r>
      <rPr>
        <sz val="10"/>
        <color indexed="8"/>
        <rFont val="宋体"/>
        <family val="3"/>
        <charset val="134"/>
      </rPr>
      <t>Ⅱ</t>
    </r>
    <phoneticPr fontId="6" type="noConversion"/>
  </si>
  <si>
    <r>
      <t>Ⅶ-丰台园西</t>
    </r>
    <r>
      <rPr>
        <sz val="10"/>
        <color indexed="8"/>
        <rFont val="宋体"/>
        <family val="3"/>
        <charset val="134"/>
      </rPr>
      <t>Ⅰ</t>
    </r>
    <phoneticPr fontId="6" type="noConversion"/>
  </si>
  <si>
    <r>
      <t>Ⅶ-丰台园西</t>
    </r>
    <r>
      <rPr>
        <sz val="10"/>
        <color indexed="8"/>
        <rFont val="宋体"/>
        <family val="3"/>
        <charset val="134"/>
      </rPr>
      <t>Ⅱ</t>
    </r>
    <phoneticPr fontId="6" type="noConversion"/>
  </si>
  <si>
    <t>Ⅶ-石龙开发区</t>
    <phoneticPr fontId="6" type="noConversion"/>
  </si>
  <si>
    <t>Ⅶ-光机电</t>
    <phoneticPr fontId="6" type="noConversion"/>
  </si>
  <si>
    <t>Ⅶ-通州开发区西</t>
    <phoneticPr fontId="6" type="noConversion"/>
  </si>
  <si>
    <t>Ⅶ-林河开发区</t>
    <phoneticPr fontId="6" type="noConversion"/>
  </si>
  <si>
    <t>Ⅶ-大兴开发区</t>
    <phoneticPr fontId="6" type="noConversion"/>
  </si>
  <si>
    <r>
      <t>Ⅶ-昌平园南</t>
    </r>
    <r>
      <rPr>
        <sz val="10"/>
        <color indexed="8"/>
        <rFont val="宋体"/>
        <family val="3"/>
        <charset val="134"/>
      </rPr>
      <t>Ⅰ</t>
    </r>
    <phoneticPr fontId="6" type="noConversion"/>
  </si>
  <si>
    <r>
      <t>Ⅶ-昌平园南</t>
    </r>
    <r>
      <rPr>
        <sz val="10"/>
        <color indexed="8"/>
        <rFont val="宋体"/>
        <family val="3"/>
        <charset val="134"/>
      </rPr>
      <t>Ⅱ</t>
    </r>
    <phoneticPr fontId="6" type="noConversion"/>
  </si>
  <si>
    <r>
      <t>Ⅶ-昌平园北</t>
    </r>
    <r>
      <rPr>
        <sz val="10"/>
        <color indexed="8"/>
        <rFont val="宋体"/>
        <family val="3"/>
        <charset val="134"/>
      </rPr>
      <t>Ⅰ</t>
    </r>
    <phoneticPr fontId="6" type="noConversion"/>
  </si>
  <si>
    <r>
      <t>Ⅶ-昌平园北</t>
    </r>
    <r>
      <rPr>
        <sz val="10"/>
        <color indexed="8"/>
        <rFont val="宋体"/>
        <family val="3"/>
        <charset val="134"/>
      </rPr>
      <t>Ⅱ</t>
    </r>
    <phoneticPr fontId="6" type="noConversion"/>
  </si>
  <si>
    <r>
      <t>Ⅶ-昌平园北</t>
    </r>
    <r>
      <rPr>
        <sz val="10"/>
        <color indexed="8"/>
        <rFont val="宋体"/>
        <family val="3"/>
        <charset val="134"/>
      </rPr>
      <t>Ⅲ</t>
    </r>
    <phoneticPr fontId="6" type="noConversion"/>
  </si>
  <si>
    <t>Ⅶ-BDA东</t>
    <phoneticPr fontId="6" type="noConversion"/>
  </si>
  <si>
    <t>Ⅶ-BDA西</t>
    <phoneticPr fontId="6" type="noConversion"/>
  </si>
  <si>
    <t>Ⅷ-01</t>
    <phoneticPr fontId="6" type="noConversion"/>
  </si>
  <si>
    <t>Ⅷ-门1</t>
    <phoneticPr fontId="6" type="noConversion"/>
  </si>
  <si>
    <t>Ⅷ-门军</t>
    <phoneticPr fontId="6" type="noConversion"/>
  </si>
  <si>
    <t>Ⅷ-房1</t>
    <phoneticPr fontId="6" type="noConversion"/>
  </si>
  <si>
    <t>Ⅷ-通1</t>
    <phoneticPr fontId="6" type="noConversion"/>
  </si>
  <si>
    <t>Ⅷ-顺1</t>
    <phoneticPr fontId="6" type="noConversion"/>
  </si>
  <si>
    <t>Ⅷ-顺3</t>
    <phoneticPr fontId="6" type="noConversion"/>
  </si>
  <si>
    <t>Ⅷ-兴1</t>
    <phoneticPr fontId="6" type="noConversion"/>
  </si>
  <si>
    <t>Ⅷ-昌1</t>
    <phoneticPr fontId="6" type="noConversion"/>
  </si>
  <si>
    <t>Ⅷ-平1</t>
    <phoneticPr fontId="6" type="noConversion"/>
  </si>
  <si>
    <t>Ⅷ-怀1</t>
    <phoneticPr fontId="6" type="noConversion"/>
  </si>
  <si>
    <t>Ⅷ-密1</t>
    <phoneticPr fontId="6" type="noConversion"/>
  </si>
  <si>
    <t>Ⅷ-廷1</t>
    <phoneticPr fontId="6" type="noConversion"/>
  </si>
  <si>
    <t>Ⅷ-亦1</t>
    <phoneticPr fontId="6" type="noConversion"/>
  </si>
  <si>
    <t>Ⅷ-良乡开发区A</t>
    <phoneticPr fontId="6" type="noConversion"/>
  </si>
  <si>
    <t>Ⅷ-良乡开发区B</t>
    <phoneticPr fontId="6" type="noConversion"/>
  </si>
  <si>
    <t>Ⅷ-良乡开发区C</t>
    <phoneticPr fontId="6" type="noConversion"/>
  </si>
  <si>
    <t>Ⅷ-通州环保园</t>
    <phoneticPr fontId="6" type="noConversion"/>
  </si>
  <si>
    <t>Ⅷ-空港北区A</t>
    <phoneticPr fontId="6" type="noConversion"/>
  </si>
  <si>
    <t>Ⅷ-空港北区B</t>
    <phoneticPr fontId="6" type="noConversion"/>
  </si>
  <si>
    <t>Ⅷ-生物医药基地</t>
    <phoneticPr fontId="6" type="noConversion"/>
  </si>
  <si>
    <t>Ⅷ-小汤山工业园</t>
    <phoneticPr fontId="6" type="noConversion"/>
  </si>
  <si>
    <t>Ⅸ-01</t>
    <phoneticPr fontId="6" type="noConversion"/>
  </si>
  <si>
    <t>Ⅸ-门1</t>
    <phoneticPr fontId="6" type="noConversion"/>
  </si>
  <si>
    <t>Ⅸ-门2</t>
    <phoneticPr fontId="6" type="noConversion"/>
  </si>
  <si>
    <t>Ⅸ-门潭</t>
    <phoneticPr fontId="6" type="noConversion"/>
  </si>
  <si>
    <t>Ⅸ-房1</t>
    <phoneticPr fontId="6" type="noConversion"/>
  </si>
  <si>
    <t>Ⅸ-通1</t>
    <phoneticPr fontId="6" type="noConversion"/>
  </si>
  <si>
    <t>Ⅸ-顺1</t>
    <phoneticPr fontId="6" type="noConversion"/>
  </si>
  <si>
    <t>Ⅸ-兴1</t>
    <phoneticPr fontId="6" type="noConversion"/>
  </si>
  <si>
    <t>Ⅸ-昌1</t>
    <phoneticPr fontId="6" type="noConversion"/>
  </si>
  <si>
    <t>Ⅸ-昌南</t>
    <phoneticPr fontId="6" type="noConversion"/>
  </si>
  <si>
    <t>Ⅸ-平1</t>
    <phoneticPr fontId="6" type="noConversion"/>
  </si>
  <si>
    <t>Ⅸ-怀1</t>
    <phoneticPr fontId="6" type="noConversion"/>
  </si>
  <si>
    <t>Ⅸ-密1</t>
    <phoneticPr fontId="6" type="noConversion"/>
  </si>
  <si>
    <t>Ⅸ-延1</t>
    <phoneticPr fontId="6" type="noConversion"/>
  </si>
  <si>
    <t>Ⅸ-亦1</t>
    <phoneticPr fontId="6" type="noConversion"/>
  </si>
  <si>
    <t>Ⅸ-房山工业园东</t>
    <phoneticPr fontId="6" type="noConversion"/>
  </si>
  <si>
    <t>Ⅸ-房山工业园西</t>
    <phoneticPr fontId="6" type="noConversion"/>
  </si>
  <si>
    <t>Ⅸ-通州开发区东</t>
    <phoneticPr fontId="6" type="noConversion"/>
  </si>
  <si>
    <t>Ⅸ-永乐开发区</t>
    <phoneticPr fontId="6" type="noConversion"/>
  </si>
  <si>
    <t>Ⅸ-采育开发区</t>
    <phoneticPr fontId="6" type="noConversion"/>
  </si>
  <si>
    <t>Ⅸ-兴谷开发区A</t>
    <phoneticPr fontId="6" type="noConversion"/>
  </si>
  <si>
    <t>Ⅸ-兴谷开发区B</t>
    <phoneticPr fontId="6" type="noConversion"/>
  </si>
  <si>
    <t>Ⅸ-雁栖开发区A</t>
    <phoneticPr fontId="6" type="noConversion"/>
  </si>
  <si>
    <t>Ⅸ-雁栖开发区B</t>
    <phoneticPr fontId="6" type="noConversion"/>
  </si>
  <si>
    <t>Ⅸ-雁栖开发区C</t>
    <phoneticPr fontId="6" type="noConversion"/>
  </si>
  <si>
    <t>Ⅸ-密云开发区</t>
    <phoneticPr fontId="6" type="noConversion"/>
  </si>
  <si>
    <t>Ⅹ-01</t>
    <phoneticPr fontId="6" type="noConversion"/>
  </si>
  <si>
    <t>Ⅹ-门1</t>
    <phoneticPr fontId="6" type="noConversion"/>
  </si>
  <si>
    <t>Ⅹ-门斋</t>
    <phoneticPr fontId="6" type="noConversion"/>
  </si>
  <si>
    <t>Ⅹ-房1</t>
    <phoneticPr fontId="6" type="noConversion"/>
  </si>
  <si>
    <t>Ⅹ-通1</t>
    <phoneticPr fontId="6" type="noConversion"/>
  </si>
  <si>
    <t>Ⅹ-顺1</t>
    <phoneticPr fontId="6" type="noConversion"/>
  </si>
  <si>
    <t>Ⅹ-兴1</t>
    <phoneticPr fontId="6" type="noConversion"/>
  </si>
  <si>
    <t>Ⅹ-昌1</t>
    <phoneticPr fontId="6" type="noConversion"/>
  </si>
  <si>
    <t>Ⅹ-平1</t>
    <phoneticPr fontId="6" type="noConversion"/>
  </si>
  <si>
    <t>Ⅹ-怀1</t>
    <phoneticPr fontId="6" type="noConversion"/>
  </si>
  <si>
    <t>Ⅹ-密1</t>
    <phoneticPr fontId="6" type="noConversion"/>
  </si>
  <si>
    <t>Ⅹ-延1</t>
    <phoneticPr fontId="6" type="noConversion"/>
  </si>
  <si>
    <t>Ⅹ-亦1</t>
    <phoneticPr fontId="6" type="noConversion"/>
  </si>
  <si>
    <t>Ⅹ-马坊工业园</t>
    <phoneticPr fontId="6" type="noConversion"/>
  </si>
  <si>
    <t>Ⅹ-延庆开发区</t>
    <phoneticPr fontId="6" type="noConversion"/>
  </si>
  <si>
    <t>Ⅹ-八达岭开发区</t>
    <phoneticPr fontId="6" type="noConversion"/>
  </si>
  <si>
    <t>十一级</t>
    <phoneticPr fontId="6" type="noConversion"/>
  </si>
  <si>
    <t>Ⅺ-门1</t>
    <phoneticPr fontId="6" type="noConversion"/>
  </si>
  <si>
    <t>Ⅺ-门斋</t>
    <phoneticPr fontId="6" type="noConversion"/>
  </si>
  <si>
    <t>Ⅺ-房1</t>
    <phoneticPr fontId="6" type="noConversion"/>
  </si>
  <si>
    <t>Ⅺ-通1</t>
    <phoneticPr fontId="6" type="noConversion"/>
  </si>
  <si>
    <t>Ⅺ-顺1</t>
    <phoneticPr fontId="6" type="noConversion"/>
  </si>
  <si>
    <t>Ⅺ-兴1</t>
    <phoneticPr fontId="6" type="noConversion"/>
  </si>
  <si>
    <t>Ⅺ-兴2</t>
    <phoneticPr fontId="6" type="noConversion"/>
  </si>
  <si>
    <t>Ⅺ-昌1</t>
    <phoneticPr fontId="6" type="noConversion"/>
  </si>
  <si>
    <t>Ⅺ-平1</t>
    <phoneticPr fontId="6" type="noConversion"/>
  </si>
  <si>
    <t>Ⅺ-怀1</t>
    <phoneticPr fontId="6" type="noConversion"/>
  </si>
  <si>
    <t>Ⅺ-密1</t>
    <phoneticPr fontId="6" type="noConversion"/>
  </si>
  <si>
    <t>Ⅺ-延1</t>
    <phoneticPr fontId="6" type="noConversion"/>
  </si>
  <si>
    <t>十二级</t>
    <phoneticPr fontId="6" type="noConversion"/>
  </si>
  <si>
    <t>Ⅻ-门1</t>
    <phoneticPr fontId="6" type="noConversion"/>
  </si>
  <si>
    <t>Ⅻ-房1</t>
    <phoneticPr fontId="6" type="noConversion"/>
  </si>
  <si>
    <t>Ⅻ-昌1</t>
    <phoneticPr fontId="6" type="noConversion"/>
  </si>
  <si>
    <t>Ⅻ-平1</t>
    <phoneticPr fontId="6" type="noConversion"/>
  </si>
  <si>
    <t>Ⅻ-怀1</t>
    <phoneticPr fontId="6" type="noConversion"/>
  </si>
  <si>
    <t>Ⅻ-密1</t>
    <phoneticPr fontId="6" type="noConversion"/>
  </si>
  <si>
    <t>Ⅻ-延1</t>
    <phoneticPr fontId="6" type="noConversion"/>
  </si>
  <si>
    <t>幅度控制(±)</t>
    <phoneticPr fontId="6" type="noConversion"/>
  </si>
  <si>
    <t>幅度控制(±)</t>
    <phoneticPr fontId="6" type="noConversion"/>
  </si>
  <si>
    <t>估价项目名称：</t>
    <phoneticPr fontId="83" type="noConversion"/>
  </si>
  <si>
    <t xml:space="preserve">— </t>
    <phoneticPr fontId="83" type="noConversion"/>
  </si>
  <si>
    <t>估价委托人：</t>
    <phoneticPr fontId="6" type="noConversion"/>
  </si>
  <si>
    <t>房地产估价机构：</t>
    <phoneticPr fontId="6" type="noConversion"/>
  </si>
  <si>
    <t>注册房地产估价师：</t>
    <phoneticPr fontId="6" type="noConversion"/>
  </si>
  <si>
    <t>估价报告编号：</t>
    <phoneticPr fontId="6" type="noConversion"/>
  </si>
  <si>
    <t>A.</t>
    <phoneticPr fontId="16" type="noConversion"/>
  </si>
  <si>
    <t>B.</t>
    <phoneticPr fontId="16" type="noConversion"/>
  </si>
  <si>
    <t>A</t>
    <phoneticPr fontId="139" type="noConversion"/>
  </si>
  <si>
    <t>B</t>
    <phoneticPr fontId="139" type="noConversion"/>
  </si>
  <si>
    <t>A</t>
  </si>
  <si>
    <t>B</t>
  </si>
  <si>
    <t>(A)</t>
  </si>
  <si>
    <t>(B)</t>
  </si>
  <si>
    <t>(C)</t>
  </si>
  <si>
    <t>(D)</t>
  </si>
  <si>
    <t>C</t>
  </si>
  <si>
    <t>A+B</t>
  </si>
  <si>
    <t>a</t>
  </si>
  <si>
    <t>b</t>
  </si>
  <si>
    <t>c</t>
  </si>
  <si>
    <t>(E)</t>
    <phoneticPr fontId="6" type="noConversion"/>
  </si>
  <si>
    <t>Ⅷ-延1</t>
    <phoneticPr fontId="6" type="noConversion"/>
  </si>
  <si>
    <t>Ⅷ-延1</t>
    <phoneticPr fontId="6" type="noConversion"/>
  </si>
  <si>
    <t>房型</t>
    <phoneticPr fontId="6" type="noConversion"/>
  </si>
  <si>
    <t>间数</t>
    <phoneticPr fontId="6" type="noConversion"/>
  </si>
  <si>
    <t>收费标准</t>
    <phoneticPr fontId="6" type="noConversion"/>
  </si>
  <si>
    <t>折扣率</t>
    <phoneticPr fontId="6" type="noConversion"/>
  </si>
  <si>
    <t>出租率</t>
    <phoneticPr fontId="6" type="noConversion"/>
  </si>
  <si>
    <t>天数</t>
    <phoneticPr fontId="6" type="noConversion"/>
  </si>
  <si>
    <t>年收入</t>
    <phoneticPr fontId="6" type="noConversion"/>
  </si>
  <si>
    <t>总统套房</t>
    <phoneticPr fontId="6" type="noConversion"/>
  </si>
  <si>
    <t>行政套房</t>
    <phoneticPr fontId="6" type="noConversion"/>
  </si>
  <si>
    <t>沙龙套房</t>
    <phoneticPr fontId="6" type="noConversion"/>
  </si>
  <si>
    <t>标准房</t>
    <phoneticPr fontId="6" type="noConversion"/>
  </si>
  <si>
    <t>单间公寓</t>
    <phoneticPr fontId="6" type="noConversion"/>
  </si>
  <si>
    <t>单房公寓</t>
    <phoneticPr fontId="6" type="noConversion"/>
  </si>
  <si>
    <t>双房公寓</t>
    <phoneticPr fontId="6" type="noConversion"/>
  </si>
  <si>
    <t>小计</t>
    <phoneticPr fontId="6" type="noConversion"/>
  </si>
  <si>
    <t>餐厅</t>
    <phoneticPr fontId="6" type="noConversion"/>
  </si>
  <si>
    <t>人均消费</t>
    <phoneticPr fontId="6" type="noConversion"/>
  </si>
  <si>
    <t>座位数</t>
    <phoneticPr fontId="6" type="noConversion"/>
  </si>
  <si>
    <t>上座率</t>
    <phoneticPr fontId="6" type="noConversion"/>
  </si>
  <si>
    <t>——</t>
    <phoneticPr fontId="6" type="noConversion"/>
  </si>
  <si>
    <t>中餐厅</t>
    <phoneticPr fontId="6" type="noConversion"/>
  </si>
  <si>
    <t>西餐厅</t>
    <phoneticPr fontId="6" type="noConversion"/>
  </si>
  <si>
    <t>其他</t>
    <phoneticPr fontId="6" type="noConversion"/>
  </si>
  <si>
    <t>会议室</t>
    <phoneticPr fontId="6" type="noConversion"/>
  </si>
  <si>
    <t>收费（元/间.天）</t>
    <phoneticPr fontId="6" type="noConversion"/>
  </si>
  <si>
    <t>平均使用率</t>
    <phoneticPr fontId="6" type="noConversion"/>
  </si>
  <si>
    <t>大</t>
    <phoneticPr fontId="6" type="noConversion"/>
  </si>
  <si>
    <t>中</t>
    <phoneticPr fontId="6" type="noConversion"/>
  </si>
  <si>
    <t>小</t>
    <phoneticPr fontId="6" type="noConversion"/>
  </si>
  <si>
    <t>建筑面积</t>
    <phoneticPr fontId="6" type="noConversion"/>
  </si>
  <si>
    <t>日租金</t>
    <phoneticPr fontId="6" type="noConversion"/>
  </si>
  <si>
    <t>空置率</t>
    <phoneticPr fontId="6" type="noConversion"/>
  </si>
  <si>
    <t>（一）年净收入（剥离非房地产带来的收益）</t>
    <phoneticPr fontId="6" type="noConversion"/>
  </si>
  <si>
    <t>年总收入</t>
    <phoneticPr fontId="6" type="noConversion"/>
  </si>
  <si>
    <t>（1）</t>
    <phoneticPr fontId="6" type="noConversion"/>
  </si>
  <si>
    <t>客房收入</t>
    <phoneticPr fontId="6" type="noConversion"/>
  </si>
  <si>
    <t>（2）</t>
    <phoneticPr fontId="6" type="noConversion"/>
  </si>
  <si>
    <t>其他收入</t>
    <phoneticPr fontId="6" type="noConversion"/>
  </si>
  <si>
    <t>餐厅、会议中心、出租等收入，按主收入（客房收入）比例计算</t>
    <phoneticPr fontId="6" type="noConversion"/>
  </si>
  <si>
    <t>经营成本</t>
    <phoneticPr fontId="6" type="noConversion"/>
  </si>
  <si>
    <t>包含耗用物品以及原材料等，以年总收入为基数计算</t>
    <phoneticPr fontId="6" type="noConversion"/>
  </si>
  <si>
    <t>其他营业费用</t>
    <phoneticPr fontId="6" type="noConversion"/>
  </si>
  <si>
    <t>工资、水电费、宣传费、差旅费、公司经费、审计费、咨询费、银行手续费、特殊行业税费等等，以年总收入为基数计算</t>
    <phoneticPr fontId="6" type="noConversion"/>
  </si>
  <si>
    <t>行业利润</t>
    <phoneticPr fontId="6" type="noConversion"/>
  </si>
  <si>
    <t>（二）年经营费用（房地产）</t>
    <phoneticPr fontId="6" type="noConversion"/>
  </si>
  <si>
    <t>税费</t>
    <phoneticPr fontId="6" type="noConversion"/>
  </si>
  <si>
    <t>保险费</t>
    <phoneticPr fontId="6" type="noConversion"/>
  </si>
  <si>
    <t>维修费</t>
    <phoneticPr fontId="6" type="noConversion"/>
  </si>
  <si>
    <t>管理费</t>
    <phoneticPr fontId="6" type="noConversion"/>
  </si>
  <si>
    <t>（三）净收益</t>
    <phoneticPr fontId="6" type="noConversion"/>
  </si>
  <si>
    <t>1.年总收入</t>
    <phoneticPr fontId="6" type="noConversion"/>
  </si>
  <si>
    <t>（1）客房</t>
    <phoneticPr fontId="6" type="noConversion"/>
  </si>
  <si>
    <t>（2）餐厅</t>
    <phoneticPr fontId="6" type="noConversion"/>
  </si>
  <si>
    <t>（3）会议中心</t>
    <phoneticPr fontId="6" type="noConversion"/>
  </si>
  <si>
    <t>（4）其他收入（可按客房收入比率计算）</t>
    <phoneticPr fontId="6" type="noConversion"/>
  </si>
  <si>
    <t>（5）出租部分</t>
    <phoneticPr fontId="6" type="noConversion"/>
  </si>
  <si>
    <t>1</t>
    <phoneticPr fontId="6"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</si>
  <si>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</si>
  <si>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</si>
  <si>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</si>
  <si>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</si>
  <si>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8" type="noConversion"/>
  </si>
  <si>
    <t>平均增幅</t>
    <phoneticPr fontId="148" type="noConversion"/>
  </si>
  <si>
    <t>综合</t>
    <phoneticPr fontId="6" type="noConversion"/>
  </si>
  <si>
    <r>
      <rPr>
        <sz val="11"/>
        <color indexed="8"/>
        <rFont val="楷体_GB2312"/>
        <family val="3"/>
        <charset val="134"/>
      </rPr>
      <t>商业</t>
    </r>
    <phoneticPr fontId="6" type="noConversion"/>
  </si>
  <si>
    <t>办公</t>
    <phoneticPr fontId="6" type="noConversion"/>
  </si>
  <si>
    <t>住宅</t>
    <phoneticPr fontId="6" type="noConversion"/>
  </si>
  <si>
    <r>
      <rPr>
        <sz val="11"/>
        <color indexed="8"/>
        <rFont val="楷体_GB2312"/>
        <family val="3"/>
        <charset val="134"/>
      </rPr>
      <t>工业</t>
    </r>
    <phoneticPr fontId="6" type="noConversion"/>
  </si>
  <si>
    <t>综合</t>
    <phoneticPr fontId="6" type="noConversion"/>
  </si>
  <si>
    <r>
      <rPr>
        <sz val="11"/>
        <color indexed="8"/>
        <rFont val="楷体_GB2312"/>
        <family val="3"/>
        <charset val="134"/>
      </rPr>
      <t>商业</t>
    </r>
    <phoneticPr fontId="6" type="noConversion"/>
  </si>
  <si>
    <t>办公</t>
    <phoneticPr fontId="6" type="noConversion"/>
  </si>
  <si>
    <t>住宅</t>
    <phoneticPr fontId="6" type="noConversion"/>
  </si>
  <si>
    <r>
      <rPr>
        <sz val="11"/>
        <color indexed="8"/>
        <rFont val="楷体_GB2312"/>
        <family val="3"/>
        <charset val="134"/>
      </rPr>
      <t>工业</t>
    </r>
    <phoneticPr fontId="6" type="noConversion"/>
  </si>
  <si>
    <t>2017-1</t>
    <phoneticPr fontId="6" type="noConversion"/>
  </si>
  <si>
    <t>2016-4</t>
  </si>
  <si>
    <t>2013-4</t>
    <phoneticPr fontId="148" type="noConversion"/>
  </si>
  <si>
    <t>2013-3</t>
    <phoneticPr fontId="148" type="noConversion"/>
  </si>
  <si>
    <t>2013-2</t>
    <phoneticPr fontId="148" type="noConversion"/>
  </si>
  <si>
    <t>2013-1</t>
    <phoneticPr fontId="148" type="noConversion"/>
  </si>
  <si>
    <r>
      <t>2</t>
    </r>
    <r>
      <rPr>
        <sz val="10"/>
        <color theme="1"/>
        <rFont val="Arial"/>
        <family val="2"/>
      </rPr>
      <t>012-4</t>
    </r>
    <phoneticPr fontId="148" type="noConversion"/>
  </si>
  <si>
    <r>
      <t>2</t>
    </r>
    <r>
      <rPr>
        <sz val="10"/>
        <color theme="1"/>
        <rFont val="Arial"/>
        <family val="2"/>
      </rPr>
      <t>012-3</t>
    </r>
    <phoneticPr fontId="148" type="noConversion"/>
  </si>
  <si>
    <r>
      <t>2</t>
    </r>
    <r>
      <rPr>
        <sz val="10"/>
        <color theme="1"/>
        <rFont val="Arial"/>
        <family val="2"/>
      </rPr>
      <t>012-2</t>
    </r>
    <phoneticPr fontId="148" type="noConversion"/>
  </si>
  <si>
    <r>
      <t>2</t>
    </r>
    <r>
      <rPr>
        <sz val="10"/>
        <color theme="1"/>
        <rFont val="Arial"/>
        <family val="2"/>
      </rPr>
      <t>012-1</t>
    </r>
    <phoneticPr fontId="148" type="noConversion"/>
  </si>
  <si>
    <r>
      <t>2</t>
    </r>
    <r>
      <rPr>
        <sz val="10"/>
        <color theme="1"/>
        <rFont val="Arial"/>
        <family val="2"/>
      </rPr>
      <t>011-4</t>
    </r>
    <phoneticPr fontId="148" type="noConversion"/>
  </si>
  <si>
    <r>
      <t>2</t>
    </r>
    <r>
      <rPr>
        <sz val="10"/>
        <color theme="1"/>
        <rFont val="Arial"/>
        <family val="2"/>
      </rPr>
      <t>011-3</t>
    </r>
    <phoneticPr fontId="148" type="noConversion"/>
  </si>
  <si>
    <r>
      <t>2</t>
    </r>
    <r>
      <rPr>
        <sz val="10"/>
        <color theme="1"/>
        <rFont val="Arial"/>
        <family val="2"/>
      </rPr>
      <t>011-2</t>
    </r>
    <phoneticPr fontId="148" type="noConversion"/>
  </si>
  <si>
    <r>
      <t>2</t>
    </r>
    <r>
      <rPr>
        <sz val="10"/>
        <color theme="1"/>
        <rFont val="Arial"/>
        <family val="2"/>
      </rPr>
      <t>011-1</t>
    </r>
    <phoneticPr fontId="148" type="noConversion"/>
  </si>
  <si>
    <r>
      <t>2</t>
    </r>
    <r>
      <rPr>
        <sz val="10"/>
        <color theme="1"/>
        <rFont val="Arial"/>
        <family val="2"/>
      </rPr>
      <t>010-4</t>
    </r>
    <phoneticPr fontId="148" type="noConversion"/>
  </si>
  <si>
    <r>
      <t>2</t>
    </r>
    <r>
      <rPr>
        <sz val="10"/>
        <color theme="1"/>
        <rFont val="Arial"/>
        <family val="2"/>
      </rPr>
      <t>010-3</t>
    </r>
    <phoneticPr fontId="148" type="noConversion"/>
  </si>
  <si>
    <r>
      <t>2</t>
    </r>
    <r>
      <rPr>
        <sz val="10"/>
        <color theme="1"/>
        <rFont val="Arial"/>
        <family val="2"/>
      </rPr>
      <t>010-2</t>
    </r>
    <phoneticPr fontId="148" type="noConversion"/>
  </si>
  <si>
    <r>
      <t>2</t>
    </r>
    <r>
      <rPr>
        <sz val="10"/>
        <color theme="1"/>
        <rFont val="Arial"/>
        <family val="2"/>
      </rPr>
      <t>010-1</t>
    </r>
    <phoneticPr fontId="148" type="noConversion"/>
  </si>
  <si>
    <r>
      <t>2</t>
    </r>
    <r>
      <rPr>
        <sz val="10"/>
        <color theme="1"/>
        <rFont val="Arial"/>
        <family val="2"/>
      </rPr>
      <t>009-4</t>
    </r>
    <phoneticPr fontId="148" type="noConversion"/>
  </si>
  <si>
    <r>
      <t>2</t>
    </r>
    <r>
      <rPr>
        <sz val="10"/>
        <color theme="1"/>
        <rFont val="Arial"/>
        <family val="2"/>
      </rPr>
      <t>009-3</t>
    </r>
    <phoneticPr fontId="148" type="noConversion"/>
  </si>
  <si>
    <r>
      <t>2</t>
    </r>
    <r>
      <rPr>
        <sz val="10"/>
        <color theme="1"/>
        <rFont val="Arial"/>
        <family val="2"/>
      </rPr>
      <t>009-2</t>
    </r>
    <phoneticPr fontId="148" type="noConversion"/>
  </si>
  <si>
    <r>
      <t>2</t>
    </r>
    <r>
      <rPr>
        <sz val="10"/>
        <color theme="1"/>
        <rFont val="Arial"/>
        <family val="2"/>
      </rPr>
      <t>009-1</t>
    </r>
    <phoneticPr fontId="148" type="noConversion"/>
  </si>
  <si>
    <r>
      <t>2</t>
    </r>
    <r>
      <rPr>
        <sz val="10"/>
        <color theme="1"/>
        <rFont val="Arial"/>
        <family val="2"/>
      </rPr>
      <t>008-4</t>
    </r>
    <phoneticPr fontId="148" type="noConversion"/>
  </si>
  <si>
    <r>
      <t>2</t>
    </r>
    <r>
      <rPr>
        <sz val="10"/>
        <color theme="1"/>
        <rFont val="Arial"/>
        <family val="2"/>
      </rPr>
      <t>008-3</t>
    </r>
    <phoneticPr fontId="148" type="noConversion"/>
  </si>
  <si>
    <r>
      <t>2</t>
    </r>
    <r>
      <rPr>
        <sz val="10"/>
        <color theme="1"/>
        <rFont val="Arial"/>
        <family val="2"/>
      </rPr>
      <t>008-2</t>
    </r>
    <phoneticPr fontId="148" type="noConversion"/>
  </si>
  <si>
    <r>
      <t>2</t>
    </r>
    <r>
      <rPr>
        <sz val="10"/>
        <color theme="1"/>
        <rFont val="Arial"/>
        <family val="2"/>
      </rPr>
      <t>008-1</t>
    </r>
    <phoneticPr fontId="148" type="noConversion"/>
  </si>
  <si>
    <r>
      <t>2</t>
    </r>
    <r>
      <rPr>
        <sz val="10"/>
        <color theme="1"/>
        <rFont val="Arial"/>
        <family val="2"/>
      </rPr>
      <t>007-4</t>
    </r>
    <phoneticPr fontId="148" type="noConversion"/>
  </si>
  <si>
    <r>
      <t>2</t>
    </r>
    <r>
      <rPr>
        <sz val="10"/>
        <color theme="1"/>
        <rFont val="Arial"/>
        <family val="2"/>
      </rPr>
      <t>007-3</t>
    </r>
    <phoneticPr fontId="148" type="noConversion"/>
  </si>
  <si>
    <r>
      <t>2</t>
    </r>
    <r>
      <rPr>
        <sz val="10"/>
        <color theme="1"/>
        <rFont val="Arial"/>
        <family val="2"/>
      </rPr>
      <t>007-2</t>
    </r>
    <phoneticPr fontId="148" type="noConversion"/>
  </si>
  <si>
    <r>
      <t>2</t>
    </r>
    <r>
      <rPr>
        <sz val="10"/>
        <color theme="1"/>
        <rFont val="Arial"/>
        <family val="2"/>
      </rPr>
      <t>007-1</t>
    </r>
    <phoneticPr fontId="148" type="noConversion"/>
  </si>
  <si>
    <r>
      <t>2</t>
    </r>
    <r>
      <rPr>
        <sz val="10"/>
        <color theme="1"/>
        <rFont val="Arial"/>
        <family val="2"/>
      </rPr>
      <t>006-4</t>
    </r>
    <phoneticPr fontId="148" type="noConversion"/>
  </si>
  <si>
    <t>2006-3</t>
    <phoneticPr fontId="148" type="noConversion"/>
  </si>
  <si>
    <t>2006-2</t>
    <phoneticPr fontId="148" type="noConversion"/>
  </si>
  <si>
    <t>2006-1</t>
    <phoneticPr fontId="148" type="noConversion"/>
  </si>
  <si>
    <r>
      <t>2</t>
    </r>
    <r>
      <rPr>
        <sz val="10"/>
        <color theme="1"/>
        <rFont val="Arial"/>
        <family val="2"/>
      </rPr>
      <t>005-4</t>
    </r>
    <phoneticPr fontId="148" type="noConversion"/>
  </si>
  <si>
    <r>
      <t>2</t>
    </r>
    <r>
      <rPr>
        <sz val="10"/>
        <color theme="1"/>
        <rFont val="Arial"/>
        <family val="2"/>
      </rPr>
      <t>005-3</t>
    </r>
    <phoneticPr fontId="148" type="noConversion"/>
  </si>
  <si>
    <r>
      <t>2</t>
    </r>
    <r>
      <rPr>
        <sz val="10"/>
        <color theme="1"/>
        <rFont val="Arial"/>
        <family val="2"/>
      </rPr>
      <t>005-2</t>
    </r>
    <phoneticPr fontId="148" type="noConversion"/>
  </si>
  <si>
    <r>
      <t>2</t>
    </r>
    <r>
      <rPr>
        <sz val="10"/>
        <color theme="1"/>
        <rFont val="Arial"/>
        <family val="2"/>
      </rPr>
      <t>005-1</t>
    </r>
    <phoneticPr fontId="148" type="noConversion"/>
  </si>
  <si>
    <r>
      <t>2</t>
    </r>
    <r>
      <rPr>
        <sz val="10"/>
        <color theme="1"/>
        <rFont val="Arial"/>
        <family val="2"/>
      </rPr>
      <t>004-4</t>
    </r>
    <phoneticPr fontId="148" type="noConversion"/>
  </si>
  <si>
    <r>
      <t>2</t>
    </r>
    <r>
      <rPr>
        <sz val="10"/>
        <color theme="1"/>
        <rFont val="Arial"/>
        <family val="2"/>
      </rPr>
      <t>004-3</t>
    </r>
    <phoneticPr fontId="148" type="noConversion"/>
  </si>
  <si>
    <r>
      <t>2</t>
    </r>
    <r>
      <rPr>
        <sz val="10"/>
        <color theme="1"/>
        <rFont val="Arial"/>
        <family val="2"/>
      </rPr>
      <t>004-2</t>
    </r>
    <phoneticPr fontId="148" type="noConversion"/>
  </si>
  <si>
    <r>
      <t>2</t>
    </r>
    <r>
      <rPr>
        <sz val="10"/>
        <color theme="1"/>
        <rFont val="Arial"/>
        <family val="2"/>
      </rPr>
      <t>004-1</t>
    </r>
    <phoneticPr fontId="148" type="noConversion"/>
  </si>
  <si>
    <r>
      <t>2</t>
    </r>
    <r>
      <rPr>
        <sz val="10"/>
        <color theme="1"/>
        <rFont val="Arial"/>
        <family val="2"/>
      </rPr>
      <t>003-4</t>
    </r>
    <phoneticPr fontId="148" type="noConversion"/>
  </si>
  <si>
    <r>
      <t>2</t>
    </r>
    <r>
      <rPr>
        <sz val="10"/>
        <color theme="1"/>
        <rFont val="Arial"/>
        <family val="2"/>
      </rPr>
      <t>003-3</t>
    </r>
    <phoneticPr fontId="148" type="noConversion"/>
  </si>
  <si>
    <r>
      <t>2</t>
    </r>
    <r>
      <rPr>
        <sz val="10"/>
        <color theme="1"/>
        <rFont val="Arial"/>
        <family val="2"/>
      </rPr>
      <t>003-2</t>
    </r>
    <phoneticPr fontId="148" type="noConversion"/>
  </si>
  <si>
    <r>
      <t>2</t>
    </r>
    <r>
      <rPr>
        <sz val="10"/>
        <color theme="1"/>
        <rFont val="Arial"/>
        <family val="2"/>
      </rPr>
      <t>003-1</t>
    </r>
    <phoneticPr fontId="148" type="noConversion"/>
  </si>
  <si>
    <r>
      <t>2</t>
    </r>
    <r>
      <rPr>
        <sz val="10"/>
        <color theme="1"/>
        <rFont val="Arial"/>
        <family val="2"/>
      </rPr>
      <t>002-4</t>
    </r>
    <phoneticPr fontId="148" type="noConversion"/>
  </si>
  <si>
    <r>
      <t>2</t>
    </r>
    <r>
      <rPr>
        <sz val="10"/>
        <color theme="1"/>
        <rFont val="Arial"/>
        <family val="2"/>
      </rPr>
      <t>002-3</t>
    </r>
    <phoneticPr fontId="148" type="noConversion"/>
  </si>
  <si>
    <r>
      <t>2</t>
    </r>
    <r>
      <rPr>
        <sz val="10"/>
        <color theme="1"/>
        <rFont val="Arial"/>
        <family val="2"/>
      </rPr>
      <t>002-2</t>
    </r>
    <phoneticPr fontId="148" type="noConversion"/>
  </si>
  <si>
    <r>
      <t>2</t>
    </r>
    <r>
      <rPr>
        <sz val="10"/>
        <color theme="1"/>
        <rFont val="Arial"/>
        <family val="2"/>
      </rPr>
      <t>002-1</t>
    </r>
    <phoneticPr fontId="148" type="noConversion"/>
  </si>
  <si>
    <t>说明</t>
    <phoneticPr fontId="14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</si>
  <si>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</si>
  <si>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</si>
  <si>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</si>
  <si>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</si>
  <si>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</si>
  <si>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</si>
  <si>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</si>
  <si>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8" type="noConversion"/>
  </si>
  <si>
    <t>封皮-估价项目名称</t>
    <phoneticPr fontId="148" type="noConversion"/>
  </si>
  <si>
    <t>封皮-估价委托人</t>
    <phoneticPr fontId="148" type="noConversion"/>
  </si>
  <si>
    <t>封皮-注册房地产估价师</t>
    <phoneticPr fontId="148" type="noConversion"/>
  </si>
  <si>
    <t>封皮-估价报告编号</t>
    <phoneticPr fontId="148" type="noConversion"/>
  </si>
  <si>
    <t>致函-委托事项</t>
    <phoneticPr fontId="148" type="noConversion"/>
  </si>
  <si>
    <t>致函-估价对象</t>
    <phoneticPr fontId="148" type="noConversion"/>
  </si>
  <si>
    <t>致函-估价目的</t>
    <phoneticPr fontId="148" type="noConversion"/>
  </si>
  <si>
    <t>致函-价值时点</t>
    <phoneticPr fontId="148" type="noConversion"/>
  </si>
  <si>
    <t>致函-价值类型-房地产</t>
    <phoneticPr fontId="148"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</si>
  <si>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</si>
  <si>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</si>
  <si>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</si>
  <si>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</si>
  <si>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</si>
  <si>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8" type="noConversion"/>
  </si>
  <si>
    <t>致函-估价结果-表1-名称</t>
    <phoneticPr fontId="151" type="noConversion"/>
  </si>
  <si>
    <t>致函-估价结果-表1-建筑面积</t>
    <phoneticPr fontId="151"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</si>
  <si>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</si>
  <si>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</si>
  <si>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</si>
  <si>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</si>
  <si>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</si>
  <si>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</si>
  <si>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</si>
  <si>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t>
    <phoneticPr fontId="151" type="noConversion"/>
  </si>
  <si>
    <t>致函-估价结果-表1-抵押（大）</t>
    <phoneticPr fontId="151" type="noConversion"/>
  </si>
  <si>
    <t>致函-估价结果-表1-已注</t>
    <phoneticPr fontId="151" type="noConversion"/>
  </si>
  <si>
    <t>致函-估价结果-表1-已注（大）</t>
    <phoneticPr fontId="151" type="noConversion"/>
  </si>
  <si>
    <t>致函-估价结果-表1-净值</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</si>
  <si>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</si>
  <si>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</si>
  <si>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</si>
  <si>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</si>
  <si>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</si>
  <si>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</si>
  <si>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</si>
  <si>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</si>
  <si>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致函-估价结果-表2-建（大）</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</si>
  <si>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</si>
  <si>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</si>
  <si>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</si>
  <si>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</si>
  <si>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</si>
  <si>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致函-特别提示-4</t>
    <phoneticPr fontId="151" type="noConversion"/>
  </si>
  <si>
    <t>致函-特别提示-5</t>
  </si>
  <si>
    <t>致函-出具日期</t>
    <phoneticPr fontId="148" type="noConversion"/>
  </si>
  <si>
    <t>致函-估价师1</t>
    <phoneticPr fontId="148" type="noConversion"/>
  </si>
  <si>
    <t>致函-估价师1-证号</t>
    <phoneticPr fontId="148" type="noConversion"/>
  </si>
  <si>
    <t>致函-估价师2</t>
    <phoneticPr fontId="148" type="noConversion"/>
  </si>
  <si>
    <t>致函-估价师2-证号</t>
    <phoneticPr fontId="148" type="noConversion"/>
  </si>
  <si>
    <t>（1）已抵押担保的债权数额</t>
  </si>
  <si>
    <t>（2）拖欠的建设工程价款</t>
  </si>
  <si>
    <t>（3）其他法定优先受偿款</t>
  </si>
  <si>
    <t>致函-特别提示-优先受偿-4</t>
  </si>
  <si>
    <t>（转下页）</t>
  </si>
  <si>
    <t>致函-估价结果-表1-总（单位）</t>
    <phoneticPr fontId="151" type="noConversion"/>
  </si>
  <si>
    <t>致函-估价结果-表1-优先</t>
    <phoneticPr fontId="151" type="noConversion"/>
  </si>
  <si>
    <t>致函-估价结果-表1-优先（单位）</t>
    <phoneticPr fontId="151"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</si>
  <si>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</si>
  <si>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</si>
  <si>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</si>
  <si>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</si>
  <si>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补充-1</t>
    <phoneticPr fontId="156" type="noConversion"/>
  </si>
  <si>
    <t>补充-2</t>
  </si>
  <si>
    <t>补充-3</t>
  </si>
  <si>
    <t>估价对象</t>
    <phoneticPr fontId="86" type="noConversion"/>
  </si>
  <si>
    <t xml:space="preserve">                                   估价对象项目及结果</t>
    <phoneticPr fontId="86" type="noConversion"/>
  </si>
  <si>
    <t>大写金额</t>
    <phoneticPr fontId="86" type="noConversion"/>
  </si>
  <si>
    <t>总价</t>
    <phoneticPr fontId="86" type="noConversion"/>
  </si>
  <si>
    <t>总额</t>
    <phoneticPr fontId="86" type="noConversion"/>
  </si>
  <si>
    <t>单价</t>
    <phoneticPr fontId="86" type="noConversion"/>
  </si>
  <si>
    <t>单价</t>
    <phoneticPr fontId="86" type="noConversion"/>
  </si>
  <si>
    <t>补充-6</t>
  </si>
  <si>
    <t>补充-7</t>
  </si>
  <si>
    <t>补充-8</t>
  </si>
  <si>
    <t>补充-9</t>
  </si>
  <si>
    <t>致函-其他专业人员</t>
    <phoneticPr fontId="156" type="noConversion"/>
  </si>
  <si>
    <t>价值时点</t>
    <phoneticPr fontId="6" type="noConversion"/>
  </si>
  <si>
    <t>开发期</t>
    <phoneticPr fontId="148" type="noConversion"/>
  </si>
  <si>
    <t>贷款利率</t>
    <phoneticPr fontId="6" type="noConversion"/>
  </si>
  <si>
    <t>贷款利率</t>
    <phoneticPr fontId="148" type="noConversion"/>
  </si>
  <si>
    <t>存款利率</t>
    <phoneticPr fontId="148" type="noConversion"/>
  </si>
  <si>
    <t>半年以内（含）</t>
    <phoneticPr fontId="6" type="noConversion"/>
  </si>
  <si>
    <t>0.5-1年（含）</t>
    <phoneticPr fontId="6" type="noConversion"/>
  </si>
  <si>
    <t>1-3年（含）</t>
    <phoneticPr fontId="6" type="noConversion"/>
  </si>
  <si>
    <t>3-5年（含）</t>
    <phoneticPr fontId="6" type="noConversion"/>
  </si>
  <si>
    <t>5年以上</t>
    <phoneticPr fontId="6" type="noConversion"/>
  </si>
  <si>
    <t>更新利率时，不要插入或删减行，会影响公式判断。当期行（13行）为固定行，只录入当期数据，如有更新，需要将历史数据从第14行起复制黏贴</t>
    <phoneticPr fontId="14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</si>
  <si>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</si>
  <si>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</si>
  <si>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6" type="noConversion"/>
  </si>
  <si>
    <t>日期</t>
  </si>
  <si>
    <t>短期</t>
  </si>
  <si>
    <t>中长期</t>
  </si>
  <si>
    <t>个人住房公积金</t>
  </si>
  <si>
    <t>活期</t>
  </si>
  <si>
    <t>整存整取</t>
  </si>
  <si>
    <t>零存整取</t>
    <phoneticPr fontId="6" type="noConversion"/>
  </si>
  <si>
    <t>协定</t>
  </si>
  <si>
    <t>一天通</t>
  </si>
  <si>
    <t>七天通</t>
  </si>
  <si>
    <t>0半年以内（含）</t>
    <phoneticPr fontId="6" type="noConversion"/>
  </si>
  <si>
    <t>0.5-1年（含）</t>
    <phoneticPr fontId="6" type="noConversion"/>
  </si>
  <si>
    <t>1-3年（含）</t>
    <phoneticPr fontId="6" type="noConversion"/>
  </si>
  <si>
    <t>3-5年（含）</t>
    <phoneticPr fontId="6" type="noConversion"/>
  </si>
  <si>
    <t>5年以</t>
  </si>
  <si>
    <t>3个月</t>
  </si>
  <si>
    <t>当期</t>
  </si>
  <si>
    <t>--</t>
  </si>
  <si>
    <t>1年期存款利率</t>
    <phoneticPr fontId="6" type="noConversion"/>
  </si>
  <si>
    <t>基准季度（基准地价）</t>
    <phoneticPr fontId="148" type="noConversion"/>
  </si>
  <si>
    <t>此处对应收益法中未来第一年总收益</t>
    <phoneticPr fontId="148" type="noConversion"/>
  </si>
  <si>
    <t>A</t>
    <phoneticPr fontId="139" type="noConversion"/>
  </si>
  <si>
    <t>B</t>
    <phoneticPr fontId="139" type="noConversion"/>
  </si>
  <si>
    <t>C</t>
    <phoneticPr fontId="139" type="noConversion"/>
  </si>
  <si>
    <t>D</t>
    <phoneticPr fontId="139" type="noConversion"/>
  </si>
  <si>
    <t>E</t>
    <phoneticPr fontId="139"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</si>
  <si>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</si>
  <si>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</si>
  <si>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</si>
  <si>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</si>
  <si>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</si>
  <si>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</si>
  <si>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</si>
  <si>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</si>
  <si>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</si>
  <si>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</si>
  <si>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</si>
  <si>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</si>
  <si>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</si>
  <si>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</si>
  <si>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</si>
  <si>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</si>
  <si>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</si>
  <si>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</si>
  <si>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</si>
  <si>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</si>
  <si>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</si>
  <si>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</si>
  <si>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</si>
  <si>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</si>
  <si>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</si>
  <si>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</si>
  <si>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8" type="noConversion"/>
  </si>
  <si>
    <t>重置成新价</t>
    <phoneticPr fontId="148" type="noConversion"/>
  </si>
  <si>
    <t>——</t>
  </si>
  <si>
    <t>致函-估价结果-表1-已注（单）</t>
    <phoneticPr fontId="151" type="noConversion"/>
  </si>
  <si>
    <t>致函-估价结果-表1-抵押（单）</t>
    <phoneticPr fontId="151" type="noConversion"/>
  </si>
  <si>
    <t>补充-4-致函-估价结果-表1-抵押（单）</t>
    <phoneticPr fontId="156" type="noConversion"/>
  </si>
  <si>
    <t>补充-5-致函-估价结果-表1-已注（单）</t>
    <phoneticPr fontId="156" type="noConversion"/>
  </si>
  <si>
    <t>2017-2</t>
    <phoneticPr fontId="6" type="noConversion"/>
  </si>
  <si>
    <t>综合</t>
    <phoneticPr fontId="6" type="noConversion"/>
  </si>
  <si>
    <t>商服</t>
    <phoneticPr fontId="6" type="noConversion"/>
  </si>
  <si>
    <t>住宅</t>
    <phoneticPr fontId="6" type="noConversion"/>
  </si>
  <si>
    <r>
      <rPr>
        <sz val="11"/>
        <color indexed="8"/>
        <rFont val="楷体_GB2312"/>
        <family val="3"/>
        <charset val="134"/>
      </rPr>
      <t>工业</t>
    </r>
    <phoneticPr fontId="6" type="noConversion"/>
  </si>
  <si>
    <t>商服</t>
    <phoneticPr fontId="6" type="noConversion"/>
  </si>
  <si>
    <r>
      <rPr>
        <b/>
        <sz val="14"/>
        <color theme="1"/>
        <rFont val="宋体"/>
        <family val="3"/>
        <charset val="134"/>
      </rPr>
      <t>估价方法：</t>
    </r>
    <phoneticPr fontId="83"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</si>
  <si>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3" type="noConversion"/>
  </si>
  <si>
    <r>
      <rPr>
        <b/>
        <sz val="18"/>
        <color theme="1"/>
        <rFont val="宋体"/>
        <family val="3"/>
        <charset val="134"/>
      </rPr>
      <t>评估意见函</t>
    </r>
    <phoneticPr fontId="83" type="noConversion"/>
  </si>
  <si>
    <r>
      <rPr>
        <b/>
        <sz val="14"/>
        <color rgb="FF000000"/>
        <rFont val="宋体"/>
        <family val="3"/>
        <charset val="134"/>
      </rPr>
      <t>估价对象：</t>
    </r>
    <phoneticPr fontId="6"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</si>
  <si>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</si>
  <si>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</si>
  <si>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</si>
  <si>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</si>
  <si>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t>单价</t>
    </r>
    <r>
      <rPr>
        <sz val="10"/>
        <color indexed="8"/>
        <rFont val="宋体"/>
        <family val="3"/>
        <charset val="134"/>
        <scheme val="minor"/>
      </rPr>
      <t>(元/平方米)</t>
    </r>
    <phoneticPr fontId="86" type="noConversion"/>
  </si>
  <si>
    <r>
      <t>结果表-1</t>
    </r>
    <r>
      <rPr>
        <b/>
        <i/>
        <sz val="12"/>
        <color theme="3" tint="0.39997558519241921"/>
        <rFont val="宋体"/>
        <family val="3"/>
        <charset val="134"/>
        <scheme val="minor"/>
      </rPr>
      <t>（有土地证）</t>
    </r>
    <phoneticPr fontId="86" type="noConversion"/>
  </si>
  <si>
    <r>
      <rPr>
        <sz val="12"/>
        <color indexed="8"/>
        <rFont val="宋体"/>
        <family val="3"/>
        <charset val="134"/>
      </rPr>
      <t>抵押物名称</t>
    </r>
  </si>
  <si>
    <r>
      <rPr>
        <sz val="12"/>
        <color indexed="8"/>
        <rFont val="宋体"/>
        <family val="3"/>
        <charset val="134"/>
      </rPr>
      <t>建筑面积</t>
    </r>
    <phoneticPr fontId="10"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</si>
  <si>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10" type="noConversion"/>
  </si>
  <si>
    <r>
      <rPr>
        <sz val="12"/>
        <color indexed="8"/>
        <rFont val="宋体"/>
        <family val="3"/>
        <charset val="134"/>
      </rPr>
      <t>建筑物价值</t>
    </r>
    <phoneticPr fontId="10"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</si>
  <si>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</si>
  <si>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</si>
  <si>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10"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</si>
  <si>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</si>
  <si>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</si>
  <si>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</si>
  <si>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</si>
  <si>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</si>
  <si>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</si>
  <si>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</si>
  <si>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</si>
  <si>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8" type="noConversion"/>
  </si>
  <si>
    <r>
      <rPr>
        <sz val="14"/>
        <color theme="1"/>
        <rFont val="宋体"/>
        <family val="3"/>
        <charset val="134"/>
      </rPr>
      <t>相关资格或职称</t>
    </r>
  </si>
  <si>
    <r>
      <rPr>
        <b/>
        <sz val="14"/>
        <color theme="1"/>
        <rFont val="宋体"/>
        <family val="3"/>
        <charset val="134"/>
      </rPr>
      <t>特别提示：</t>
    </r>
    <phoneticPr fontId="86" type="noConversion"/>
  </si>
  <si>
    <r>
      <t xml:space="preserve">      </t>
    </r>
    <r>
      <rPr>
        <sz val="14"/>
        <color theme="1"/>
        <rFont val="宋体"/>
        <family val="3"/>
        <charset val="134"/>
      </rPr>
      <t>顺致</t>
    </r>
    <phoneticPr fontId="86" type="noConversion"/>
  </si>
  <si>
    <r>
      <rPr>
        <sz val="14"/>
        <color theme="1"/>
        <rFont val="宋体"/>
        <family val="3"/>
        <charset val="134"/>
      </rPr>
      <t>商祺</t>
    </r>
    <phoneticPr fontId="86" type="noConversion"/>
  </si>
  <si>
    <r>
      <rPr>
        <sz val="14"/>
        <color theme="1"/>
        <rFont val="宋体"/>
        <family val="3"/>
        <charset val="134"/>
      </rPr>
      <t>北京康正宏基房地产评估有限公司</t>
    </r>
    <phoneticPr fontId="86"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</si>
  <si>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8"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</si>
  <si>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8"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</si>
  <si>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6" type="noConversion"/>
  </si>
  <si>
    <r>
      <rPr>
        <b/>
        <sz val="16"/>
        <color indexed="10"/>
        <rFont val="宋体"/>
        <family val="3"/>
        <charset val="134"/>
      </rPr>
      <t>假设开发法</t>
    </r>
    <phoneticPr fontId="16" type="noConversion"/>
  </si>
  <si>
    <r>
      <rPr>
        <b/>
        <sz val="12"/>
        <rFont val="宋体"/>
        <family val="3"/>
        <charset val="134"/>
      </rPr>
      <t>仅计算典型户型</t>
    </r>
  </si>
  <si>
    <r>
      <rPr>
        <b/>
        <sz val="12"/>
        <rFont val="宋体"/>
        <family val="3"/>
        <charset val="134"/>
      </rPr>
      <t>总价</t>
    </r>
    <phoneticPr fontId="17" type="noConversion"/>
  </si>
  <si>
    <r>
      <rPr>
        <b/>
        <sz val="12"/>
        <rFont val="宋体"/>
        <family val="3"/>
        <charset val="134"/>
      </rPr>
      <t>楼面单价</t>
    </r>
    <phoneticPr fontId="17"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</si>
  <si>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7"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</si>
  <si>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</si>
  <si>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</si>
  <si>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</si>
  <si>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39"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</si>
  <si>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</si>
  <si>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39"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</si>
  <si>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</si>
  <si>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39"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</si>
  <si>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</si>
  <si>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</si>
  <si>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</si>
  <si>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</si>
  <si>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</si>
  <si>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</si>
  <si>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</si>
  <si>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</si>
  <si>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</si>
  <si>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</si>
  <si>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</si>
  <si>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</si>
  <si>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</si>
  <si>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</si>
  <si>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</si>
  <si>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t>1</t>
    </r>
    <r>
      <rPr>
        <sz val="10"/>
        <color indexed="8"/>
        <rFont val="宋体"/>
        <family val="3"/>
        <charset val="134"/>
      </rPr>
      <t>）</t>
    </r>
    <phoneticPr fontId="17" type="noConversion"/>
  </si>
  <si>
    <r>
      <rPr>
        <sz val="10"/>
        <color indexed="8"/>
        <rFont val="宋体"/>
        <family val="3"/>
        <charset val="134"/>
      </rPr>
      <t>续建成本</t>
    </r>
    <phoneticPr fontId="17" type="noConversion"/>
  </si>
  <si>
    <r>
      <t>2</t>
    </r>
    <r>
      <rPr>
        <sz val="10"/>
        <color indexed="8"/>
        <rFont val="宋体"/>
        <family val="3"/>
        <charset val="134"/>
      </rPr>
      <t>）</t>
    </r>
    <phoneticPr fontId="139"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</si>
  <si>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</si>
  <si>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</si>
  <si>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t>3</t>
    </r>
    <r>
      <rPr>
        <sz val="10"/>
        <color indexed="8"/>
        <rFont val="宋体"/>
        <family val="3"/>
        <charset val="134"/>
      </rPr>
      <t>）</t>
    </r>
    <phoneticPr fontId="139" type="noConversion"/>
  </si>
  <si>
    <r>
      <rPr>
        <sz val="10"/>
        <color indexed="8"/>
        <rFont val="宋体"/>
        <family val="3"/>
        <charset val="134"/>
      </rPr>
      <t>城市基础设施建设费（行政收费）</t>
    </r>
    <phoneticPr fontId="16" type="noConversion"/>
  </si>
  <si>
    <r>
      <rPr>
        <sz val="10"/>
        <color indexed="8"/>
        <rFont val="宋体"/>
        <family val="3"/>
        <charset val="134"/>
      </rPr>
      <t>按实际未缴纳金额</t>
    </r>
    <phoneticPr fontId="16"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</si>
  <si>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</si>
  <si>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</si>
  <si>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</si>
  <si>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7"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</si>
  <si>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</si>
  <si>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</si>
  <si>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</si>
  <si>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</si>
  <si>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39" type="noConversion"/>
  </si>
  <si>
    <r>
      <rPr>
        <b/>
        <sz val="11"/>
        <color indexed="8"/>
        <rFont val="宋体"/>
        <family val="3"/>
        <charset val="134"/>
      </rPr>
      <t>取得税费</t>
    </r>
    <phoneticPr fontId="16"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</si>
  <si>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</si>
  <si>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39" type="noConversion"/>
  </si>
  <si>
    <r>
      <rPr>
        <b/>
        <sz val="11"/>
        <color indexed="8"/>
        <rFont val="宋体"/>
        <family val="3"/>
        <charset val="134"/>
      </rPr>
      <t>利息</t>
    </r>
    <phoneticPr fontId="16" type="noConversion"/>
  </si>
  <si>
    <r>
      <rPr>
        <sz val="10"/>
        <color indexed="8"/>
        <rFont val="宋体"/>
        <family val="3"/>
        <charset val="134"/>
      </rPr>
      <t>后续开发成本、管理费用及销售费用产生的利息。</t>
    </r>
    <phoneticPr fontId="16" type="noConversion"/>
  </si>
  <si>
    <r>
      <t>1</t>
    </r>
    <r>
      <rPr>
        <sz val="10"/>
        <color indexed="8"/>
        <rFont val="宋体"/>
        <family val="3"/>
        <charset val="134"/>
      </rPr>
      <t>）</t>
    </r>
    <phoneticPr fontId="139" type="noConversion"/>
  </si>
  <si>
    <r>
      <rPr>
        <sz val="10"/>
        <color indexed="8"/>
        <rFont val="宋体"/>
        <family val="3"/>
        <charset val="134"/>
      </rPr>
      <t>估价对象及取得税费产生的利息</t>
    </r>
    <phoneticPr fontId="16"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</si>
  <si>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6"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</si>
  <si>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</si>
  <si>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39" type="noConversion"/>
  </si>
  <si>
    <r>
      <rPr>
        <b/>
        <sz val="11"/>
        <color indexed="8"/>
        <rFont val="宋体"/>
        <family val="3"/>
        <charset val="134"/>
      </rPr>
      <t>利润</t>
    </r>
    <phoneticPr fontId="16" type="noConversion"/>
  </si>
  <si>
    <r>
      <t>1</t>
    </r>
    <r>
      <rPr>
        <sz val="10"/>
        <color indexed="8"/>
        <rFont val="宋体"/>
        <family val="3"/>
        <charset val="134"/>
      </rPr>
      <t>）</t>
    </r>
    <phoneticPr fontId="139"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</si>
  <si>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</si>
  <si>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</si>
  <si>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t>2</t>
    </r>
    <r>
      <rPr>
        <sz val="10"/>
        <color indexed="8"/>
        <rFont val="宋体"/>
        <family val="3"/>
        <charset val="134"/>
      </rPr>
      <t>）</t>
    </r>
    <phoneticPr fontId="139"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</si>
  <si>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</si>
  <si>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39"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</si>
  <si>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</si>
  <si>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</si>
  <si>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phoneticPr fontId="17" type="noConversion"/>
  </si>
  <si>
    <r>
      <rPr>
        <b/>
        <sz val="12"/>
        <color indexed="8"/>
        <rFont val="宋体"/>
        <family val="3"/>
        <charset val="134"/>
      </rPr>
      <t>估价对象价值</t>
    </r>
    <r>
      <rPr>
        <b/>
        <sz val="12"/>
        <color indexed="8"/>
        <rFont val="Arial"/>
        <family val="2"/>
      </rPr>
      <t>=1-2</t>
    </r>
    <phoneticPr fontId="16"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</si>
  <si>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30" type="noConversion"/>
  </si>
  <si>
    <r>
      <rPr>
        <b/>
        <sz val="12"/>
        <color indexed="8"/>
        <rFont val="宋体"/>
        <family val="3"/>
        <charset val="134"/>
      </rPr>
      <t>录入项</t>
    </r>
    <phoneticPr fontId="6" type="noConversion"/>
  </si>
  <si>
    <r>
      <rPr>
        <sz val="11"/>
        <color indexed="8"/>
        <rFont val="宋体"/>
        <family val="3"/>
        <charset val="134"/>
      </rPr>
      <t>无底纹单元格</t>
    </r>
    <phoneticPr fontId="30" type="noConversion"/>
  </si>
  <si>
    <r>
      <rPr>
        <b/>
        <sz val="12"/>
        <color indexed="8"/>
        <rFont val="宋体"/>
        <family val="3"/>
        <charset val="134"/>
      </rPr>
      <t>下拉菜单</t>
    </r>
  </si>
  <si>
    <r>
      <rPr>
        <sz val="11"/>
        <color indexed="8"/>
        <rFont val="宋体"/>
        <family val="3"/>
        <charset val="134"/>
      </rPr>
      <t>黄色底纹单元格</t>
    </r>
    <phoneticPr fontId="30" type="noConversion"/>
  </si>
  <si>
    <r>
      <rPr>
        <b/>
        <sz val="12"/>
        <color indexed="8"/>
        <rFont val="宋体"/>
        <family val="3"/>
        <charset val="134"/>
      </rPr>
      <t>锁定项</t>
    </r>
    <phoneticPr fontId="6" type="noConversion"/>
  </si>
  <si>
    <r>
      <rPr>
        <sz val="11"/>
        <color indexed="8"/>
        <rFont val="宋体"/>
        <family val="3"/>
        <charset val="134"/>
      </rPr>
      <t>灰色底纹单元格</t>
    </r>
    <phoneticPr fontId="30" type="noConversion"/>
  </si>
  <si>
    <r>
      <rPr>
        <b/>
        <sz val="12"/>
        <color indexed="13"/>
        <rFont val="宋体"/>
        <family val="3"/>
        <charset val="134"/>
      </rPr>
      <t>错误提示</t>
    </r>
    <phoneticPr fontId="30" type="noConversion"/>
  </si>
  <si>
    <r>
      <rPr>
        <sz val="11"/>
        <color indexed="8"/>
        <rFont val="宋体"/>
        <family val="3"/>
        <charset val="134"/>
      </rPr>
      <t>红色底纹黄色字体</t>
    </r>
    <phoneticPr fontId="30" type="noConversion"/>
  </si>
  <si>
    <r>
      <rPr>
        <b/>
        <sz val="12"/>
        <color indexed="10"/>
        <rFont val="宋体"/>
        <family val="3"/>
        <charset val="134"/>
      </rPr>
      <t>特别提示</t>
    </r>
    <phoneticPr fontId="30" type="noConversion"/>
  </si>
  <si>
    <r>
      <rPr>
        <sz val="11"/>
        <color indexed="8"/>
        <rFont val="宋体"/>
        <family val="3"/>
        <charset val="134"/>
      </rPr>
      <t>红色字体</t>
    </r>
    <phoneticPr fontId="30" type="noConversion"/>
  </si>
  <si>
    <r>
      <rPr>
        <b/>
        <sz val="12"/>
        <color indexed="8"/>
        <rFont val="宋体"/>
        <family val="3"/>
        <charset val="134"/>
      </rPr>
      <t>关注批注角标</t>
    </r>
    <phoneticPr fontId="30" type="noConversion"/>
  </si>
  <si>
    <r>
      <rPr>
        <sz val="11"/>
        <color indexed="8"/>
        <rFont val="宋体"/>
        <family val="3"/>
        <charset val="134"/>
      </rPr>
      <t>基础表</t>
    </r>
    <phoneticPr fontId="6" type="noConversion"/>
  </si>
  <si>
    <r>
      <rPr>
        <sz val="11"/>
        <color indexed="8"/>
        <rFont val="宋体"/>
        <family val="3"/>
        <charset val="134"/>
      </rPr>
      <t>定义</t>
    </r>
    <phoneticPr fontId="6" type="noConversion"/>
  </si>
  <si>
    <r>
      <rPr>
        <sz val="11"/>
        <color indexed="8"/>
        <rFont val="宋体"/>
        <family val="3"/>
        <charset val="134"/>
      </rPr>
      <t>项目基本情况</t>
    </r>
    <phoneticPr fontId="6"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</si>
  <si>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6" type="noConversion"/>
  </si>
  <si>
    <r>
      <rPr>
        <sz val="11"/>
        <color indexed="8"/>
        <rFont val="宋体"/>
        <family val="3"/>
        <charset val="134"/>
      </rPr>
      <t>房地状况</t>
    </r>
    <phoneticPr fontId="6" type="noConversion"/>
  </si>
  <si>
    <r>
      <rPr>
        <sz val="11"/>
        <color indexed="8"/>
        <rFont val="宋体"/>
        <family val="3"/>
        <charset val="134"/>
      </rPr>
      <t>结果表</t>
    </r>
    <phoneticPr fontId="6" type="noConversion"/>
  </si>
  <si>
    <r>
      <rPr>
        <sz val="11"/>
        <color indexed="8"/>
        <rFont val="宋体"/>
        <family val="3"/>
        <charset val="134"/>
      </rPr>
      <t>方法</t>
    </r>
    <phoneticPr fontId="6" type="noConversion"/>
  </si>
  <si>
    <r>
      <rPr>
        <sz val="11"/>
        <color indexed="8"/>
        <rFont val="宋体"/>
        <family val="3"/>
        <charset val="134"/>
      </rPr>
      <t>成本</t>
    </r>
    <phoneticPr fontId="6" type="noConversion"/>
  </si>
  <si>
    <r>
      <rPr>
        <sz val="11"/>
        <color indexed="8"/>
        <rFont val="宋体"/>
        <family val="3"/>
        <charset val="134"/>
      </rPr>
      <t>假开</t>
    </r>
    <phoneticPr fontId="6" type="noConversion"/>
  </si>
  <si>
    <r>
      <rPr>
        <sz val="11"/>
        <color indexed="8"/>
        <rFont val="宋体"/>
        <family val="3"/>
        <charset val="134"/>
      </rPr>
      <t>收益</t>
    </r>
    <phoneticPr fontId="6" type="noConversion"/>
  </si>
  <si>
    <r>
      <rPr>
        <sz val="11"/>
        <color indexed="8"/>
        <rFont val="宋体"/>
        <family val="3"/>
        <charset val="134"/>
      </rPr>
      <t>比较</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</si>
  <si>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</si>
  <si>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</si>
  <si>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</si>
  <si>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工业</t>
    </r>
    <phoneticPr fontId="30" type="noConversion"/>
  </si>
  <si>
    <r>
      <rPr>
        <sz val="11"/>
        <color indexed="8"/>
        <rFont val="宋体"/>
        <family val="3"/>
        <charset val="134"/>
      </rPr>
      <t>车位</t>
    </r>
    <phoneticPr fontId="30" type="noConversion"/>
  </si>
  <si>
    <r>
      <rPr>
        <sz val="11"/>
        <color indexed="8"/>
        <rFont val="宋体"/>
        <family val="3"/>
        <charset val="134"/>
      </rPr>
      <t>仓储</t>
    </r>
    <phoneticPr fontId="30"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</si>
  <si>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30"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</si>
  <si>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30" type="noConversion"/>
  </si>
  <si>
    <r>
      <rPr>
        <sz val="11"/>
        <color indexed="8"/>
        <rFont val="宋体"/>
        <family val="3"/>
        <charset val="134"/>
      </rPr>
      <t>典型户型修正</t>
    </r>
    <phoneticPr fontId="30"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</si>
  <si>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30" type="noConversion"/>
  </si>
  <si>
    <r>
      <rPr>
        <sz val="11"/>
        <color indexed="8"/>
        <rFont val="宋体"/>
        <family val="3"/>
        <charset val="134"/>
      </rPr>
      <t>用途类型</t>
    </r>
    <phoneticPr fontId="16" type="noConversion"/>
  </si>
  <si>
    <r>
      <rPr>
        <sz val="11"/>
        <color indexed="8"/>
        <rFont val="宋体"/>
        <family val="3"/>
        <charset val="134"/>
      </rPr>
      <t>估价方法</t>
    </r>
    <phoneticPr fontId="16" type="noConversion"/>
  </si>
  <si>
    <r>
      <rPr>
        <sz val="11"/>
        <color theme="1"/>
        <rFont val="宋体"/>
        <family val="3"/>
        <charset val="134"/>
      </rPr>
      <t>土地级别</t>
    </r>
    <phoneticPr fontId="16" type="noConversion"/>
  </si>
  <si>
    <r>
      <rPr>
        <sz val="11"/>
        <color indexed="8"/>
        <rFont val="宋体"/>
        <family val="3"/>
        <charset val="134"/>
      </rPr>
      <t>判定</t>
    </r>
    <phoneticPr fontId="16" type="noConversion"/>
  </si>
  <si>
    <r>
      <rPr>
        <sz val="11"/>
        <color indexed="8"/>
        <rFont val="宋体"/>
        <family val="3"/>
        <charset val="134"/>
      </rPr>
      <t>位置</t>
    </r>
    <phoneticPr fontId="16" type="noConversion"/>
  </si>
  <si>
    <r>
      <rPr>
        <sz val="11"/>
        <color indexed="8"/>
        <rFont val="宋体"/>
        <family val="3"/>
        <charset val="134"/>
      </rPr>
      <t>主用途</t>
    </r>
    <phoneticPr fontId="16" type="noConversion"/>
  </si>
  <si>
    <r>
      <rPr>
        <sz val="11"/>
        <color indexed="8"/>
        <rFont val="宋体"/>
        <family val="3"/>
        <charset val="134"/>
      </rPr>
      <t>法定最高年限</t>
    </r>
    <phoneticPr fontId="16" type="noConversion"/>
  </si>
  <si>
    <r>
      <rPr>
        <sz val="11"/>
        <color indexed="8"/>
        <rFont val="宋体"/>
        <family val="3"/>
        <charset val="134"/>
      </rPr>
      <t>地类判定</t>
    </r>
    <phoneticPr fontId="16" type="noConversion"/>
  </si>
  <si>
    <r>
      <rPr>
        <sz val="11"/>
        <color indexed="8"/>
        <rFont val="宋体"/>
        <family val="3"/>
        <charset val="134"/>
      </rPr>
      <t>土地年限区间</t>
    </r>
    <phoneticPr fontId="16" type="noConversion"/>
  </si>
  <si>
    <r>
      <rPr>
        <sz val="11"/>
        <color indexed="8"/>
        <rFont val="宋体"/>
        <family val="3"/>
        <charset val="134"/>
      </rPr>
      <t>类别</t>
    </r>
    <phoneticPr fontId="16" type="noConversion"/>
  </si>
  <si>
    <r>
      <rPr>
        <sz val="11"/>
        <color indexed="8"/>
        <rFont val="宋体"/>
        <family val="3"/>
        <charset val="134"/>
      </rPr>
      <t>居住社区成熟度</t>
    </r>
    <phoneticPr fontId="16" type="noConversion"/>
  </si>
  <si>
    <r>
      <rPr>
        <sz val="11"/>
        <color indexed="8"/>
        <rFont val="宋体"/>
        <family val="3"/>
        <charset val="134"/>
      </rPr>
      <t>商业繁华度</t>
    </r>
    <phoneticPr fontId="16" type="noConversion"/>
  </si>
  <si>
    <r>
      <rPr>
        <sz val="11"/>
        <color indexed="8"/>
        <rFont val="宋体"/>
        <family val="3"/>
        <charset val="134"/>
      </rPr>
      <t>办公集聚程度</t>
    </r>
    <phoneticPr fontId="16" type="noConversion"/>
  </si>
  <si>
    <r>
      <rPr>
        <sz val="11"/>
        <color indexed="8"/>
        <rFont val="宋体"/>
        <family val="3"/>
        <charset val="134"/>
      </rPr>
      <t>产业集聚程度</t>
    </r>
    <phoneticPr fontId="16" type="noConversion"/>
  </si>
  <si>
    <r>
      <rPr>
        <sz val="11"/>
        <color indexed="8"/>
        <rFont val="宋体"/>
        <family val="3"/>
        <charset val="134"/>
      </rPr>
      <t>交通便捷度</t>
    </r>
    <phoneticPr fontId="16" type="noConversion"/>
  </si>
  <si>
    <r>
      <rPr>
        <sz val="11"/>
        <color indexed="8"/>
        <rFont val="宋体"/>
        <family val="3"/>
        <charset val="134"/>
      </rPr>
      <t>区域土地利用方向</t>
    </r>
    <phoneticPr fontId="39" type="noConversion"/>
  </si>
  <si>
    <r>
      <rPr>
        <sz val="11"/>
        <color indexed="8"/>
        <rFont val="宋体"/>
        <family val="3"/>
        <charset val="134"/>
      </rPr>
      <t>公共配套设施</t>
    </r>
    <phoneticPr fontId="16" type="noConversion"/>
  </si>
  <si>
    <r>
      <rPr>
        <sz val="11"/>
        <color indexed="8"/>
        <rFont val="宋体"/>
        <family val="3"/>
        <charset val="134"/>
      </rPr>
      <t>基础设施水平</t>
    </r>
    <phoneticPr fontId="16" type="noConversion"/>
  </si>
  <si>
    <r>
      <rPr>
        <sz val="11"/>
        <color indexed="8"/>
        <rFont val="宋体"/>
        <family val="3"/>
        <charset val="134"/>
      </rPr>
      <t>环境质量</t>
    </r>
    <phoneticPr fontId="16" type="noConversion"/>
  </si>
  <si>
    <r>
      <rPr>
        <sz val="11"/>
        <color indexed="8"/>
        <rFont val="宋体"/>
        <family val="3"/>
        <charset val="134"/>
      </rPr>
      <t>临街状况</t>
    </r>
    <phoneticPr fontId="39" type="noConversion"/>
  </si>
  <si>
    <r>
      <rPr>
        <sz val="11"/>
        <color indexed="8"/>
        <rFont val="宋体"/>
        <family val="3"/>
        <charset val="134"/>
      </rPr>
      <t>内部装修维护情况</t>
    </r>
    <phoneticPr fontId="16" type="noConversion"/>
  </si>
  <si>
    <r>
      <rPr>
        <sz val="11"/>
        <color indexed="8"/>
        <rFont val="宋体"/>
        <family val="3"/>
        <charset val="134"/>
      </rPr>
      <t>单价内涵</t>
    </r>
    <phoneticPr fontId="16" type="noConversion"/>
  </si>
  <si>
    <r>
      <rPr>
        <sz val="11"/>
        <color theme="1"/>
        <rFont val="宋体"/>
        <family val="3"/>
        <charset val="134"/>
      </rPr>
      <t>五等判定</t>
    </r>
    <phoneticPr fontId="16" type="noConversion"/>
  </si>
  <si>
    <r>
      <rPr>
        <sz val="11"/>
        <color theme="1"/>
        <rFont val="宋体"/>
        <family val="3"/>
        <charset val="134"/>
      </rPr>
      <t>结构</t>
    </r>
    <phoneticPr fontId="16" type="noConversion"/>
  </si>
  <si>
    <r>
      <rPr>
        <sz val="11"/>
        <color theme="1"/>
        <rFont val="宋体"/>
        <family val="3"/>
        <charset val="134"/>
      </rPr>
      <t>建筑使用方向</t>
    </r>
    <phoneticPr fontId="16" type="noConversion"/>
  </si>
  <si>
    <r>
      <rPr>
        <sz val="11"/>
        <color indexed="8"/>
        <rFont val="宋体"/>
        <family val="3"/>
        <charset val="134"/>
      </rPr>
      <t>成本法</t>
    </r>
    <phoneticPr fontId="6" type="noConversion"/>
  </si>
  <si>
    <r>
      <rPr>
        <sz val="11"/>
        <color theme="1"/>
        <rFont val="宋体"/>
        <family val="3"/>
        <charset val="134"/>
      </rPr>
      <t>一级</t>
    </r>
    <phoneticPr fontId="6" type="noConversion"/>
  </si>
  <si>
    <r>
      <rPr>
        <sz val="11"/>
        <color indexed="8"/>
        <rFont val="宋体"/>
        <family val="3"/>
        <charset val="134"/>
      </rPr>
      <t>是</t>
    </r>
    <phoneticPr fontId="16" type="noConversion"/>
  </si>
  <si>
    <r>
      <rPr>
        <sz val="11"/>
        <color indexed="8"/>
        <rFont val="宋体"/>
        <family val="3"/>
        <charset val="134"/>
      </rPr>
      <t>地上</t>
    </r>
    <phoneticPr fontId="16" type="noConversion"/>
  </si>
  <si>
    <r>
      <rPr>
        <sz val="11"/>
        <color indexed="8"/>
        <rFont val="宋体"/>
        <family val="3"/>
        <charset val="134"/>
      </rPr>
      <t>住宅</t>
    </r>
    <phoneticPr fontId="16" type="noConversion"/>
  </si>
  <si>
    <r>
      <t>60-70</t>
    </r>
    <r>
      <rPr>
        <sz val="11"/>
        <color indexed="8"/>
        <rFont val="宋体"/>
        <family val="3"/>
        <charset val="134"/>
      </rPr>
      <t>（含）</t>
    </r>
    <phoneticPr fontId="16" type="noConversion"/>
  </si>
  <si>
    <r>
      <rPr>
        <sz val="11"/>
        <color indexed="8"/>
        <rFont val="宋体"/>
        <family val="3"/>
        <charset val="134"/>
      </rPr>
      <t>经营性</t>
    </r>
    <phoneticPr fontId="16" type="noConversion"/>
  </si>
  <si>
    <r>
      <rPr>
        <sz val="11"/>
        <color indexed="8"/>
        <rFont val="宋体"/>
        <family val="3"/>
        <charset val="134"/>
      </rPr>
      <t>好</t>
    </r>
  </si>
  <si>
    <r>
      <rPr>
        <sz val="11"/>
        <color theme="1"/>
        <rFont val="宋体"/>
        <family val="3"/>
        <charset val="134"/>
      </rPr>
      <t>七通</t>
    </r>
    <phoneticPr fontId="16" type="noConversion"/>
  </si>
  <si>
    <r>
      <rPr>
        <sz val="11"/>
        <color indexed="8"/>
        <rFont val="宋体"/>
        <family val="3"/>
        <charset val="134"/>
      </rPr>
      <t>多面临街</t>
    </r>
    <phoneticPr fontId="39" type="noConversion"/>
  </si>
  <si>
    <r>
      <rPr>
        <sz val="11"/>
        <color indexed="8"/>
        <rFont val="宋体"/>
        <family val="3"/>
        <charset val="134"/>
      </rPr>
      <t>单位面积地价</t>
    </r>
    <phoneticPr fontId="16" type="noConversion"/>
  </si>
  <si>
    <r>
      <rPr>
        <sz val="11"/>
        <color theme="1"/>
        <rFont val="宋体"/>
        <family val="3"/>
        <charset val="134"/>
      </rPr>
      <t>钢</t>
    </r>
    <phoneticPr fontId="16" type="noConversion"/>
  </si>
  <si>
    <r>
      <rPr>
        <sz val="11"/>
        <color theme="1"/>
        <rFont val="宋体"/>
        <family val="3"/>
        <charset val="134"/>
      </rPr>
      <t>非生产用房</t>
    </r>
    <phoneticPr fontId="16" type="noConversion"/>
  </si>
  <si>
    <r>
      <rPr>
        <sz val="11"/>
        <color indexed="8"/>
        <rFont val="宋体"/>
        <family val="3"/>
        <charset val="134"/>
      </rPr>
      <t>平层住宅</t>
    </r>
    <phoneticPr fontId="16"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</si>
  <si>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6" type="noConversion"/>
  </si>
  <si>
    <r>
      <rPr>
        <sz val="11"/>
        <color theme="1"/>
        <rFont val="宋体"/>
        <family val="3"/>
        <charset val="134"/>
      </rPr>
      <t>二级</t>
    </r>
    <phoneticPr fontId="6" type="noConversion"/>
  </si>
  <si>
    <r>
      <rPr>
        <sz val="11"/>
        <color indexed="8"/>
        <rFont val="宋体"/>
        <family val="3"/>
        <charset val="134"/>
      </rPr>
      <t>否</t>
    </r>
    <phoneticPr fontId="16" type="noConversion"/>
  </si>
  <si>
    <r>
      <rPr>
        <sz val="11"/>
        <color indexed="8"/>
        <rFont val="宋体"/>
        <family val="3"/>
        <charset val="134"/>
      </rPr>
      <t>商业</t>
    </r>
    <phoneticPr fontId="16" type="noConversion"/>
  </si>
  <si>
    <r>
      <t>50-60</t>
    </r>
    <r>
      <rPr>
        <sz val="11"/>
        <color indexed="8"/>
        <rFont val="宋体"/>
        <family val="3"/>
        <charset val="134"/>
      </rPr>
      <t>（含）</t>
    </r>
    <phoneticPr fontId="16" type="noConversion"/>
  </si>
  <si>
    <r>
      <rPr>
        <sz val="11"/>
        <color indexed="8"/>
        <rFont val="宋体"/>
        <family val="3"/>
        <charset val="134"/>
      </rPr>
      <t>非经营性</t>
    </r>
    <phoneticPr fontId="16" type="noConversion"/>
  </si>
  <si>
    <r>
      <rPr>
        <sz val="11"/>
        <color indexed="8"/>
        <rFont val="宋体"/>
        <family val="3"/>
        <charset val="134"/>
      </rPr>
      <t>较好</t>
    </r>
  </si>
  <si>
    <r>
      <rPr>
        <sz val="11"/>
        <color theme="1"/>
        <rFont val="宋体"/>
        <family val="3"/>
        <charset val="134"/>
      </rPr>
      <t>六通</t>
    </r>
    <phoneticPr fontId="16" type="noConversion"/>
  </si>
  <si>
    <r>
      <rPr>
        <sz val="11"/>
        <color indexed="8"/>
        <rFont val="宋体"/>
        <family val="3"/>
        <charset val="134"/>
      </rPr>
      <t>双面临街</t>
    </r>
    <phoneticPr fontId="39" type="noConversion"/>
  </si>
  <si>
    <r>
      <rPr>
        <sz val="11"/>
        <color indexed="8"/>
        <rFont val="宋体"/>
        <family val="3"/>
        <charset val="134"/>
      </rPr>
      <t>楼面地价</t>
    </r>
    <phoneticPr fontId="16" type="noConversion"/>
  </si>
  <si>
    <r>
      <rPr>
        <sz val="11"/>
        <color theme="1"/>
        <rFont val="宋体"/>
        <family val="3"/>
        <charset val="134"/>
      </rPr>
      <t>钢混</t>
    </r>
    <phoneticPr fontId="16" type="noConversion"/>
  </si>
  <si>
    <r>
      <rPr>
        <sz val="11"/>
        <color theme="1"/>
        <rFont val="宋体"/>
        <family val="3"/>
        <charset val="134"/>
      </rPr>
      <t>生产用房</t>
    </r>
    <phoneticPr fontId="16" type="noConversion"/>
  </si>
  <si>
    <r>
      <t>LOFT</t>
    </r>
    <r>
      <rPr>
        <sz val="11"/>
        <color indexed="8"/>
        <rFont val="宋体"/>
        <family val="3"/>
        <charset val="134"/>
      </rPr>
      <t>住宅</t>
    </r>
    <phoneticPr fontId="16"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</si>
  <si>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6" type="noConversion"/>
  </si>
  <si>
    <r>
      <rPr>
        <sz val="11"/>
        <color theme="1"/>
        <rFont val="宋体"/>
        <family val="3"/>
        <charset val="134"/>
      </rPr>
      <t>三级</t>
    </r>
    <phoneticPr fontId="6" type="noConversion"/>
  </si>
  <si>
    <r>
      <rPr>
        <sz val="11"/>
        <color indexed="8"/>
        <rFont val="宋体"/>
        <family val="3"/>
        <charset val="134"/>
      </rPr>
      <t>地下</t>
    </r>
    <phoneticPr fontId="16" type="noConversion"/>
  </si>
  <si>
    <r>
      <rPr>
        <sz val="11"/>
        <color indexed="8"/>
        <rFont val="宋体"/>
        <family val="3"/>
        <charset val="134"/>
      </rPr>
      <t>办公</t>
    </r>
    <phoneticPr fontId="16" type="noConversion"/>
  </si>
  <si>
    <r>
      <t>40-50</t>
    </r>
    <r>
      <rPr>
        <sz val="11"/>
        <color indexed="8"/>
        <rFont val="宋体"/>
        <family val="3"/>
        <charset val="134"/>
      </rPr>
      <t>（含）</t>
    </r>
    <phoneticPr fontId="16" type="noConversion"/>
  </si>
  <si>
    <r>
      <rPr>
        <sz val="11"/>
        <color indexed="8"/>
        <rFont val="宋体"/>
        <family val="3"/>
        <charset val="134"/>
      </rPr>
      <t>一般</t>
    </r>
  </si>
  <si>
    <r>
      <rPr>
        <sz val="11"/>
        <color theme="1"/>
        <rFont val="宋体"/>
        <family val="3"/>
        <charset val="134"/>
      </rPr>
      <t>五通</t>
    </r>
    <phoneticPr fontId="16" type="noConversion"/>
  </si>
  <si>
    <r>
      <rPr>
        <sz val="11"/>
        <color indexed="8"/>
        <rFont val="宋体"/>
        <family val="3"/>
        <charset val="134"/>
      </rPr>
      <t>单面临街</t>
    </r>
    <phoneticPr fontId="39" type="noConversion"/>
  </si>
  <si>
    <r>
      <rPr>
        <sz val="11"/>
        <color theme="1"/>
        <rFont val="宋体"/>
        <family val="3"/>
        <charset val="134"/>
      </rPr>
      <t>砖混</t>
    </r>
    <phoneticPr fontId="16" type="noConversion"/>
  </si>
  <si>
    <r>
      <rPr>
        <sz val="11"/>
        <color theme="1"/>
        <rFont val="宋体"/>
        <family val="3"/>
        <charset val="134"/>
      </rPr>
      <t>受腐蚀的生产用房</t>
    </r>
    <phoneticPr fontId="16" type="noConversion"/>
  </si>
  <si>
    <r>
      <rPr>
        <sz val="11"/>
        <color indexed="8"/>
        <rFont val="宋体"/>
        <family val="3"/>
        <charset val="134"/>
      </rPr>
      <t>普通住宅</t>
    </r>
    <phoneticPr fontId="16" type="noConversion"/>
  </si>
  <si>
    <r>
      <rPr>
        <sz val="11"/>
        <color indexed="8"/>
        <rFont val="宋体"/>
        <family val="3"/>
        <charset val="134"/>
      </rPr>
      <t>假设开发法</t>
    </r>
    <phoneticPr fontId="6" type="noConversion"/>
  </si>
  <si>
    <r>
      <rPr>
        <sz val="11"/>
        <color theme="1"/>
        <rFont val="宋体"/>
        <family val="3"/>
        <charset val="134"/>
      </rPr>
      <t>四级</t>
    </r>
    <phoneticPr fontId="6" type="noConversion"/>
  </si>
  <si>
    <r>
      <rPr>
        <sz val="11"/>
        <color indexed="8"/>
        <rFont val="宋体"/>
        <family val="3"/>
        <charset val="134"/>
      </rPr>
      <t>工业</t>
    </r>
    <phoneticPr fontId="16" type="noConversion"/>
  </si>
  <si>
    <r>
      <rPr>
        <sz val="11"/>
        <color indexed="8"/>
        <rFont val="宋体"/>
        <family val="3"/>
        <charset val="134"/>
      </rPr>
      <t>车库</t>
    </r>
    <phoneticPr fontId="16" type="noConversion"/>
  </si>
  <si>
    <r>
      <t>30-40</t>
    </r>
    <r>
      <rPr>
        <sz val="11"/>
        <color indexed="8"/>
        <rFont val="宋体"/>
        <family val="3"/>
        <charset val="134"/>
      </rPr>
      <t>（含）</t>
    </r>
    <phoneticPr fontId="16" type="noConversion"/>
  </si>
  <si>
    <r>
      <rPr>
        <sz val="11"/>
        <color indexed="8"/>
        <rFont val="宋体"/>
        <family val="3"/>
        <charset val="134"/>
      </rPr>
      <t>较差</t>
    </r>
  </si>
  <si>
    <r>
      <rPr>
        <sz val="11"/>
        <color theme="1"/>
        <rFont val="宋体"/>
        <family val="3"/>
        <charset val="134"/>
      </rPr>
      <t>四通</t>
    </r>
    <phoneticPr fontId="16" type="noConversion"/>
  </si>
  <si>
    <r>
      <rPr>
        <sz val="11"/>
        <color indexed="8"/>
        <rFont val="宋体"/>
        <family val="3"/>
        <charset val="134"/>
      </rPr>
      <t>不临街</t>
    </r>
    <phoneticPr fontId="39" type="noConversion"/>
  </si>
  <si>
    <r>
      <rPr>
        <sz val="11"/>
        <color indexed="8"/>
        <rFont val="宋体"/>
        <family val="3"/>
        <charset val="134"/>
      </rPr>
      <t>公寓</t>
    </r>
    <phoneticPr fontId="16" type="noConversion"/>
  </si>
  <si>
    <r>
      <rPr>
        <sz val="11"/>
        <color indexed="8"/>
        <rFont val="宋体"/>
        <family val="3"/>
        <charset val="134"/>
      </rPr>
      <t>收益法</t>
    </r>
    <phoneticPr fontId="6" type="noConversion"/>
  </si>
  <si>
    <r>
      <rPr>
        <sz val="11"/>
        <color indexed="8"/>
        <rFont val="宋体"/>
        <family val="3"/>
        <charset val="134"/>
      </rPr>
      <t>五级</t>
    </r>
    <phoneticPr fontId="6" type="noConversion"/>
  </si>
  <si>
    <r>
      <rPr>
        <sz val="11"/>
        <color indexed="8"/>
        <rFont val="宋体"/>
        <family val="3"/>
        <charset val="134"/>
      </rPr>
      <t>车库</t>
    </r>
    <phoneticPr fontId="16" type="noConversion"/>
  </si>
  <si>
    <r>
      <rPr>
        <sz val="11"/>
        <color indexed="8"/>
        <rFont val="宋体"/>
        <family val="3"/>
        <charset val="134"/>
      </rPr>
      <t>仓储</t>
    </r>
    <phoneticPr fontId="16" type="noConversion"/>
  </si>
  <si>
    <r>
      <t>20-30</t>
    </r>
    <r>
      <rPr>
        <sz val="11"/>
        <color indexed="8"/>
        <rFont val="宋体"/>
        <family val="3"/>
        <charset val="134"/>
      </rPr>
      <t>（含）</t>
    </r>
    <phoneticPr fontId="16" type="noConversion"/>
  </si>
  <si>
    <r>
      <rPr>
        <sz val="11"/>
        <color indexed="8"/>
        <rFont val="宋体"/>
        <family val="3"/>
        <charset val="134"/>
      </rPr>
      <t>差</t>
    </r>
  </si>
  <si>
    <r>
      <rPr>
        <sz val="11"/>
        <color theme="1"/>
        <rFont val="宋体"/>
        <family val="3"/>
        <charset val="134"/>
      </rPr>
      <t>三通</t>
    </r>
    <phoneticPr fontId="16" type="noConversion"/>
  </si>
  <si>
    <r>
      <rPr>
        <sz val="11"/>
        <color indexed="8"/>
        <rFont val="宋体"/>
        <family val="3"/>
        <charset val="134"/>
      </rPr>
      <t>洋房</t>
    </r>
    <phoneticPr fontId="16"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</si>
  <si>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6" type="noConversion"/>
  </si>
  <si>
    <r>
      <rPr>
        <sz val="11"/>
        <color theme="1"/>
        <rFont val="宋体"/>
        <family val="3"/>
        <charset val="134"/>
      </rPr>
      <t>六级</t>
    </r>
    <phoneticPr fontId="6"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</si>
  <si>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6" type="noConversion"/>
  </si>
  <si>
    <r>
      <rPr>
        <sz val="11"/>
        <color indexed="8"/>
        <rFont val="宋体"/>
        <family val="3"/>
        <charset val="134"/>
      </rPr>
      <t>工业</t>
    </r>
    <phoneticPr fontId="16" type="noConversion"/>
  </si>
  <si>
    <r>
      <t>10-20</t>
    </r>
    <r>
      <rPr>
        <sz val="11"/>
        <color indexed="8"/>
        <rFont val="宋体"/>
        <family val="3"/>
        <charset val="134"/>
      </rPr>
      <t>（含）</t>
    </r>
    <phoneticPr fontId="16" type="noConversion"/>
  </si>
  <si>
    <r>
      <rPr>
        <sz val="11"/>
        <color indexed="8"/>
        <rFont val="宋体"/>
        <family val="3"/>
        <charset val="134"/>
      </rPr>
      <t>叠拼</t>
    </r>
    <phoneticPr fontId="16" type="noConversion"/>
  </si>
  <si>
    <r>
      <rPr>
        <sz val="11"/>
        <color indexed="8"/>
        <rFont val="宋体"/>
        <family val="3"/>
        <charset val="134"/>
      </rPr>
      <t>收益法（汇总）</t>
    </r>
    <phoneticPr fontId="6" type="noConversion"/>
  </si>
  <si>
    <r>
      <rPr>
        <sz val="11"/>
        <color theme="1"/>
        <rFont val="宋体"/>
        <family val="3"/>
        <charset val="134"/>
      </rPr>
      <t>七级</t>
    </r>
    <phoneticPr fontId="6"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</si>
  <si>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6" type="noConversion"/>
  </si>
  <si>
    <r>
      <rPr>
        <sz val="11"/>
        <color indexed="8"/>
        <rFont val="宋体"/>
        <family val="3"/>
        <charset val="134"/>
      </rPr>
      <t>公共配套</t>
    </r>
    <phoneticPr fontId="16" type="noConversion"/>
  </si>
  <si>
    <r>
      <t>0-10</t>
    </r>
    <r>
      <rPr>
        <sz val="11"/>
        <color indexed="8"/>
        <rFont val="宋体"/>
        <family val="3"/>
        <charset val="134"/>
      </rPr>
      <t>（含）</t>
    </r>
    <phoneticPr fontId="16" type="noConversion"/>
  </si>
  <si>
    <r>
      <rPr>
        <sz val="11"/>
        <color indexed="8"/>
        <rFont val="宋体"/>
        <family val="3"/>
        <charset val="134"/>
      </rPr>
      <t>联排</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</si>
  <si>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6" type="noConversion"/>
  </si>
  <si>
    <r>
      <rPr>
        <sz val="11"/>
        <color theme="1"/>
        <rFont val="宋体"/>
        <family val="3"/>
        <charset val="134"/>
      </rPr>
      <t>八级</t>
    </r>
    <phoneticPr fontId="6" type="noConversion"/>
  </si>
  <si>
    <r>
      <rPr>
        <sz val="11"/>
        <color indexed="8"/>
        <rFont val="宋体"/>
        <family val="3"/>
        <charset val="134"/>
      </rPr>
      <t>仓储</t>
    </r>
    <phoneticPr fontId="16" type="noConversion"/>
  </si>
  <si>
    <r>
      <rPr>
        <sz val="11"/>
        <color indexed="8"/>
        <rFont val="宋体"/>
        <family val="3"/>
        <charset val="134"/>
      </rPr>
      <t>设备及其他</t>
    </r>
    <phoneticPr fontId="16" type="noConversion"/>
  </si>
  <si>
    <r>
      <rPr>
        <sz val="11"/>
        <color indexed="8"/>
        <rFont val="宋体"/>
        <family val="3"/>
        <charset val="134"/>
      </rPr>
      <t>双拼</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</si>
  <si>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6" type="noConversion"/>
  </si>
  <si>
    <r>
      <rPr>
        <sz val="11"/>
        <color theme="1"/>
        <rFont val="宋体"/>
        <family val="3"/>
        <charset val="134"/>
      </rPr>
      <t>九级</t>
    </r>
    <phoneticPr fontId="6" type="noConversion"/>
  </si>
  <si>
    <r>
      <rPr>
        <sz val="11"/>
        <color indexed="8"/>
        <rFont val="宋体"/>
        <family val="3"/>
        <charset val="134"/>
      </rPr>
      <t>独栋</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</si>
  <si>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6" type="noConversion"/>
  </si>
  <si>
    <r>
      <rPr>
        <sz val="11"/>
        <color theme="1"/>
        <rFont val="宋体"/>
        <family val="3"/>
        <charset val="134"/>
      </rPr>
      <t>十级</t>
    </r>
    <phoneticPr fontId="6" type="noConversion"/>
  </si>
  <si>
    <r>
      <rPr>
        <sz val="11"/>
        <color indexed="8"/>
        <rFont val="宋体"/>
        <family val="3"/>
        <charset val="134"/>
      </rPr>
      <t>底商</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</si>
  <si>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6" type="noConversion"/>
  </si>
  <si>
    <r>
      <rPr>
        <sz val="11"/>
        <color theme="1"/>
        <rFont val="宋体"/>
        <family val="3"/>
        <charset val="134"/>
      </rPr>
      <t>十一级</t>
    </r>
    <phoneticPr fontId="6" type="noConversion"/>
  </si>
  <si>
    <r>
      <rPr>
        <sz val="11"/>
        <color indexed="8"/>
        <rFont val="宋体"/>
        <family val="3"/>
        <charset val="134"/>
      </rPr>
      <t>独立商业</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</si>
  <si>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6" type="noConversion"/>
  </si>
  <si>
    <r>
      <rPr>
        <sz val="11"/>
        <color theme="1"/>
        <rFont val="宋体"/>
        <family val="3"/>
        <charset val="134"/>
      </rPr>
      <t>十二级</t>
    </r>
    <phoneticPr fontId="6" type="noConversion"/>
  </si>
  <si>
    <r>
      <rPr>
        <sz val="11"/>
        <color indexed="8"/>
        <rFont val="宋体"/>
        <family val="3"/>
        <charset val="134"/>
      </rPr>
      <t>商业街</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</si>
  <si>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6" type="noConversion"/>
  </si>
  <si>
    <r>
      <rPr>
        <sz val="11"/>
        <color indexed="8"/>
        <rFont val="宋体"/>
        <family val="3"/>
        <charset val="134"/>
      </rPr>
      <t>酒店</t>
    </r>
    <phoneticPr fontId="16"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</si>
  <si>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6" type="noConversion"/>
  </si>
  <si>
    <r>
      <rPr>
        <sz val="11"/>
        <color indexed="8"/>
        <rFont val="宋体"/>
        <family val="3"/>
        <charset val="134"/>
      </rPr>
      <t>标准厂房</t>
    </r>
    <phoneticPr fontId="16"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</si>
  <si>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6" type="noConversion"/>
  </si>
  <si>
    <r>
      <rPr>
        <sz val="11"/>
        <color indexed="8"/>
        <rFont val="宋体"/>
        <family val="3"/>
        <charset val="134"/>
      </rPr>
      <t>特殊厂房</t>
    </r>
    <phoneticPr fontId="16" type="noConversion"/>
  </si>
  <si>
    <r>
      <rPr>
        <sz val="11"/>
        <color theme="1"/>
        <rFont val="宋体"/>
        <family val="3"/>
        <charset val="134"/>
      </rPr>
      <t>基准地价修正</t>
    </r>
    <phoneticPr fontId="6" type="noConversion"/>
  </si>
  <si>
    <r>
      <rPr>
        <sz val="11"/>
        <color indexed="8"/>
        <rFont val="宋体"/>
        <family val="3"/>
        <charset val="134"/>
      </rPr>
      <t>办公楼</t>
    </r>
    <phoneticPr fontId="16" type="noConversion"/>
  </si>
  <si>
    <r>
      <rPr>
        <sz val="11"/>
        <color theme="1"/>
        <rFont val="宋体"/>
        <family val="3"/>
        <charset val="134"/>
      </rPr>
      <t>典型户型修正</t>
    </r>
    <phoneticPr fontId="16" type="noConversion"/>
  </si>
  <si>
    <r>
      <rPr>
        <sz val="11"/>
        <color indexed="8"/>
        <rFont val="宋体"/>
        <family val="3"/>
        <charset val="134"/>
      </rPr>
      <t>宿舍</t>
    </r>
    <phoneticPr fontId="16"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</si>
  <si>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6" type="noConversion"/>
  </si>
  <si>
    <r>
      <rPr>
        <sz val="11"/>
        <color indexed="8"/>
        <rFont val="宋体"/>
        <family val="3"/>
        <charset val="134"/>
      </rPr>
      <t>食堂</t>
    </r>
    <phoneticPr fontId="16" type="noConversion"/>
  </si>
  <si>
    <r>
      <rPr>
        <sz val="11"/>
        <color indexed="8"/>
        <rFont val="宋体"/>
        <family val="3"/>
        <charset val="134"/>
      </rPr>
      <t>车库</t>
    </r>
    <phoneticPr fontId="16" type="noConversion"/>
  </si>
  <si>
    <r>
      <rPr>
        <sz val="11"/>
        <color indexed="8"/>
        <rFont val="宋体"/>
        <family val="3"/>
        <charset val="134"/>
      </rPr>
      <t>戊类库房</t>
    </r>
    <phoneticPr fontId="16" type="noConversion"/>
  </si>
  <si>
    <r>
      <rPr>
        <sz val="11"/>
        <color indexed="8"/>
        <rFont val="宋体"/>
        <family val="3"/>
        <charset val="134"/>
      </rPr>
      <t>燃品库房</t>
    </r>
    <phoneticPr fontId="16" type="noConversion"/>
  </si>
  <si>
    <r>
      <rPr>
        <sz val="11"/>
        <color indexed="8"/>
        <rFont val="宋体"/>
        <family val="3"/>
        <charset val="134"/>
      </rPr>
      <t>非燃品库房</t>
    </r>
    <phoneticPr fontId="16" type="noConversion"/>
  </si>
  <si>
    <r>
      <rPr>
        <sz val="11"/>
        <color indexed="8"/>
        <rFont val="宋体"/>
        <family val="3"/>
        <charset val="134"/>
      </rPr>
      <t>限价商品房</t>
    </r>
    <phoneticPr fontId="37" type="noConversion"/>
  </si>
  <si>
    <r>
      <rPr>
        <sz val="11"/>
        <color indexed="8"/>
        <rFont val="宋体"/>
        <family val="3"/>
        <charset val="134"/>
      </rPr>
      <t>自住商品房</t>
    </r>
    <phoneticPr fontId="37" type="noConversion"/>
  </si>
  <si>
    <r>
      <rPr>
        <sz val="11"/>
        <color theme="1"/>
        <rFont val="宋体"/>
        <family val="3"/>
        <charset val="134"/>
      </rPr>
      <t>估价目的</t>
    </r>
    <phoneticPr fontId="16" type="noConversion"/>
  </si>
  <si>
    <r>
      <rPr>
        <sz val="11"/>
        <color theme="1"/>
        <rFont val="宋体"/>
        <family val="3"/>
        <charset val="134"/>
      </rPr>
      <t>为估价委托人了解估价对象房地产市场价值提供参考依据。</t>
    </r>
    <phoneticPr fontId="6" type="noConversion"/>
  </si>
  <si>
    <r>
      <rPr>
        <sz val="11"/>
        <color theme="1"/>
        <rFont val="宋体"/>
        <family val="3"/>
        <charset val="134"/>
      </rPr>
      <t>优先受偿</t>
    </r>
    <phoneticPr fontId="16" type="noConversion"/>
  </si>
  <si>
    <r>
      <rPr>
        <sz val="11"/>
        <color theme="1"/>
        <rFont val="宋体"/>
        <family val="3"/>
        <charset val="134"/>
      </rPr>
      <t>抵押</t>
    </r>
    <phoneticPr fontId="16" type="noConversion"/>
  </si>
  <si>
    <r>
      <t>2.</t>
    </r>
    <r>
      <rPr>
        <sz val="11"/>
        <color theme="1"/>
        <rFont val="宋体"/>
        <family val="3"/>
        <charset val="134"/>
      </rPr>
      <t>估价师所知悉的法定优先受偿款</t>
    </r>
    <phoneticPr fontId="16" type="noConversion"/>
  </si>
  <si>
    <r>
      <t>2.</t>
    </r>
    <r>
      <rPr>
        <sz val="11"/>
        <color theme="1"/>
        <rFont val="宋体"/>
        <family val="3"/>
        <charset val="134"/>
      </rPr>
      <t>估价师所知悉的除抵押担保权以外的法定优先受偿款</t>
    </r>
    <phoneticPr fontId="16" type="noConversion"/>
  </si>
  <si>
    <r>
      <rPr>
        <sz val="11"/>
        <color theme="1"/>
        <rFont val="宋体"/>
        <family val="3"/>
        <charset val="134"/>
      </rPr>
      <t>价值类型及定义</t>
    </r>
    <phoneticPr fontId="16" type="noConversion"/>
  </si>
  <si>
    <r>
      <rPr>
        <sz val="11"/>
        <color theme="1"/>
        <rFont val="宋体"/>
        <family val="3"/>
        <charset val="134"/>
      </rPr>
      <t>房地产价值</t>
    </r>
    <phoneticPr fontId="85" type="noConversion"/>
  </si>
  <si>
    <r>
      <rPr>
        <sz val="11"/>
        <color theme="1"/>
        <rFont val="宋体"/>
        <family val="3"/>
        <charset val="134"/>
      </rPr>
      <t>房地产抵押价值</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</si>
  <si>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6" type="noConversion"/>
  </si>
  <si>
    <r>
      <rPr>
        <sz val="11"/>
        <color theme="1"/>
        <rFont val="宋体"/>
        <family val="3"/>
        <charset val="134"/>
      </rPr>
      <t>已注销</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</si>
  <si>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6" type="noConversion"/>
  </si>
  <si>
    <r>
      <rPr>
        <sz val="11"/>
        <color theme="1"/>
        <rFont val="宋体"/>
        <family val="3"/>
        <charset val="134"/>
      </rPr>
      <t>已注销及未注销</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</si>
  <si>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6" type="noConversion"/>
  </si>
  <si>
    <r>
      <rPr>
        <sz val="11"/>
        <color theme="1"/>
        <rFont val="宋体"/>
        <family val="3"/>
        <charset val="134"/>
      </rPr>
      <t>抵押净值</t>
    </r>
    <phoneticPr fontId="16"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</si>
  <si>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6" type="noConversion"/>
  </si>
  <si>
    <r>
      <rPr>
        <b/>
        <sz val="10"/>
        <color indexed="8"/>
        <rFont val="宋体"/>
        <family val="3"/>
        <charset val="134"/>
      </rPr>
      <t>估价对象名称</t>
    </r>
    <phoneticPr fontId="9" type="noConversion"/>
  </si>
  <si>
    <r>
      <rPr>
        <b/>
        <sz val="10"/>
        <color indexed="8"/>
        <rFont val="宋体"/>
        <family val="3"/>
        <charset val="134"/>
      </rPr>
      <t>报告编号</t>
    </r>
    <phoneticPr fontId="6" type="noConversion"/>
  </si>
  <si>
    <r>
      <rPr>
        <sz val="10"/>
        <color indexed="8"/>
        <rFont val="宋体"/>
        <family val="3"/>
        <charset val="134"/>
      </rPr>
      <t>现场勘查日</t>
    </r>
    <phoneticPr fontId="9" type="noConversion"/>
  </si>
  <si>
    <r>
      <rPr>
        <sz val="10"/>
        <color indexed="8"/>
        <rFont val="宋体"/>
        <family val="3"/>
        <charset val="134"/>
      </rPr>
      <t>价值时点</t>
    </r>
    <phoneticPr fontId="9" type="noConversion"/>
  </si>
  <si>
    <r>
      <rPr>
        <sz val="10"/>
        <color indexed="8"/>
        <rFont val="宋体"/>
        <family val="3"/>
        <charset val="134"/>
      </rPr>
      <t>签字估价师</t>
    </r>
    <phoneticPr fontId="9" type="noConversion"/>
  </si>
  <si>
    <r>
      <rPr>
        <sz val="10"/>
        <color indexed="8"/>
        <rFont val="宋体"/>
        <family val="3"/>
        <charset val="134"/>
      </rPr>
      <t>估价委托人（借款方）</t>
    </r>
    <phoneticPr fontId="9" type="noConversion"/>
  </si>
  <si>
    <r>
      <rPr>
        <sz val="10"/>
        <color indexed="8"/>
        <rFont val="宋体"/>
        <family val="3"/>
        <charset val="134"/>
      </rPr>
      <t>估价目的</t>
    </r>
    <phoneticPr fontId="9" type="noConversion"/>
  </si>
  <si>
    <r>
      <rPr>
        <sz val="10"/>
        <color indexed="8"/>
        <rFont val="宋体"/>
        <family val="3"/>
        <charset val="134"/>
      </rPr>
      <t>金融机构（贷款方）</t>
    </r>
    <phoneticPr fontId="9" type="noConversion"/>
  </si>
  <si>
    <r>
      <rPr>
        <sz val="10"/>
        <color indexed="8"/>
        <rFont val="宋体"/>
        <family val="3"/>
        <charset val="134"/>
      </rPr>
      <t>价值类型</t>
    </r>
    <phoneticPr fontId="9" type="noConversion"/>
  </si>
  <si>
    <r>
      <rPr>
        <sz val="10"/>
        <color indexed="8"/>
        <rFont val="宋体"/>
        <family val="3"/>
        <charset val="134"/>
      </rPr>
      <t>抵押结果包含：</t>
    </r>
    <phoneticPr fontId="9" type="noConversion"/>
  </si>
  <si>
    <r>
      <rPr>
        <sz val="10"/>
        <color indexed="8"/>
        <rFont val="宋体"/>
        <family val="3"/>
        <charset val="134"/>
      </rPr>
      <t>项目所在城市</t>
    </r>
    <phoneticPr fontId="9"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</si>
  <si>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9" type="noConversion"/>
  </si>
  <si>
    <r>
      <rPr>
        <sz val="10"/>
        <color indexed="8"/>
        <rFont val="宋体"/>
        <family val="3"/>
        <charset val="134"/>
      </rPr>
      <t>不动产权利人</t>
    </r>
    <phoneticPr fontId="9" type="noConversion"/>
  </si>
  <si>
    <r>
      <rPr>
        <sz val="10"/>
        <color indexed="8"/>
        <rFont val="宋体"/>
        <family val="3"/>
        <charset val="134"/>
      </rPr>
      <t>估价对象现状</t>
    </r>
    <phoneticPr fontId="9" type="noConversion"/>
  </si>
  <si>
    <r>
      <rPr>
        <sz val="10"/>
        <color indexed="8"/>
        <rFont val="宋体"/>
        <family val="3"/>
        <charset val="134"/>
      </rPr>
      <t>门牌号</t>
    </r>
    <phoneticPr fontId="9" type="noConversion"/>
  </si>
  <si>
    <r>
      <rPr>
        <sz val="10"/>
        <color indexed="8"/>
        <rFont val="宋体"/>
        <family val="3"/>
        <charset val="134"/>
      </rPr>
      <t>城市</t>
    </r>
    <phoneticPr fontId="9" type="noConversion"/>
  </si>
  <si>
    <r>
      <rPr>
        <sz val="10"/>
        <color indexed="8"/>
        <rFont val="宋体"/>
        <family val="3"/>
        <charset val="134"/>
      </rPr>
      <t>北京市</t>
    </r>
    <phoneticPr fontId="9" type="noConversion"/>
  </si>
  <si>
    <r>
      <rPr>
        <sz val="10"/>
        <color indexed="8"/>
        <rFont val="宋体"/>
        <family val="3"/>
        <charset val="134"/>
      </rPr>
      <t>现状用途</t>
    </r>
    <phoneticPr fontId="6" type="noConversion"/>
  </si>
  <si>
    <r>
      <rPr>
        <sz val="10"/>
        <color indexed="8"/>
        <rFont val="宋体"/>
        <family val="3"/>
        <charset val="134"/>
      </rPr>
      <t>土地级别</t>
    </r>
    <phoneticPr fontId="9" type="noConversion"/>
  </si>
  <si>
    <r>
      <rPr>
        <sz val="10"/>
        <color indexed="8"/>
        <rFont val="宋体"/>
        <family val="3"/>
        <charset val="134"/>
      </rPr>
      <t>格局户型</t>
    </r>
    <phoneticPr fontId="9" type="noConversion"/>
  </si>
  <si>
    <r>
      <rPr>
        <sz val="10"/>
        <color indexed="8"/>
        <rFont val="宋体"/>
        <family val="3"/>
        <charset val="134"/>
      </rPr>
      <t>区片编号</t>
    </r>
    <phoneticPr fontId="9" type="noConversion"/>
  </si>
  <si>
    <r>
      <rPr>
        <sz val="10"/>
        <color indexed="8"/>
        <rFont val="宋体"/>
        <family val="3"/>
        <charset val="134"/>
      </rPr>
      <t>维护状况</t>
    </r>
    <phoneticPr fontId="9" type="noConversion"/>
  </si>
  <si>
    <r>
      <rPr>
        <sz val="10"/>
        <color indexed="8"/>
        <rFont val="宋体"/>
        <family val="3"/>
        <charset val="134"/>
      </rPr>
      <t>建筑面积</t>
    </r>
    <phoneticPr fontId="9" type="noConversion"/>
  </si>
  <si>
    <r>
      <rPr>
        <sz val="10"/>
        <color indexed="8"/>
        <rFont val="宋体"/>
        <family val="3"/>
        <charset val="134"/>
      </rPr>
      <t>面积依据</t>
    </r>
    <phoneticPr fontId="9" type="noConversion"/>
  </si>
  <si>
    <r>
      <rPr>
        <sz val="10"/>
        <color indexed="8"/>
        <rFont val="宋体"/>
        <family val="3"/>
        <charset val="134"/>
      </rPr>
      <t>土地面积</t>
    </r>
    <phoneticPr fontId="9" type="noConversion"/>
  </si>
  <si>
    <r>
      <rPr>
        <sz val="10"/>
        <color indexed="8"/>
        <rFont val="宋体"/>
        <family val="3"/>
        <charset val="134"/>
      </rPr>
      <t>面积依据</t>
    </r>
    <phoneticPr fontId="9" type="noConversion"/>
  </si>
  <si>
    <r>
      <rPr>
        <sz val="10"/>
        <color indexed="8"/>
        <rFont val="宋体"/>
        <family val="3"/>
        <charset val="134"/>
      </rPr>
      <t>抵押情况描述</t>
    </r>
    <phoneticPr fontId="9" type="noConversion"/>
  </si>
  <si>
    <r>
      <rPr>
        <sz val="10"/>
        <color indexed="8"/>
        <rFont val="宋体"/>
        <family val="3"/>
        <charset val="134"/>
      </rPr>
      <t>容积率</t>
    </r>
    <phoneticPr fontId="9" type="noConversion"/>
  </si>
  <si>
    <r>
      <rPr>
        <sz val="10"/>
        <color indexed="8"/>
        <rFont val="宋体"/>
        <family val="3"/>
        <charset val="134"/>
      </rPr>
      <t>权利状况（抵押）</t>
    </r>
    <phoneticPr fontId="9" type="noConversion"/>
  </si>
  <si>
    <r>
      <rPr>
        <sz val="10"/>
        <color indexed="8"/>
        <rFont val="宋体"/>
        <family val="3"/>
        <charset val="134"/>
      </rPr>
      <t>是否抵押</t>
    </r>
    <phoneticPr fontId="9" type="noConversion"/>
  </si>
  <si>
    <r>
      <rPr>
        <sz val="10"/>
        <color indexed="8"/>
        <rFont val="宋体"/>
        <family val="3"/>
        <charset val="134"/>
      </rPr>
      <t>权属证件是否登记权利价值</t>
    </r>
    <phoneticPr fontId="9" type="noConversion"/>
  </si>
  <si>
    <r>
      <rPr>
        <sz val="10"/>
        <color indexed="8"/>
        <rFont val="宋体"/>
        <family val="3"/>
        <charset val="134"/>
      </rPr>
      <t>依据</t>
    </r>
    <phoneticPr fontId="9" type="noConversion"/>
  </si>
  <si>
    <r>
      <rPr>
        <sz val="10"/>
        <color indexed="8"/>
        <rFont val="宋体"/>
        <family val="3"/>
        <charset val="134"/>
      </rPr>
      <t>权属文件</t>
    </r>
    <phoneticPr fontId="9" type="noConversion"/>
  </si>
  <si>
    <r>
      <rPr>
        <sz val="10"/>
        <color indexed="8"/>
        <rFont val="宋体"/>
        <family val="3"/>
        <charset val="134"/>
      </rPr>
      <t>他项权证</t>
    </r>
    <phoneticPr fontId="9" type="noConversion"/>
  </si>
  <si>
    <r>
      <rPr>
        <sz val="10"/>
        <color indexed="8"/>
        <rFont val="宋体"/>
        <family val="3"/>
        <charset val="134"/>
      </rPr>
      <t>其他资料</t>
    </r>
    <phoneticPr fontId="9" type="noConversion"/>
  </si>
  <si>
    <r>
      <rPr>
        <sz val="10"/>
        <color indexed="8"/>
        <rFont val="宋体"/>
        <family val="3"/>
        <charset val="134"/>
      </rPr>
      <t>《房屋他项权利证书》</t>
    </r>
    <phoneticPr fontId="9" type="noConversion"/>
  </si>
  <si>
    <r>
      <rPr>
        <sz val="10"/>
        <color indexed="8"/>
        <rFont val="宋体"/>
        <family val="3"/>
        <charset val="134"/>
      </rPr>
      <t>抵押信息</t>
    </r>
    <phoneticPr fontId="9" type="noConversion"/>
  </si>
  <si>
    <r>
      <rPr>
        <sz val="10"/>
        <color indexed="8"/>
        <rFont val="宋体"/>
        <family val="3"/>
        <charset val="134"/>
      </rPr>
      <t>设定日期</t>
    </r>
    <phoneticPr fontId="9" type="noConversion"/>
  </si>
  <si>
    <r>
      <rPr>
        <sz val="10"/>
        <color indexed="8"/>
        <rFont val="宋体"/>
        <family val="3"/>
        <charset val="134"/>
      </rPr>
      <t>权利人</t>
    </r>
    <phoneticPr fontId="9" type="noConversion"/>
  </si>
  <si>
    <r>
      <rPr>
        <sz val="10"/>
        <color indexed="8"/>
        <rFont val="宋体"/>
        <family val="3"/>
        <charset val="134"/>
      </rPr>
      <t>权利范围</t>
    </r>
    <phoneticPr fontId="9" type="noConversion"/>
  </si>
  <si>
    <r>
      <rPr>
        <sz val="10"/>
        <color indexed="8"/>
        <rFont val="宋体"/>
        <family val="3"/>
        <charset val="134"/>
      </rPr>
      <t>权利价值</t>
    </r>
    <phoneticPr fontId="9" type="noConversion"/>
  </si>
  <si>
    <r>
      <rPr>
        <sz val="10"/>
        <color indexed="8"/>
        <rFont val="宋体"/>
        <family val="3"/>
        <charset val="134"/>
      </rPr>
      <t>权利价值</t>
    </r>
    <phoneticPr fontId="9" type="noConversion"/>
  </si>
  <si>
    <r>
      <rPr>
        <b/>
        <sz val="10"/>
        <color indexed="8"/>
        <rFont val="宋体"/>
        <family val="3"/>
        <charset val="134"/>
      </rPr>
      <t>权属登记状况</t>
    </r>
    <phoneticPr fontId="9" type="noConversion"/>
  </si>
  <si>
    <r>
      <rPr>
        <b/>
        <sz val="10"/>
        <color indexed="8"/>
        <rFont val="宋体"/>
        <family val="3"/>
        <charset val="134"/>
      </rPr>
      <t>房屋所有权证</t>
    </r>
    <phoneticPr fontId="9" type="noConversion"/>
  </si>
  <si>
    <r>
      <rPr>
        <b/>
        <sz val="10"/>
        <color indexed="8"/>
        <rFont val="宋体"/>
        <family val="3"/>
        <charset val="134"/>
      </rPr>
      <t>不动产权证书</t>
    </r>
    <phoneticPr fontId="9" type="noConversion"/>
  </si>
  <si>
    <r>
      <rPr>
        <b/>
        <sz val="10"/>
        <color indexed="8"/>
        <rFont val="宋体"/>
        <family val="3"/>
        <charset val="134"/>
      </rPr>
      <t>国有土地使用证</t>
    </r>
    <phoneticPr fontId="9" type="noConversion"/>
  </si>
  <si>
    <r>
      <rPr>
        <sz val="10"/>
        <color indexed="8"/>
        <rFont val="宋体"/>
        <family val="3"/>
        <charset val="134"/>
      </rPr>
      <t>证号</t>
    </r>
    <phoneticPr fontId="9" type="noConversion"/>
  </si>
  <si>
    <r>
      <rPr>
        <sz val="10"/>
        <color indexed="8"/>
        <rFont val="宋体"/>
        <family val="3"/>
        <charset val="134"/>
      </rPr>
      <t>房屋坐落</t>
    </r>
    <phoneticPr fontId="9" type="noConversion"/>
  </si>
  <si>
    <r>
      <rPr>
        <sz val="10"/>
        <color indexed="8"/>
        <rFont val="宋体"/>
        <family val="3"/>
        <charset val="134"/>
      </rPr>
      <t>坐落</t>
    </r>
    <phoneticPr fontId="9" type="noConversion"/>
  </si>
  <si>
    <r>
      <rPr>
        <sz val="10"/>
        <color indexed="8"/>
        <rFont val="宋体"/>
        <family val="3"/>
        <charset val="134"/>
      </rPr>
      <t>共有情况</t>
    </r>
    <phoneticPr fontId="9" type="noConversion"/>
  </si>
  <si>
    <r>
      <rPr>
        <sz val="10"/>
        <color indexed="8"/>
        <rFont val="宋体"/>
        <family val="3"/>
        <charset val="134"/>
      </rPr>
      <t>地号</t>
    </r>
    <phoneticPr fontId="9" type="noConversion"/>
  </si>
  <si>
    <r>
      <rPr>
        <sz val="10"/>
        <color indexed="8"/>
        <rFont val="宋体"/>
        <family val="3"/>
        <charset val="134"/>
      </rPr>
      <t>产别</t>
    </r>
    <phoneticPr fontId="9" type="noConversion"/>
  </si>
  <si>
    <r>
      <rPr>
        <sz val="10"/>
        <color indexed="8"/>
        <rFont val="宋体"/>
        <family val="3"/>
        <charset val="134"/>
      </rPr>
      <t>不动产单元号</t>
    </r>
    <phoneticPr fontId="9" type="noConversion"/>
  </si>
  <si>
    <r>
      <rPr>
        <sz val="10"/>
        <color indexed="8"/>
        <rFont val="宋体"/>
        <family val="3"/>
        <charset val="134"/>
      </rPr>
      <t>图号</t>
    </r>
    <phoneticPr fontId="9" type="noConversion"/>
  </si>
  <si>
    <r>
      <rPr>
        <sz val="10"/>
        <color indexed="8"/>
        <rFont val="宋体"/>
        <family val="3"/>
        <charset val="134"/>
      </rPr>
      <t>登记时间</t>
    </r>
    <phoneticPr fontId="9" type="noConversion"/>
  </si>
  <si>
    <r>
      <rPr>
        <sz val="10"/>
        <color indexed="8"/>
        <rFont val="宋体"/>
        <family val="3"/>
        <charset val="134"/>
      </rPr>
      <t>所在行政区划</t>
    </r>
    <phoneticPr fontId="9" type="noConversion"/>
  </si>
  <si>
    <r>
      <rPr>
        <sz val="10"/>
        <color indexed="8"/>
        <rFont val="宋体"/>
        <family val="3"/>
        <charset val="134"/>
      </rPr>
      <t>地类（用途）</t>
    </r>
    <phoneticPr fontId="9" type="noConversion"/>
  </si>
  <si>
    <r>
      <rPr>
        <sz val="10"/>
        <color indexed="8"/>
        <rFont val="宋体"/>
        <family val="3"/>
        <charset val="134"/>
      </rPr>
      <t>房屋性质</t>
    </r>
    <phoneticPr fontId="9" type="noConversion"/>
  </si>
  <si>
    <r>
      <rPr>
        <sz val="10"/>
        <color indexed="8"/>
        <rFont val="宋体"/>
        <family val="3"/>
        <charset val="134"/>
      </rPr>
      <t>地籍区和地籍子区</t>
    </r>
    <phoneticPr fontId="9" type="noConversion"/>
  </si>
  <si>
    <r>
      <rPr>
        <sz val="10"/>
        <color indexed="8"/>
        <rFont val="宋体"/>
        <family val="3"/>
        <charset val="134"/>
      </rPr>
      <t>取得价格</t>
    </r>
    <phoneticPr fontId="9"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</si>
  <si>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9" type="noConversion"/>
  </si>
  <si>
    <r>
      <rPr>
        <sz val="10"/>
        <color indexed="8"/>
        <rFont val="宋体"/>
        <family val="3"/>
        <charset val="134"/>
      </rPr>
      <t>宗地号</t>
    </r>
    <phoneticPr fontId="9" type="noConversion"/>
  </si>
  <si>
    <r>
      <rPr>
        <sz val="10"/>
        <color indexed="8"/>
        <rFont val="宋体"/>
        <family val="3"/>
        <charset val="134"/>
      </rPr>
      <t>使用权类型</t>
    </r>
    <phoneticPr fontId="9" type="noConversion"/>
  </si>
  <si>
    <r>
      <rPr>
        <sz val="10"/>
        <color indexed="8"/>
        <rFont val="宋体"/>
        <family val="3"/>
        <charset val="134"/>
      </rPr>
      <t>房屋用途</t>
    </r>
    <phoneticPr fontId="9" type="noConversion"/>
  </si>
  <si>
    <r>
      <rPr>
        <sz val="10"/>
        <color indexed="8"/>
        <rFont val="宋体"/>
        <family val="3"/>
        <charset val="134"/>
      </rPr>
      <t>定作物编码</t>
    </r>
    <phoneticPr fontId="9" type="noConversion"/>
  </si>
  <si>
    <r>
      <rPr>
        <sz val="10"/>
        <color indexed="8"/>
        <rFont val="宋体"/>
        <family val="3"/>
        <charset val="134"/>
      </rPr>
      <t>终止日期</t>
    </r>
    <phoneticPr fontId="9" type="noConversion"/>
  </si>
  <si>
    <r>
      <rPr>
        <sz val="10"/>
        <color indexed="8"/>
        <rFont val="宋体"/>
        <family val="3"/>
        <charset val="134"/>
      </rPr>
      <t>权利类型</t>
    </r>
    <phoneticPr fontId="9" type="noConversion"/>
  </si>
  <si>
    <r>
      <rPr>
        <sz val="10"/>
        <color indexed="8"/>
        <rFont val="宋体"/>
        <family val="3"/>
        <charset val="134"/>
      </rPr>
      <t>使用权面积</t>
    </r>
    <phoneticPr fontId="9" type="noConversion"/>
  </si>
  <si>
    <r>
      <rPr>
        <sz val="10"/>
        <color indexed="8"/>
        <rFont val="宋体"/>
        <family val="3"/>
        <charset val="134"/>
      </rPr>
      <t>套内建筑面积（含阳台）</t>
    </r>
    <phoneticPr fontId="9" type="noConversion"/>
  </si>
  <si>
    <r>
      <rPr>
        <sz val="10"/>
        <color indexed="8"/>
        <rFont val="宋体"/>
        <family val="3"/>
        <charset val="134"/>
      </rPr>
      <t>权利性质</t>
    </r>
    <phoneticPr fontId="9" type="noConversion"/>
  </si>
  <si>
    <r>
      <rPr>
        <sz val="10"/>
        <color indexed="8"/>
        <rFont val="宋体"/>
        <family val="3"/>
        <charset val="134"/>
      </rPr>
      <t>独用面积</t>
    </r>
    <phoneticPr fontId="9" type="noConversion"/>
  </si>
  <si>
    <r>
      <rPr>
        <sz val="10"/>
        <color indexed="8"/>
        <rFont val="宋体"/>
        <family val="3"/>
        <charset val="134"/>
      </rPr>
      <t>使用面积</t>
    </r>
    <phoneticPr fontId="9" type="noConversion"/>
  </si>
  <si>
    <r>
      <rPr>
        <sz val="10"/>
        <color indexed="8"/>
        <rFont val="宋体"/>
        <family val="3"/>
        <charset val="134"/>
      </rPr>
      <t>用途</t>
    </r>
    <phoneticPr fontId="9" type="noConversion"/>
  </si>
  <si>
    <r>
      <rPr>
        <sz val="10"/>
        <color indexed="8"/>
        <rFont val="宋体"/>
        <family val="3"/>
        <charset val="134"/>
      </rPr>
      <t>分摊面积</t>
    </r>
    <phoneticPr fontId="9" type="noConversion"/>
  </si>
  <si>
    <r>
      <rPr>
        <sz val="10"/>
        <color indexed="8"/>
        <rFont val="宋体"/>
        <family val="3"/>
        <charset val="134"/>
      </rPr>
      <t>房屋总层数</t>
    </r>
    <phoneticPr fontId="9" type="noConversion"/>
  </si>
  <si>
    <r>
      <rPr>
        <sz val="10"/>
        <color indexed="8"/>
        <rFont val="宋体"/>
        <family val="3"/>
        <charset val="134"/>
      </rPr>
      <t>宗地总面积</t>
    </r>
    <phoneticPr fontId="9" type="noConversion"/>
  </si>
  <si>
    <r>
      <rPr>
        <sz val="10"/>
        <color indexed="8"/>
        <rFont val="宋体"/>
        <family val="3"/>
        <charset val="134"/>
      </rPr>
      <t>所在层数</t>
    </r>
    <phoneticPr fontId="9" type="noConversion"/>
  </si>
  <si>
    <r>
      <rPr>
        <sz val="10"/>
        <color indexed="8"/>
        <rFont val="宋体"/>
        <family val="3"/>
        <charset val="134"/>
      </rPr>
      <t>面积</t>
    </r>
    <phoneticPr fontId="9" type="noConversion"/>
  </si>
  <si>
    <r>
      <rPr>
        <sz val="10"/>
        <color indexed="8"/>
        <rFont val="宋体"/>
        <family val="3"/>
        <charset val="134"/>
      </rPr>
      <t>宗地总建筑面积</t>
    </r>
    <phoneticPr fontId="9" type="noConversion"/>
  </si>
  <si>
    <r>
      <rPr>
        <sz val="10"/>
        <color indexed="8"/>
        <rFont val="宋体"/>
        <family val="3"/>
        <charset val="134"/>
      </rPr>
      <t>建成年份</t>
    </r>
    <phoneticPr fontId="9" type="noConversion"/>
  </si>
  <si>
    <r>
      <rPr>
        <sz val="10"/>
        <color indexed="8"/>
        <rFont val="宋体"/>
        <family val="3"/>
        <charset val="134"/>
      </rPr>
      <t>本户建筑面积</t>
    </r>
    <phoneticPr fontId="9" type="noConversion"/>
  </si>
  <si>
    <r>
      <rPr>
        <sz val="10"/>
        <color indexed="8"/>
        <rFont val="宋体"/>
        <family val="3"/>
        <charset val="134"/>
      </rPr>
      <t>附记（抵押情况）</t>
    </r>
    <phoneticPr fontId="9" type="noConversion"/>
  </si>
  <si>
    <r>
      <rPr>
        <sz val="10"/>
        <color indexed="8"/>
        <rFont val="宋体"/>
        <family val="3"/>
        <charset val="134"/>
      </rPr>
      <t>记事（抵押情况）</t>
    </r>
    <phoneticPr fontId="9" type="noConversion"/>
  </si>
  <si>
    <r>
      <rPr>
        <sz val="10"/>
        <color indexed="8"/>
        <rFont val="宋体"/>
        <family val="3"/>
        <charset val="134"/>
      </rPr>
      <t>来源</t>
    </r>
    <phoneticPr fontId="9" type="noConversion"/>
  </si>
  <si>
    <r>
      <rPr>
        <sz val="10"/>
        <color indexed="8"/>
        <rFont val="宋体"/>
        <family val="3"/>
        <charset val="134"/>
      </rPr>
      <t>附记（其他）</t>
    </r>
    <phoneticPr fontId="9" type="noConversion"/>
  </si>
  <si>
    <r>
      <rPr>
        <sz val="10"/>
        <color indexed="8"/>
        <rFont val="宋体"/>
        <family val="3"/>
        <charset val="134"/>
      </rPr>
      <t>记事（其他）</t>
    </r>
    <phoneticPr fontId="9" type="noConversion"/>
  </si>
  <si>
    <r>
      <rPr>
        <sz val="10"/>
        <color indexed="8"/>
        <rFont val="宋体"/>
        <family val="3"/>
        <charset val="134"/>
      </rPr>
      <t>土地证号</t>
    </r>
    <phoneticPr fontId="9" type="noConversion"/>
  </si>
  <si>
    <r>
      <rPr>
        <sz val="10"/>
        <color indexed="8"/>
        <rFont val="宋体"/>
        <family val="3"/>
        <charset val="134"/>
      </rPr>
      <t>使用期限（终止日期）</t>
    </r>
    <phoneticPr fontId="9"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</si>
  <si>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9" type="noConversion"/>
  </si>
  <si>
    <r>
      <rPr>
        <sz val="10"/>
        <color indexed="8"/>
        <rFont val="宋体"/>
        <family val="3"/>
        <charset val="134"/>
      </rPr>
      <t>权利其他状况</t>
    </r>
    <phoneticPr fontId="9" type="noConversion"/>
  </si>
  <si>
    <r>
      <rPr>
        <sz val="10"/>
        <color indexed="8"/>
        <rFont val="宋体"/>
        <family val="3"/>
        <charset val="134"/>
      </rPr>
      <t>土地使用年期（终止日期）</t>
    </r>
    <phoneticPr fontId="9" type="noConversion"/>
  </si>
  <si>
    <r>
      <rPr>
        <b/>
        <sz val="14"/>
        <color rgb="FFFF0000"/>
        <rFont val="宋体"/>
        <family val="3"/>
        <charset val="134"/>
      </rPr>
      <t>数据取费表</t>
    </r>
    <phoneticPr fontId="6"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</si>
  <si>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6" type="noConversion"/>
  </si>
  <si>
    <r>
      <rPr>
        <b/>
        <sz val="11"/>
        <color indexed="8"/>
        <rFont val="宋体"/>
        <family val="3"/>
        <charset val="134"/>
      </rPr>
      <t>本次估价路线是否为先计算典型户型价值，再做典型户型修正求取其他估价对象价值</t>
    </r>
    <phoneticPr fontId="6" type="noConversion"/>
  </si>
  <si>
    <r>
      <rPr>
        <b/>
        <sz val="11"/>
        <color indexed="8"/>
        <rFont val="宋体"/>
        <family val="3"/>
        <charset val="134"/>
      </rPr>
      <t>估价结果单位</t>
    </r>
    <phoneticPr fontId="6" type="noConversion"/>
  </si>
  <si>
    <r>
      <rPr>
        <b/>
        <sz val="11"/>
        <color indexed="8"/>
        <rFont val="宋体"/>
        <family val="3"/>
        <charset val="134"/>
      </rPr>
      <t>估价结果为先计算</t>
    </r>
    <phoneticPr fontId="6" type="noConversion"/>
  </si>
  <si>
    <r>
      <rPr>
        <b/>
        <sz val="11"/>
        <color indexed="8"/>
        <rFont val="宋体"/>
        <family val="3"/>
        <charset val="134"/>
      </rPr>
      <t>建筑面积</t>
    </r>
    <phoneticPr fontId="6" type="noConversion"/>
  </si>
  <si>
    <r>
      <rPr>
        <b/>
        <sz val="11"/>
        <color indexed="8"/>
        <rFont val="宋体"/>
        <family val="3"/>
        <charset val="134"/>
      </rPr>
      <t>基准户型建筑面积</t>
    </r>
    <phoneticPr fontId="6" type="noConversion"/>
  </si>
  <si>
    <r>
      <rPr>
        <b/>
        <sz val="11"/>
        <color indexed="8"/>
        <rFont val="宋体"/>
        <family val="3"/>
        <charset val="134"/>
      </rPr>
      <t>土地面积</t>
    </r>
    <phoneticPr fontId="6" type="noConversion"/>
  </si>
  <si>
    <r>
      <rPr>
        <b/>
        <sz val="11"/>
        <color indexed="8"/>
        <rFont val="宋体"/>
        <family val="3"/>
        <charset val="134"/>
      </rPr>
      <t>基准户型土地面积</t>
    </r>
    <phoneticPr fontId="6" type="noConversion"/>
  </si>
  <si>
    <r>
      <rPr>
        <sz val="11"/>
        <color indexed="8"/>
        <rFont val="宋体"/>
        <family val="3"/>
        <charset val="134"/>
      </rPr>
      <t>地类判定</t>
    </r>
    <phoneticPr fontId="6" type="noConversion"/>
  </si>
  <si>
    <r>
      <rPr>
        <b/>
        <sz val="11"/>
        <color indexed="8"/>
        <rFont val="宋体"/>
        <family val="3"/>
        <charset val="134"/>
      </rPr>
      <t>其他取费</t>
    </r>
    <phoneticPr fontId="6" type="noConversion"/>
  </si>
  <si>
    <r>
      <rPr>
        <sz val="11"/>
        <color indexed="8"/>
        <rFont val="宋体"/>
        <family val="3"/>
        <charset val="134"/>
      </rPr>
      <t>取值</t>
    </r>
    <phoneticPr fontId="6" type="noConversion"/>
  </si>
  <si>
    <r>
      <rPr>
        <sz val="11"/>
        <rFont val="宋体"/>
        <family val="3"/>
        <charset val="134"/>
      </rPr>
      <t>法定最高</t>
    </r>
    <r>
      <rPr>
        <sz val="11"/>
        <rFont val="Arial"/>
        <family val="2"/>
      </rPr>
      <t>/</t>
    </r>
    <r>
      <rPr>
        <sz val="11"/>
        <rFont val="宋体"/>
        <family val="3"/>
        <charset val="134"/>
      </rPr>
      <t>出让年限</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</si>
  <si>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6" type="noConversion"/>
  </si>
  <si>
    <r>
      <rPr>
        <sz val="11"/>
        <color indexed="10"/>
        <rFont val="宋体"/>
        <family val="3"/>
        <charset val="134"/>
      </rPr>
      <t>请录依据文件名称：</t>
    </r>
    <phoneticPr fontId="6" type="noConversion"/>
  </si>
  <si>
    <r>
      <rPr>
        <sz val="11"/>
        <color indexed="8"/>
        <rFont val="宋体"/>
        <family val="3"/>
        <charset val="134"/>
      </rPr>
      <t>终止日期</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</si>
  <si>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6" type="noConversion"/>
  </si>
  <si>
    <r>
      <rPr>
        <sz val="11"/>
        <color indexed="8"/>
        <rFont val="宋体"/>
        <family val="3"/>
        <charset val="134"/>
      </rPr>
      <t>剩余土地使用年限</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</si>
  <si>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6" type="noConversion"/>
  </si>
  <si>
    <r>
      <rPr>
        <sz val="11"/>
        <color indexed="8"/>
        <rFont val="宋体"/>
        <family val="3"/>
        <charset val="134"/>
      </rPr>
      <t>年期修正系数</t>
    </r>
    <phoneticPr fontId="6" type="noConversion"/>
  </si>
  <si>
    <r>
      <rPr>
        <sz val="11"/>
        <color indexed="8"/>
        <rFont val="宋体"/>
        <family val="3"/>
        <charset val="134"/>
      </rPr>
      <t>红线外市政基础设施（总）</t>
    </r>
    <phoneticPr fontId="6"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</si>
  <si>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6" type="noConversion"/>
  </si>
  <si>
    <r>
      <rPr>
        <sz val="11"/>
        <color indexed="8"/>
        <rFont val="宋体"/>
        <family val="3"/>
        <charset val="134"/>
      </rPr>
      <t>红线外市政基础设施（现状）</t>
    </r>
    <phoneticPr fontId="6"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</si>
  <si>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6" type="noConversion"/>
  </si>
  <si>
    <r>
      <rPr>
        <sz val="11"/>
        <color indexed="8"/>
        <rFont val="宋体"/>
        <family val="3"/>
        <charset val="134"/>
      </rPr>
      <t>红线外市政基础设施（待完成）</t>
    </r>
    <phoneticPr fontId="6"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</si>
  <si>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6" type="noConversion"/>
  </si>
  <si>
    <r>
      <rPr>
        <sz val="11"/>
        <color indexed="8"/>
        <rFont val="宋体"/>
        <family val="3"/>
        <charset val="134"/>
      </rPr>
      <t>单方造价</t>
    </r>
    <phoneticPr fontId="7" type="noConversion"/>
  </si>
  <si>
    <r>
      <rPr>
        <b/>
        <sz val="11"/>
        <color indexed="8"/>
        <rFont val="宋体"/>
        <family val="3"/>
        <charset val="134"/>
      </rPr>
      <t>开发期</t>
    </r>
    <phoneticPr fontId="6" type="noConversion"/>
  </si>
  <si>
    <r>
      <rPr>
        <sz val="11"/>
        <rFont val="宋体"/>
        <family val="3"/>
        <charset val="134"/>
      </rPr>
      <t>土地开发期</t>
    </r>
  </si>
  <si>
    <r>
      <rPr>
        <sz val="11"/>
        <rFont val="宋体"/>
        <family val="3"/>
        <charset val="134"/>
      </rPr>
      <t>建设期</t>
    </r>
    <phoneticPr fontId="7" type="noConversion"/>
  </si>
  <si>
    <r>
      <rPr>
        <sz val="11"/>
        <color indexed="8"/>
        <rFont val="宋体"/>
        <family val="3"/>
        <charset val="134"/>
      </rPr>
      <t>勘察设计和前期工程费</t>
    </r>
    <phoneticPr fontId="6" type="noConversion"/>
  </si>
  <si>
    <r>
      <rPr>
        <sz val="11"/>
        <rFont val="宋体"/>
        <family val="3"/>
        <charset val="134"/>
      </rPr>
      <t>已建工期</t>
    </r>
    <phoneticPr fontId="6" type="noConversion"/>
  </si>
  <si>
    <r>
      <rPr>
        <sz val="11"/>
        <color indexed="8"/>
        <rFont val="宋体"/>
        <family val="3"/>
        <charset val="134"/>
      </rPr>
      <t>公共配套设施费用</t>
    </r>
    <phoneticPr fontId="6" type="noConversion"/>
  </si>
  <si>
    <r>
      <rPr>
        <sz val="11"/>
        <rFont val="宋体"/>
        <family val="3"/>
        <charset val="134"/>
      </rPr>
      <t>项目开发期</t>
    </r>
    <phoneticPr fontId="7" type="noConversion"/>
  </si>
  <si>
    <r>
      <rPr>
        <sz val="11"/>
        <color indexed="8"/>
        <rFont val="宋体"/>
        <family val="3"/>
        <charset val="134"/>
      </rPr>
      <t>红线内市政基础设施</t>
    </r>
    <phoneticPr fontId="6" type="noConversion"/>
  </si>
  <si>
    <r>
      <rPr>
        <sz val="11"/>
        <color indexed="8"/>
        <rFont val="宋体"/>
        <family val="3"/>
        <charset val="134"/>
      </rPr>
      <t>项目已运行</t>
    </r>
    <phoneticPr fontId="6" type="noConversion"/>
  </si>
  <si>
    <r>
      <rPr>
        <sz val="11"/>
        <color indexed="8"/>
        <rFont val="宋体"/>
        <family val="3"/>
        <charset val="134"/>
      </rPr>
      <t>建造成本中相关税费</t>
    </r>
    <phoneticPr fontId="6" type="noConversion"/>
  </si>
  <si>
    <r>
      <rPr>
        <sz val="11"/>
        <rFont val="宋体"/>
        <family val="3"/>
        <charset val="134"/>
      </rPr>
      <t>续建工期</t>
    </r>
    <phoneticPr fontId="6" type="noConversion"/>
  </si>
  <si>
    <r>
      <rPr>
        <sz val="11"/>
        <color indexed="8"/>
        <rFont val="宋体"/>
        <family val="3"/>
        <charset val="134"/>
      </rPr>
      <t>管理费用</t>
    </r>
    <phoneticPr fontId="6" type="noConversion"/>
  </si>
  <si>
    <r>
      <rPr>
        <b/>
        <sz val="11"/>
        <color indexed="8"/>
        <rFont val="宋体"/>
        <family val="3"/>
        <charset val="134"/>
      </rPr>
      <t>建成年份</t>
    </r>
    <phoneticPr fontId="6" type="noConversion"/>
  </si>
  <si>
    <r>
      <rPr>
        <sz val="11"/>
        <color indexed="8"/>
        <rFont val="宋体"/>
        <family val="3"/>
        <charset val="134"/>
      </rPr>
      <t>销售费用</t>
    </r>
    <phoneticPr fontId="6" type="noConversion"/>
  </si>
  <si>
    <r>
      <rPr>
        <sz val="11"/>
        <color indexed="8"/>
        <rFont val="宋体"/>
        <family val="3"/>
        <charset val="134"/>
      </rPr>
      <t>收益法相关参数</t>
    </r>
    <phoneticPr fontId="6" type="noConversion"/>
  </si>
  <si>
    <r>
      <rPr>
        <sz val="11"/>
        <color indexed="8"/>
        <rFont val="宋体"/>
        <family val="3"/>
        <charset val="134"/>
      </rPr>
      <t>利润</t>
    </r>
    <phoneticPr fontId="6"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</si>
  <si>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6" type="noConversion"/>
  </si>
  <si>
    <r>
      <rPr>
        <sz val="11"/>
        <color indexed="8"/>
        <rFont val="宋体"/>
        <family val="3"/>
        <charset val="134"/>
      </rPr>
      <t>一年期存款利率</t>
    </r>
    <phoneticPr fontId="6" type="noConversion"/>
  </si>
  <si>
    <r>
      <rPr>
        <sz val="11"/>
        <color indexed="8"/>
        <rFont val="宋体"/>
        <family val="3"/>
        <charset val="134"/>
      </rPr>
      <t>增值税</t>
    </r>
    <phoneticPr fontId="6" type="noConversion"/>
  </si>
  <si>
    <r>
      <rPr>
        <sz val="11"/>
        <color indexed="8"/>
        <rFont val="宋体"/>
        <family val="3"/>
        <charset val="134"/>
      </rPr>
      <t>年租金增长率</t>
    </r>
    <phoneticPr fontId="6" type="noConversion"/>
  </si>
  <si>
    <r>
      <rPr>
        <sz val="11"/>
        <color indexed="8"/>
        <rFont val="宋体"/>
        <family val="3"/>
        <charset val="134"/>
      </rPr>
      <t>附加税合计</t>
    </r>
    <phoneticPr fontId="6" type="noConversion"/>
  </si>
  <si>
    <r>
      <rPr>
        <sz val="11"/>
        <color indexed="8"/>
        <rFont val="宋体"/>
        <family val="3"/>
        <charset val="134"/>
      </rPr>
      <t>空置率</t>
    </r>
    <phoneticPr fontId="6" type="noConversion"/>
  </si>
  <si>
    <r>
      <rPr>
        <sz val="11"/>
        <color indexed="8"/>
        <rFont val="宋体"/>
        <family val="3"/>
        <charset val="134"/>
      </rPr>
      <t>城市维护建设税</t>
    </r>
    <phoneticPr fontId="6"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</si>
  <si>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6" type="noConversion"/>
  </si>
  <si>
    <r>
      <rPr>
        <sz val="11"/>
        <color indexed="8"/>
        <rFont val="宋体"/>
        <family val="3"/>
        <charset val="134"/>
      </rPr>
      <t>教育费附加</t>
    </r>
    <phoneticPr fontId="6" type="noConversion"/>
  </si>
  <si>
    <r>
      <rPr>
        <sz val="11"/>
        <color theme="1"/>
        <rFont val="宋体"/>
        <family val="3"/>
        <charset val="134"/>
      </rPr>
      <t>北京：</t>
    </r>
    <r>
      <rPr>
        <sz val="11"/>
        <color theme="1"/>
        <rFont val="Arial"/>
        <family val="2"/>
      </rPr>
      <t>3%</t>
    </r>
    <phoneticPr fontId="6" type="noConversion"/>
  </si>
  <si>
    <r>
      <rPr>
        <sz val="11"/>
        <color indexed="8"/>
        <rFont val="宋体"/>
        <family val="3"/>
        <charset val="134"/>
      </rPr>
      <t>地方教育费附加</t>
    </r>
    <phoneticPr fontId="6" type="noConversion"/>
  </si>
  <si>
    <r>
      <rPr>
        <sz val="11"/>
        <color theme="1"/>
        <rFont val="宋体"/>
        <family val="3"/>
        <charset val="134"/>
      </rPr>
      <t>北京：</t>
    </r>
    <r>
      <rPr>
        <sz val="11"/>
        <color theme="1"/>
        <rFont val="Arial"/>
        <family val="2"/>
      </rPr>
      <t>2%</t>
    </r>
    <phoneticPr fontId="6" type="noConversion"/>
  </si>
  <si>
    <r>
      <rPr>
        <b/>
        <sz val="11"/>
        <color rgb="FFFF0000"/>
        <rFont val="宋体"/>
        <family val="3"/>
        <charset val="134"/>
      </rPr>
      <t>租期外</t>
    </r>
    <phoneticPr fontId="6" type="noConversion"/>
  </si>
  <si>
    <r>
      <rPr>
        <sz val="11"/>
        <color indexed="8"/>
        <rFont val="宋体"/>
        <family val="3"/>
        <charset val="134"/>
      </rPr>
      <t>其他税种</t>
    </r>
    <phoneticPr fontId="6" type="noConversion"/>
  </si>
  <si>
    <r>
      <rPr>
        <sz val="11"/>
        <color indexed="10"/>
        <rFont val="宋体"/>
        <family val="3"/>
        <charset val="134"/>
      </rPr>
      <t>请录依据文件名称：</t>
    </r>
    <phoneticPr fontId="6" type="noConversion"/>
  </si>
  <si>
    <r>
      <rPr>
        <sz val="11"/>
        <color indexed="8"/>
        <rFont val="宋体"/>
        <family val="3"/>
        <charset val="134"/>
      </rPr>
      <t>契税</t>
    </r>
    <phoneticPr fontId="6" type="noConversion"/>
  </si>
  <si>
    <r>
      <rPr>
        <sz val="11"/>
        <color indexed="8"/>
        <rFont val="宋体"/>
        <family val="3"/>
        <charset val="134"/>
      </rPr>
      <t>北京：</t>
    </r>
    <r>
      <rPr>
        <sz val="11"/>
        <color indexed="8"/>
        <rFont val="Arial"/>
        <family val="2"/>
      </rPr>
      <t>3%</t>
    </r>
    <phoneticPr fontId="6" type="noConversion"/>
  </si>
  <si>
    <r>
      <rPr>
        <sz val="11"/>
        <color indexed="8"/>
        <rFont val="宋体"/>
        <family val="3"/>
        <charset val="134"/>
      </rPr>
      <t>印花税</t>
    </r>
    <phoneticPr fontId="6" type="noConversion"/>
  </si>
  <si>
    <r>
      <rPr>
        <sz val="11"/>
        <color indexed="8"/>
        <rFont val="宋体"/>
        <family val="3"/>
        <charset val="134"/>
      </rPr>
      <t>北京：</t>
    </r>
    <r>
      <rPr>
        <sz val="11"/>
        <color indexed="8"/>
        <rFont val="Arial"/>
        <family val="2"/>
      </rPr>
      <t>0.05%</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</si>
  <si>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</si>
  <si>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6" type="noConversion"/>
  </si>
  <si>
    <r>
      <rPr>
        <sz val="11"/>
        <color indexed="8"/>
        <rFont val="宋体"/>
        <family val="3"/>
        <charset val="134"/>
      </rPr>
      <t>土地使用税</t>
    </r>
    <phoneticPr fontId="6"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</si>
  <si>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6" type="noConversion"/>
  </si>
  <si>
    <r>
      <rPr>
        <sz val="11"/>
        <color indexed="8"/>
        <rFont val="宋体"/>
        <family val="3"/>
        <charset val="134"/>
      </rPr>
      <t>城镇土地纳税等级分级范围</t>
    </r>
    <phoneticPr fontId="6" type="noConversion"/>
  </si>
  <si>
    <r>
      <rPr>
        <sz val="11"/>
        <color indexed="8"/>
        <rFont val="宋体"/>
        <family val="3"/>
        <charset val="134"/>
      </rPr>
      <t>北京</t>
    </r>
    <phoneticPr fontId="6" type="noConversion"/>
  </si>
  <si>
    <r>
      <rPr>
        <sz val="11"/>
        <color indexed="10"/>
        <rFont val="宋体"/>
        <family val="3"/>
        <charset val="134"/>
      </rPr>
      <t>其他省市请录依据文件名称：</t>
    </r>
    <phoneticPr fontId="6"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</si>
  <si>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6" type="noConversion"/>
  </si>
  <si>
    <r>
      <rPr>
        <sz val="11"/>
        <color indexed="8"/>
        <rFont val="宋体"/>
        <family val="3"/>
        <charset val="134"/>
      </rPr>
      <t>一级</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</si>
  <si>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6" type="noConversion"/>
  </si>
  <si>
    <r>
      <rPr>
        <sz val="11"/>
        <color indexed="8"/>
        <rFont val="宋体"/>
        <family val="3"/>
        <charset val="134"/>
      </rPr>
      <t>二级</t>
    </r>
    <phoneticPr fontId="6" type="noConversion"/>
  </si>
  <si>
    <r>
      <rPr>
        <sz val="11"/>
        <color indexed="8"/>
        <rFont val="宋体"/>
        <family val="3"/>
        <charset val="134"/>
      </rPr>
      <t>维修费率</t>
    </r>
    <phoneticPr fontId="6" type="noConversion"/>
  </si>
  <si>
    <r>
      <rPr>
        <sz val="11"/>
        <color indexed="8"/>
        <rFont val="宋体"/>
        <family val="3"/>
        <charset val="134"/>
      </rPr>
      <t>三级</t>
    </r>
    <phoneticPr fontId="6" type="noConversion"/>
  </si>
  <si>
    <r>
      <rPr>
        <sz val="11"/>
        <color indexed="8"/>
        <rFont val="宋体"/>
        <family val="3"/>
        <charset val="134"/>
      </rPr>
      <t>保险费率</t>
    </r>
    <phoneticPr fontId="6" type="noConversion"/>
  </si>
  <si>
    <r>
      <rPr>
        <sz val="11"/>
        <color indexed="8"/>
        <rFont val="宋体"/>
        <family val="3"/>
        <charset val="134"/>
      </rPr>
      <t>四级</t>
    </r>
    <phoneticPr fontId="6" type="noConversion"/>
  </si>
  <si>
    <r>
      <rPr>
        <sz val="11"/>
        <color indexed="8"/>
        <rFont val="宋体"/>
        <family val="3"/>
        <charset val="134"/>
      </rPr>
      <t>管理费率</t>
    </r>
    <phoneticPr fontId="6" type="noConversion"/>
  </si>
  <si>
    <r>
      <rPr>
        <sz val="11"/>
        <color indexed="8"/>
        <rFont val="宋体"/>
        <family val="3"/>
        <charset val="134"/>
      </rPr>
      <t>六级</t>
    </r>
    <phoneticPr fontId="6" type="noConversion"/>
  </si>
  <si>
    <r>
      <rPr>
        <sz val="11"/>
        <color indexed="8"/>
        <rFont val="宋体"/>
        <family val="3"/>
        <charset val="134"/>
      </rPr>
      <t>七级</t>
    </r>
    <phoneticPr fontId="6" type="noConversion"/>
  </si>
  <si>
    <r>
      <rPr>
        <sz val="11"/>
        <color indexed="8"/>
        <rFont val="宋体"/>
        <family val="3"/>
        <charset val="134"/>
      </rPr>
      <t>八级</t>
    </r>
    <phoneticPr fontId="6" type="noConversion"/>
  </si>
  <si>
    <r>
      <rPr>
        <sz val="11"/>
        <color indexed="8"/>
        <rFont val="宋体"/>
        <family val="3"/>
        <charset val="134"/>
      </rPr>
      <t>九级</t>
    </r>
    <phoneticPr fontId="6" type="noConversion"/>
  </si>
  <si>
    <r>
      <rPr>
        <sz val="11"/>
        <color indexed="8"/>
        <rFont val="宋体"/>
        <family val="3"/>
        <charset val="134"/>
      </rPr>
      <t>十级</t>
    </r>
    <phoneticPr fontId="6" type="noConversion"/>
  </si>
  <si>
    <r>
      <rPr>
        <b/>
        <sz val="14"/>
        <color indexed="10"/>
        <rFont val="宋体"/>
        <family val="3"/>
        <charset val="134"/>
      </rPr>
      <t>房地产修正因素</t>
    </r>
    <phoneticPr fontId="6" type="noConversion"/>
  </si>
  <si>
    <r>
      <rPr>
        <sz val="11"/>
        <color indexed="8"/>
        <rFont val="宋体"/>
        <family val="3"/>
        <charset val="134"/>
      </rPr>
      <t>居住社区成熟度</t>
    </r>
  </si>
  <si>
    <r>
      <rPr>
        <sz val="11"/>
        <color indexed="8"/>
        <rFont val="宋体"/>
        <family val="3"/>
        <charset val="134"/>
      </rPr>
      <t>公共配套设施</t>
    </r>
    <phoneticPr fontId="22" type="noConversion"/>
  </si>
  <si>
    <r>
      <rPr>
        <sz val="11"/>
        <color indexed="8"/>
        <rFont val="宋体"/>
        <family val="3"/>
        <charset val="134"/>
      </rPr>
      <t>交通便捷度</t>
    </r>
  </si>
  <si>
    <r>
      <rPr>
        <sz val="11"/>
        <color indexed="8"/>
        <rFont val="宋体"/>
        <family val="3"/>
        <charset val="134"/>
      </rPr>
      <t>基础设施水平</t>
    </r>
    <phoneticPr fontId="22" type="noConversion"/>
  </si>
  <si>
    <r>
      <rPr>
        <sz val="11"/>
        <color indexed="8"/>
        <rFont val="宋体"/>
        <family val="3"/>
        <charset val="134"/>
      </rPr>
      <t>自然及人文环境</t>
    </r>
  </si>
  <si>
    <r>
      <rPr>
        <b/>
        <sz val="14"/>
        <color indexed="10"/>
        <rFont val="宋体"/>
        <family val="3"/>
        <charset val="134"/>
      </rPr>
      <t>土地修正因素</t>
    </r>
    <phoneticPr fontId="6" type="noConversion"/>
  </si>
  <si>
    <r>
      <rPr>
        <b/>
        <sz val="14"/>
        <color rgb="FFFF0000"/>
        <rFont val="宋体"/>
        <family val="3"/>
        <charset val="134"/>
      </rPr>
      <t>估价结果（过程）</t>
    </r>
    <phoneticPr fontId="10"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</si>
  <si>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</si>
  <si>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</si>
  <si>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</si>
  <si>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10"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</si>
  <si>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</si>
  <si>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10"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</si>
  <si>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</si>
  <si>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</si>
  <si>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</si>
  <si>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</si>
  <si>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</si>
  <si>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</si>
  <si>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</si>
  <si>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</si>
  <si>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</si>
  <si>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</si>
  <si>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</si>
  <si>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</si>
  <si>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10"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</si>
  <si>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</si>
  <si>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</si>
  <si>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</si>
  <si>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</si>
  <si>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1" type="noConversion"/>
  </si>
  <si>
    <r>
      <rPr>
        <sz val="11"/>
        <color indexed="8"/>
        <rFont val="宋体"/>
        <family val="3"/>
        <charset val="134"/>
      </rPr>
      <t>总价</t>
    </r>
    <phoneticPr fontId="11" type="noConversion"/>
  </si>
  <si>
    <r>
      <rPr>
        <b/>
        <sz val="11"/>
        <color indexed="8"/>
        <rFont val="宋体"/>
        <family val="3"/>
        <charset val="134"/>
      </rPr>
      <t>权重结果</t>
    </r>
    <phoneticPr fontId="11" type="noConversion"/>
  </si>
  <si>
    <r>
      <rPr>
        <sz val="11"/>
        <color indexed="8"/>
        <rFont val="宋体"/>
        <family val="3"/>
        <charset val="134"/>
      </rPr>
      <t>楼面单价</t>
    </r>
    <phoneticPr fontId="1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</si>
  <si>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10" type="noConversion"/>
  </si>
  <si>
    <r>
      <rPr>
        <sz val="11"/>
        <color indexed="8"/>
        <rFont val="宋体"/>
        <family val="3"/>
        <charset val="134"/>
      </rPr>
      <t>各方法结果差值</t>
    </r>
    <phoneticPr fontId="10"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</si>
  <si>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10" type="noConversion"/>
  </si>
  <si>
    <r>
      <rPr>
        <sz val="11"/>
        <color rgb="FFFF0000"/>
        <rFont val="宋体"/>
        <family val="3"/>
        <charset val="134"/>
      </rPr>
      <t>扣减项</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</si>
  <si>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</si>
  <si>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</si>
  <si>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总值</t>
    </r>
    <phoneticPr fontId="10" type="noConversion"/>
  </si>
  <si>
    <r>
      <rPr>
        <sz val="11"/>
        <color rgb="FFFF0000"/>
        <rFont val="宋体"/>
        <family val="3"/>
        <charset val="134"/>
      </rPr>
      <t>合计</t>
    </r>
    <phoneticPr fontId="10" type="noConversion"/>
  </si>
  <si>
    <r>
      <rPr>
        <b/>
        <sz val="11"/>
        <color indexed="8"/>
        <rFont val="宋体"/>
        <family val="3"/>
        <charset val="134"/>
      </rPr>
      <t>房地产价值</t>
    </r>
    <phoneticPr fontId="10" type="noConversion"/>
  </si>
  <si>
    <r>
      <rPr>
        <b/>
        <sz val="11"/>
        <color indexed="8"/>
        <rFont val="宋体"/>
        <family val="3"/>
        <charset val="134"/>
      </rPr>
      <t>土地与建筑物价值分配原则</t>
    </r>
    <phoneticPr fontId="10" type="noConversion"/>
  </si>
  <si>
    <r>
      <rPr>
        <sz val="10"/>
        <color indexed="8"/>
        <rFont val="宋体"/>
        <family val="3"/>
        <charset val="134"/>
      </rPr>
      <t>自定义比例设置</t>
    </r>
    <phoneticPr fontId="10" type="noConversion"/>
  </si>
  <si>
    <r>
      <rPr>
        <sz val="11"/>
        <color indexed="8"/>
        <rFont val="宋体"/>
        <family val="3"/>
        <charset val="134"/>
      </rPr>
      <t>土地价值</t>
    </r>
    <phoneticPr fontId="10" type="noConversion"/>
  </si>
  <si>
    <r>
      <rPr>
        <sz val="10"/>
        <color indexed="8"/>
        <rFont val="宋体"/>
        <family val="3"/>
        <charset val="134"/>
      </rPr>
      <t>土地价值</t>
    </r>
    <phoneticPr fontId="10" type="noConversion"/>
  </si>
  <si>
    <r>
      <rPr>
        <sz val="11"/>
        <color indexed="8"/>
        <rFont val="宋体"/>
        <family val="3"/>
        <charset val="134"/>
      </rPr>
      <t>建筑物价值</t>
    </r>
    <phoneticPr fontId="10" type="noConversion"/>
  </si>
  <si>
    <r>
      <rPr>
        <sz val="10"/>
        <color indexed="8"/>
        <rFont val="宋体"/>
        <family val="3"/>
        <charset val="134"/>
      </rPr>
      <t>建筑物价值</t>
    </r>
    <phoneticPr fontId="10"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</si>
  <si>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</si>
  <si>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</si>
  <si>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</si>
  <si>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</si>
  <si>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6" type="noConversion"/>
  </si>
  <si>
    <r>
      <rPr>
        <b/>
        <sz val="11"/>
        <color indexed="8"/>
        <rFont val="宋体"/>
        <family val="3"/>
        <charset val="134"/>
      </rPr>
      <t>补交地价款</t>
    </r>
    <phoneticPr fontId="10" type="noConversion"/>
  </si>
  <si>
    <r>
      <rPr>
        <sz val="11"/>
        <color rgb="FFFF0000"/>
        <rFont val="宋体"/>
        <family val="3"/>
        <charset val="134"/>
      </rPr>
      <t>税费</t>
    </r>
    <phoneticPr fontId="10" type="noConversion"/>
  </si>
  <si>
    <r>
      <t>(</t>
    </r>
    <r>
      <rPr>
        <sz val="10"/>
        <color indexed="8"/>
        <rFont val="宋体"/>
        <family val="3"/>
        <charset val="134"/>
      </rPr>
      <t>列示计算过程</t>
    </r>
    <r>
      <rPr>
        <sz val="10"/>
        <color indexed="8"/>
        <rFont val="Arial"/>
        <family val="2"/>
      </rPr>
      <t>,</t>
    </r>
    <phoneticPr fontId="6" type="noConversion"/>
  </si>
  <si>
    <r>
      <rPr>
        <sz val="10"/>
        <color indexed="8"/>
        <rFont val="宋体"/>
        <family val="3"/>
        <charset val="134"/>
      </rPr>
      <t>不固定格式</t>
    </r>
    <r>
      <rPr>
        <sz val="10"/>
        <color indexed="8"/>
        <rFont val="Arial"/>
        <family val="2"/>
      </rPr>
      <t>)</t>
    </r>
    <phoneticPr fontId="6" type="noConversion"/>
  </si>
  <si>
    <r>
      <rPr>
        <b/>
        <sz val="14"/>
        <color rgb="FFFF0000"/>
        <rFont val="宋体"/>
        <family val="3"/>
        <charset val="134"/>
      </rPr>
      <t>抵押净值计算</t>
    </r>
    <phoneticPr fontId="10"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</si>
  <si>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</si>
  <si>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</si>
  <si>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</si>
  <si>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</si>
  <si>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0"/>
        <color theme="1"/>
        <rFont val="宋体"/>
        <family val="3"/>
        <charset val="134"/>
      </rPr>
      <t>估价对象基本情况</t>
    </r>
  </si>
  <si>
    <r>
      <rPr>
        <b/>
        <sz val="10"/>
        <color indexed="8"/>
        <rFont val="宋体"/>
        <family val="3"/>
        <charset val="134"/>
      </rPr>
      <t>处置时需缴纳的相关税费</t>
    </r>
    <phoneticPr fontId="10" type="noConversion"/>
  </si>
  <si>
    <r>
      <rPr>
        <b/>
        <sz val="10"/>
        <color theme="1"/>
        <rFont val="宋体"/>
        <family val="3"/>
        <charset val="134"/>
      </rPr>
      <t>估价对象</t>
    </r>
  </si>
  <si>
    <r>
      <rPr>
        <b/>
        <sz val="10"/>
        <color indexed="8"/>
        <rFont val="宋体"/>
        <family val="3"/>
        <charset val="134"/>
      </rPr>
      <t>税（费）种</t>
    </r>
    <phoneticPr fontId="10" type="noConversion"/>
  </si>
  <si>
    <r>
      <rPr>
        <sz val="10"/>
        <color indexed="8"/>
        <rFont val="宋体"/>
        <family val="3"/>
        <charset val="134"/>
      </rPr>
      <t>金额</t>
    </r>
    <phoneticPr fontId="10" type="noConversion"/>
  </si>
  <si>
    <r>
      <rPr>
        <sz val="10"/>
        <color indexed="8"/>
        <rFont val="宋体"/>
        <family val="3"/>
        <charset val="134"/>
      </rPr>
      <t>计算方法</t>
    </r>
    <phoneticPr fontId="10" type="noConversion"/>
  </si>
  <si>
    <r>
      <rPr>
        <b/>
        <sz val="10"/>
        <color indexed="8"/>
        <rFont val="宋体"/>
        <family val="3"/>
        <charset val="134"/>
      </rPr>
      <t>税（费）率</t>
    </r>
    <phoneticPr fontId="10" type="noConversion"/>
  </si>
  <si>
    <r>
      <rPr>
        <sz val="10"/>
        <color indexed="8"/>
        <rFont val="宋体"/>
        <family val="3"/>
        <charset val="134"/>
      </rPr>
      <t>备注</t>
    </r>
    <phoneticPr fontId="10" type="noConversion"/>
  </si>
  <si>
    <r>
      <rPr>
        <b/>
        <sz val="10"/>
        <color theme="1"/>
        <rFont val="宋体"/>
        <family val="3"/>
        <charset val="134"/>
      </rPr>
      <t>价值时点</t>
    </r>
  </si>
  <si>
    <r>
      <t>1.</t>
    </r>
    <r>
      <rPr>
        <sz val="10"/>
        <color indexed="8"/>
        <rFont val="宋体"/>
        <family val="3"/>
        <charset val="134"/>
      </rPr>
      <t>增值税及附加</t>
    </r>
    <phoneticPr fontId="10" type="noConversion"/>
  </si>
  <si>
    <r>
      <rPr>
        <sz val="10"/>
        <color indexed="10"/>
        <rFont val="宋体"/>
        <family val="3"/>
        <charset val="134"/>
      </rPr>
      <t>属于免缴时请录入面缴类别</t>
    </r>
    <phoneticPr fontId="10"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</si>
  <si>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</si>
  <si>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10" type="noConversion"/>
  </si>
  <si>
    <r>
      <rPr>
        <sz val="10"/>
        <color indexed="8"/>
        <rFont val="宋体"/>
        <family val="3"/>
        <charset val="134"/>
      </rPr>
      <t>情况</t>
    </r>
    <r>
      <rPr>
        <sz val="10"/>
        <color indexed="8"/>
        <rFont val="Arial"/>
        <family val="2"/>
      </rPr>
      <t>1</t>
    </r>
    <r>
      <rPr>
        <sz val="10"/>
        <color indexed="8"/>
        <rFont val="宋体"/>
        <family val="3"/>
        <charset val="134"/>
      </rPr>
      <t>：</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</si>
  <si>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10" type="noConversion"/>
  </si>
  <si>
    <r>
      <rPr>
        <sz val="10"/>
        <color indexed="8"/>
        <rFont val="宋体"/>
        <family val="3"/>
        <charset val="134"/>
      </rPr>
      <t>免征</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</si>
  <si>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10" type="noConversion"/>
  </si>
  <si>
    <r>
      <rPr>
        <b/>
        <sz val="10"/>
        <color theme="1"/>
        <rFont val="宋体"/>
        <family val="3"/>
        <charset val="134"/>
      </rPr>
      <t>处置时需缴纳的相关税费</t>
    </r>
  </si>
  <si>
    <r>
      <rPr>
        <sz val="10"/>
        <color indexed="8"/>
        <rFont val="宋体"/>
        <family val="3"/>
        <charset val="134"/>
      </rPr>
      <t>个体工商户购买的住宅</t>
    </r>
    <phoneticPr fontId="10"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</si>
  <si>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</si>
  <si>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</si>
  <si>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</si>
  <si>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</si>
  <si>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</si>
  <si>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10"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</si>
  <si>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10" type="noConversion"/>
  </si>
  <si>
    <r>
      <rPr>
        <sz val="10"/>
        <color indexed="8"/>
        <rFont val="宋体"/>
        <family val="3"/>
        <charset val="134"/>
      </rPr>
      <t>全额计税</t>
    </r>
    <phoneticPr fontId="10" type="noConversion"/>
  </si>
  <si>
    <r>
      <rPr>
        <sz val="10"/>
        <color theme="1"/>
        <rFont val="宋体"/>
        <family val="3"/>
        <charset val="134"/>
      </rPr>
      <t>增值税及附加</t>
    </r>
    <phoneticPr fontId="10" type="noConversion"/>
  </si>
  <si>
    <r>
      <rPr>
        <sz val="10"/>
        <color indexed="8"/>
        <rFont val="宋体"/>
        <family val="3"/>
        <charset val="134"/>
      </rPr>
      <t>情况</t>
    </r>
    <r>
      <rPr>
        <sz val="10"/>
        <color indexed="8"/>
        <rFont val="Arial"/>
        <family val="2"/>
      </rPr>
      <t>3</t>
    </r>
    <r>
      <rPr>
        <sz val="10"/>
        <color indexed="8"/>
        <rFont val="宋体"/>
        <family val="3"/>
        <charset val="134"/>
      </rPr>
      <t>：</t>
    </r>
    <phoneticPr fontId="10" type="noConversion"/>
  </si>
  <si>
    <r>
      <rPr>
        <sz val="10"/>
        <color theme="1"/>
        <rFont val="宋体"/>
        <family val="3"/>
        <charset val="134"/>
      </rPr>
      <t>印花税</t>
    </r>
    <phoneticPr fontId="10" type="noConversion"/>
  </si>
  <si>
    <r>
      <rPr>
        <sz val="10"/>
        <color indexed="8"/>
        <rFont val="宋体"/>
        <family val="3"/>
        <charset val="134"/>
      </rPr>
      <t>情况</t>
    </r>
    <r>
      <rPr>
        <sz val="10"/>
        <color indexed="8"/>
        <rFont val="Arial"/>
        <family val="2"/>
      </rPr>
      <t>4</t>
    </r>
    <r>
      <rPr>
        <sz val="10"/>
        <color indexed="8"/>
        <rFont val="宋体"/>
        <family val="3"/>
        <charset val="134"/>
      </rPr>
      <t>：</t>
    </r>
    <phoneticPr fontId="10" type="noConversion"/>
  </si>
  <si>
    <r>
      <rPr>
        <sz val="10"/>
        <color indexed="8"/>
        <rFont val="宋体"/>
        <family val="3"/>
        <charset val="134"/>
      </rPr>
      <t>差额计税</t>
    </r>
    <phoneticPr fontId="10" type="noConversion"/>
  </si>
  <si>
    <r>
      <rPr>
        <sz val="10"/>
        <color theme="1"/>
        <rFont val="宋体"/>
        <family val="3"/>
        <charset val="134"/>
      </rPr>
      <t>土地增值税</t>
    </r>
    <phoneticPr fontId="10" type="noConversion"/>
  </si>
  <si>
    <r>
      <t>2.</t>
    </r>
    <r>
      <rPr>
        <sz val="10"/>
        <color indexed="8"/>
        <rFont val="宋体"/>
        <family val="3"/>
        <charset val="134"/>
      </rPr>
      <t>印花税</t>
    </r>
    <phoneticPr fontId="10"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</si>
  <si>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10" type="noConversion"/>
  </si>
  <si>
    <r>
      <rPr>
        <sz val="10"/>
        <color indexed="8"/>
        <rFont val="宋体"/>
        <family val="3"/>
        <charset val="134"/>
      </rPr>
      <t>正常</t>
    </r>
  </si>
  <si>
    <r>
      <t>3.</t>
    </r>
    <r>
      <rPr>
        <sz val="10"/>
        <color indexed="8"/>
        <rFont val="宋体"/>
        <family val="3"/>
        <charset val="134"/>
      </rPr>
      <t>土地增值税</t>
    </r>
    <phoneticPr fontId="10"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</si>
  <si>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10" type="noConversion"/>
  </si>
  <si>
    <r>
      <rPr>
        <sz val="10"/>
        <color rgb="FFFF0000"/>
        <rFont val="宋体"/>
        <family val="3"/>
        <charset val="134"/>
      </rPr>
      <t>属于免缴时请录入面缴类别</t>
    </r>
    <phoneticPr fontId="10" type="noConversion"/>
  </si>
  <si>
    <r>
      <rPr>
        <sz val="10"/>
        <color indexed="8"/>
        <rFont val="宋体"/>
        <family val="3"/>
        <charset val="134"/>
      </rPr>
      <t>个人住宅</t>
    </r>
    <phoneticPr fontId="10" type="noConversion"/>
  </si>
  <si>
    <r>
      <rPr>
        <sz val="10"/>
        <color theme="1"/>
        <rFont val="宋体"/>
        <family val="3"/>
        <charset val="134"/>
      </rPr>
      <t>合计</t>
    </r>
    <phoneticPr fontId="10"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</si>
  <si>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</si>
  <si>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10"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</si>
  <si>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</si>
  <si>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</si>
  <si>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10" type="noConversion"/>
  </si>
  <si>
    <r>
      <rPr>
        <sz val="10"/>
        <color theme="1"/>
        <rFont val="宋体"/>
        <family val="3"/>
        <charset val="134"/>
      </rPr>
      <t>抵押净值</t>
    </r>
    <phoneticPr fontId="10" type="noConversion"/>
  </si>
  <si>
    <r>
      <rPr>
        <b/>
        <sz val="10"/>
        <color indexed="8"/>
        <rFont val="宋体"/>
        <family val="3"/>
        <charset val="134"/>
      </rPr>
      <t>销售不动产增值税及附加计算</t>
    </r>
    <phoneticPr fontId="30" type="noConversion"/>
  </si>
  <si>
    <r>
      <rPr>
        <sz val="10"/>
        <color theme="1"/>
        <rFont val="宋体"/>
        <family val="3"/>
        <charset val="134"/>
      </rPr>
      <t>抵押净值单价</t>
    </r>
    <phoneticPr fontId="10" type="noConversion"/>
  </si>
  <si>
    <r>
      <rPr>
        <b/>
        <sz val="10"/>
        <rFont val="宋体"/>
        <family val="3"/>
        <charset val="134"/>
      </rPr>
      <t>项目</t>
    </r>
    <phoneticPr fontId="33" type="noConversion"/>
  </si>
  <si>
    <r>
      <rPr>
        <b/>
        <sz val="10"/>
        <rFont val="宋体"/>
        <family val="3"/>
        <charset val="134"/>
      </rPr>
      <t>系数</t>
    </r>
    <phoneticPr fontId="33" type="noConversion"/>
  </si>
  <si>
    <r>
      <rPr>
        <sz val="10"/>
        <color indexed="8"/>
        <rFont val="宋体"/>
        <family val="3"/>
        <charset val="134"/>
      </rPr>
      <t>备注</t>
    </r>
    <phoneticPr fontId="33" type="noConversion"/>
  </si>
  <si>
    <r>
      <rPr>
        <b/>
        <sz val="10"/>
        <rFont val="宋体"/>
        <family val="3"/>
        <charset val="134"/>
      </rPr>
      <t>销售额</t>
    </r>
    <phoneticPr fontId="30"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</si>
  <si>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</si>
  <si>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</si>
  <si>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3"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</si>
  <si>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</si>
  <si>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6" type="noConversion"/>
  </si>
  <si>
    <r>
      <rPr>
        <sz val="10"/>
        <rFont val="宋体"/>
        <family val="3"/>
        <charset val="134"/>
      </rPr>
      <t>价外费用</t>
    </r>
    <phoneticPr fontId="30"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</si>
  <si>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</si>
  <si>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</si>
  <si>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10"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</si>
  <si>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</si>
  <si>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6" type="noConversion"/>
  </si>
  <si>
    <r>
      <rPr>
        <b/>
        <sz val="10"/>
        <rFont val="宋体"/>
        <family val="3"/>
        <charset val="134"/>
      </rPr>
      <t>纳税基数</t>
    </r>
    <phoneticPr fontId="33" type="noConversion"/>
  </si>
  <si>
    <r>
      <rPr>
        <sz val="10"/>
        <color rgb="FF000000"/>
        <rFont val="宋体"/>
        <family val="3"/>
        <charset val="134"/>
      </rPr>
      <t>评估费</t>
    </r>
  </si>
  <si>
    <r>
      <rPr>
        <b/>
        <sz val="10"/>
        <rFont val="宋体"/>
        <family val="3"/>
        <charset val="134"/>
      </rPr>
      <t>纳税额</t>
    </r>
    <phoneticPr fontId="30"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</si>
  <si>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</si>
  <si>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</si>
  <si>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3" type="noConversion"/>
  </si>
  <si>
    <r>
      <rPr>
        <b/>
        <sz val="10"/>
        <rFont val="宋体"/>
        <family val="3"/>
        <charset val="134"/>
      </rPr>
      <t>转让收入</t>
    </r>
    <phoneticPr fontId="33" type="noConversion"/>
  </si>
  <si>
    <r>
      <rPr>
        <sz val="10"/>
        <color indexed="8"/>
        <rFont val="宋体"/>
        <family val="3"/>
        <charset val="134"/>
      </rPr>
      <t>应税收入，不含增值税</t>
    </r>
    <phoneticPr fontId="10" type="noConversion"/>
  </si>
  <si>
    <r>
      <rPr>
        <b/>
        <sz val="10"/>
        <color indexed="8"/>
        <rFont val="宋体"/>
        <family val="3"/>
        <charset val="134"/>
      </rPr>
      <t>扣除项合计</t>
    </r>
    <phoneticPr fontId="33" type="noConversion"/>
  </si>
  <si>
    <r>
      <rPr>
        <sz val="10"/>
        <rFont val="宋体"/>
        <family val="3"/>
        <charset val="134"/>
      </rPr>
      <t>原购房价及相关税费</t>
    </r>
    <phoneticPr fontId="33" type="noConversion"/>
  </si>
  <si>
    <r>
      <rPr>
        <sz val="10"/>
        <rFont val="宋体"/>
        <family val="3"/>
        <charset val="134"/>
      </rPr>
      <t>原购房价</t>
    </r>
    <phoneticPr fontId="33" type="noConversion"/>
  </si>
  <si>
    <r>
      <rPr>
        <sz val="11"/>
        <color indexed="8"/>
        <rFont val="宋体"/>
        <family val="3"/>
        <charset val="134"/>
      </rPr>
      <t>原购房价依据</t>
    </r>
    <phoneticPr fontId="30" type="noConversion"/>
  </si>
  <si>
    <r>
      <rPr>
        <sz val="11"/>
        <color indexed="8"/>
        <rFont val="宋体"/>
        <family val="3"/>
        <charset val="134"/>
      </rPr>
      <t>购房发票</t>
    </r>
  </si>
  <si>
    <r>
      <rPr>
        <sz val="11"/>
        <color indexed="8"/>
        <rFont val="宋体"/>
        <family val="3"/>
        <charset val="134"/>
      </rPr>
      <t>已购年限</t>
    </r>
    <phoneticPr fontId="30" type="noConversion"/>
  </si>
  <si>
    <r>
      <rPr>
        <sz val="10"/>
        <rFont val="宋体"/>
        <family val="3"/>
        <charset val="134"/>
      </rPr>
      <t>加计扣减项</t>
    </r>
    <phoneticPr fontId="30"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</si>
  <si>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3" type="noConversion"/>
  </si>
  <si>
    <r>
      <rPr>
        <sz val="10"/>
        <rFont val="宋体"/>
        <family val="3"/>
        <charset val="134"/>
      </rPr>
      <t>相关税费</t>
    </r>
    <phoneticPr fontId="33" type="noConversion"/>
  </si>
  <si>
    <r>
      <rPr>
        <sz val="10"/>
        <color indexed="8"/>
        <rFont val="宋体"/>
        <family val="3"/>
        <charset val="134"/>
      </rPr>
      <t>含契税及印花税</t>
    </r>
    <phoneticPr fontId="33"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</si>
  <si>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</si>
  <si>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3" type="noConversion"/>
  </si>
  <si>
    <r>
      <rPr>
        <sz val="10"/>
        <color indexed="8"/>
        <rFont val="宋体"/>
        <family val="3"/>
        <charset val="134"/>
      </rPr>
      <t>不含增值税，仅附加税</t>
    </r>
    <phoneticPr fontId="30" type="noConversion"/>
  </si>
  <si>
    <r>
      <rPr>
        <b/>
        <sz val="10"/>
        <rFont val="宋体"/>
        <family val="3"/>
        <charset val="134"/>
      </rPr>
      <t>增值额</t>
    </r>
    <phoneticPr fontId="33" type="noConversion"/>
  </si>
  <si>
    <r>
      <rPr>
        <b/>
        <sz val="10"/>
        <rFont val="宋体"/>
        <family val="3"/>
        <charset val="134"/>
      </rPr>
      <t>增值额与扣除项比率</t>
    </r>
    <phoneticPr fontId="33" type="noConversion"/>
  </si>
  <si>
    <r>
      <rPr>
        <b/>
        <sz val="10"/>
        <rFont val="宋体"/>
        <family val="3"/>
        <charset val="134"/>
      </rPr>
      <t>应纳增值税税额</t>
    </r>
    <phoneticPr fontId="33" type="noConversion"/>
  </si>
  <si>
    <r>
      <rPr>
        <b/>
        <sz val="10"/>
        <rFont val="宋体"/>
        <family val="3"/>
        <charset val="134"/>
      </rPr>
      <t>土地增值税（自行开发建设）</t>
    </r>
    <phoneticPr fontId="33" type="noConversion"/>
  </si>
  <si>
    <r>
      <rPr>
        <sz val="10"/>
        <rFont val="宋体"/>
        <family val="3"/>
        <charset val="134"/>
      </rPr>
      <t>土地取得成本</t>
    </r>
    <phoneticPr fontId="33" type="noConversion"/>
  </si>
  <si>
    <r>
      <rPr>
        <sz val="10"/>
        <rFont val="宋体"/>
        <family val="3"/>
        <charset val="134"/>
      </rPr>
      <t>土地取得费用</t>
    </r>
    <phoneticPr fontId="33" type="noConversion"/>
  </si>
  <si>
    <r>
      <rPr>
        <sz val="10"/>
        <color indexed="8"/>
        <rFont val="宋体"/>
        <family val="3"/>
        <charset val="134"/>
      </rPr>
      <t>依据出让合同</t>
    </r>
    <phoneticPr fontId="30" type="noConversion"/>
  </si>
  <si>
    <r>
      <rPr>
        <sz val="9"/>
        <color indexed="8"/>
        <rFont val="宋体"/>
        <family val="3"/>
        <charset val="134"/>
      </rPr>
      <t>出让价款内涵：</t>
    </r>
    <phoneticPr fontId="30" type="noConversion"/>
  </si>
  <si>
    <r>
      <rPr>
        <sz val="10"/>
        <color indexed="8"/>
        <rFont val="宋体"/>
        <family val="3"/>
        <charset val="134"/>
      </rPr>
      <t>契税及印花税</t>
    </r>
    <phoneticPr fontId="30" type="noConversion"/>
  </si>
  <si>
    <r>
      <rPr>
        <sz val="10"/>
        <rFont val="宋体"/>
        <family val="3"/>
        <charset val="134"/>
      </rPr>
      <t>土地开发费</t>
    </r>
    <phoneticPr fontId="33" type="noConversion"/>
  </si>
  <si>
    <r>
      <rPr>
        <sz val="10"/>
        <rFont val="宋体"/>
        <family val="3"/>
        <charset val="134"/>
      </rPr>
      <t>建造成本</t>
    </r>
    <phoneticPr fontId="33" type="noConversion"/>
  </si>
  <si>
    <r>
      <rPr>
        <sz val="10"/>
        <color indexed="8"/>
        <rFont val="宋体"/>
        <family val="3"/>
        <charset val="134"/>
      </rPr>
      <t>包括前期工程费、建筑安装工程费、基础设施费和公共配套费等</t>
    </r>
    <phoneticPr fontId="30" type="noConversion"/>
  </si>
  <si>
    <r>
      <rPr>
        <sz val="10"/>
        <color indexed="8"/>
        <rFont val="宋体"/>
        <family val="3"/>
        <charset val="134"/>
      </rPr>
      <t>企业提供（在右侧录入）</t>
    </r>
  </si>
  <si>
    <r>
      <rPr>
        <sz val="10"/>
        <rFont val="宋体"/>
        <family val="3"/>
        <charset val="134"/>
      </rPr>
      <t>开发费用扣除</t>
    </r>
    <phoneticPr fontId="33"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</si>
  <si>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0" type="noConversion"/>
  </si>
  <si>
    <r>
      <rPr>
        <sz val="10"/>
        <rFont val="宋体"/>
        <family val="3"/>
        <charset val="134"/>
      </rPr>
      <t>加计扣除金额</t>
    </r>
    <phoneticPr fontId="33"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</si>
  <si>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30" type="noConversion"/>
  </si>
  <si>
    <r>
      <rPr>
        <b/>
        <sz val="14"/>
        <color rgb="FFFF0000"/>
        <rFont val="宋体"/>
        <family val="3"/>
        <charset val="134"/>
      </rPr>
      <t>估价结果</t>
    </r>
    <phoneticPr fontId="10" type="noConversion"/>
  </si>
  <si>
    <r>
      <rPr>
        <b/>
        <sz val="11"/>
        <color indexed="8"/>
        <rFont val="宋体"/>
        <family val="3"/>
        <charset val="134"/>
      </rPr>
      <t>结果表</t>
    </r>
    <r>
      <rPr>
        <b/>
        <sz val="11"/>
        <color indexed="8"/>
        <rFont val="Arial"/>
        <family val="2"/>
      </rPr>
      <t>-1</t>
    </r>
    <phoneticPr fontId="10"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</si>
  <si>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10"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</si>
  <si>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</si>
  <si>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1"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</si>
  <si>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6" type="noConversion"/>
  </si>
  <si>
    <r>
      <rPr>
        <b/>
        <sz val="12"/>
        <color rgb="FFFF0000"/>
        <rFont val="宋体"/>
        <family val="3"/>
        <charset val="134"/>
      </rPr>
      <t>测算中的特殊事项处理</t>
    </r>
    <phoneticPr fontId="10"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</si>
  <si>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</si>
  <si>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6"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</si>
  <si>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</si>
  <si>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初审意见：</t>
    </r>
    <r>
      <rPr>
        <b/>
        <sz val="10"/>
        <color indexed="8"/>
        <rFont val="Arial"/>
        <family val="2"/>
      </rPr>
      <t xml:space="preserve">      </t>
    </r>
    <phoneticPr fontId="6"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</si>
  <si>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</si>
  <si>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终审意见：</t>
    </r>
    <r>
      <rPr>
        <b/>
        <sz val="10"/>
        <color indexed="8"/>
        <rFont val="Arial"/>
        <family val="2"/>
      </rPr>
      <t xml:space="preserve">      </t>
    </r>
    <phoneticPr fontId="6" type="noConversion"/>
  </si>
  <si>
    <r>
      <rPr>
        <b/>
        <sz val="14"/>
        <color rgb="FFFF0000"/>
        <rFont val="宋体"/>
        <family val="3"/>
        <charset val="134"/>
      </rPr>
      <t>估价结果（过程）</t>
    </r>
    <phoneticPr fontId="10" type="noConversion"/>
  </si>
  <si>
    <r>
      <rPr>
        <b/>
        <u/>
        <sz val="11"/>
        <color rgb="FFFF0000"/>
        <rFont val="宋体"/>
        <family val="3"/>
        <charset val="134"/>
      </rPr>
      <t>典型户型权重结果</t>
    </r>
    <phoneticPr fontId="93" type="noConversion"/>
  </si>
  <si>
    <r>
      <rPr>
        <sz val="10"/>
        <color indexed="8"/>
        <rFont val="宋体"/>
        <family val="3"/>
        <charset val="134"/>
      </rPr>
      <t>打分考虑因素</t>
    </r>
    <phoneticPr fontId="10" type="noConversion"/>
  </si>
  <si>
    <r>
      <rPr>
        <sz val="11"/>
        <color indexed="8"/>
        <rFont val="宋体"/>
        <family val="3"/>
        <charset val="134"/>
      </rPr>
      <t>标准价</t>
    </r>
  </si>
  <si>
    <r>
      <rPr>
        <sz val="11"/>
        <color rgb="FFFF0000"/>
        <rFont val="宋体"/>
        <family val="3"/>
        <charset val="134"/>
      </rPr>
      <t>合计</t>
    </r>
    <phoneticPr fontId="10" type="noConversion"/>
  </si>
  <si>
    <r>
      <rPr>
        <b/>
        <u/>
        <sz val="11"/>
        <color rgb="FFFF0000"/>
        <rFont val="宋体"/>
        <family val="3"/>
        <charset val="134"/>
      </rPr>
      <t>估价对象总值</t>
    </r>
    <phoneticPr fontId="93" type="noConversion"/>
  </si>
  <si>
    <r>
      <rPr>
        <b/>
        <sz val="11"/>
        <color indexed="8"/>
        <rFont val="宋体"/>
        <family val="3"/>
        <charset val="134"/>
      </rPr>
      <t>基准户型楼面单价</t>
    </r>
    <phoneticPr fontId="93"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</si>
  <si>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3" type="noConversion"/>
  </si>
  <si>
    <r>
      <rPr>
        <b/>
        <sz val="11"/>
        <color indexed="8"/>
        <rFont val="宋体"/>
        <family val="3"/>
        <charset val="134"/>
      </rPr>
      <t>房地产总值</t>
    </r>
    <phoneticPr fontId="93" type="noConversion"/>
  </si>
  <si>
    <r>
      <rPr>
        <b/>
        <sz val="11"/>
        <color indexed="8"/>
        <rFont val="宋体"/>
        <family val="3"/>
        <charset val="134"/>
      </rPr>
      <t>总价</t>
    </r>
    <phoneticPr fontId="93" type="noConversion"/>
  </si>
  <si>
    <r>
      <rPr>
        <b/>
        <sz val="11"/>
        <color indexed="8"/>
        <rFont val="宋体"/>
        <family val="3"/>
        <charset val="134"/>
      </rPr>
      <t>平均楼面单价</t>
    </r>
    <phoneticPr fontId="93"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</si>
  <si>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3" type="noConversion"/>
  </si>
  <si>
    <r>
      <rPr>
        <sz val="11"/>
        <color indexed="8"/>
        <rFont val="宋体"/>
        <family val="3"/>
        <charset val="134"/>
      </rPr>
      <t>土地价值</t>
    </r>
    <phoneticPr fontId="10" type="noConversion"/>
  </si>
  <si>
    <r>
      <rPr>
        <sz val="11"/>
        <color indexed="8"/>
        <rFont val="宋体"/>
        <family val="3"/>
        <charset val="134"/>
      </rPr>
      <t>建筑物价值</t>
    </r>
    <phoneticPr fontId="10"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</si>
  <si>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</si>
  <si>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</si>
  <si>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</si>
  <si>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</si>
  <si>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6" type="noConversion"/>
  </si>
  <si>
    <r>
      <rPr>
        <b/>
        <sz val="11"/>
        <color indexed="8"/>
        <rFont val="宋体"/>
        <family val="3"/>
        <charset val="134"/>
      </rPr>
      <t>补交地价款</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</si>
  <si>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</si>
  <si>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</si>
  <si>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税费</t>
    </r>
    <phoneticPr fontId="10" type="noConversion"/>
  </si>
  <si>
    <r>
      <rPr>
        <sz val="11"/>
        <color rgb="FFFF0000"/>
        <rFont val="宋体"/>
        <family val="3"/>
        <charset val="134"/>
      </rPr>
      <t>总值</t>
    </r>
    <phoneticPr fontId="10" type="noConversion"/>
  </si>
  <si>
    <r>
      <t>(</t>
    </r>
    <r>
      <rPr>
        <sz val="10"/>
        <color indexed="8"/>
        <rFont val="宋体"/>
        <family val="3"/>
        <charset val="134"/>
      </rPr>
      <t>列示计算过程</t>
    </r>
    <r>
      <rPr>
        <sz val="10"/>
        <color indexed="8"/>
        <rFont val="Arial"/>
        <family val="2"/>
      </rPr>
      <t>,</t>
    </r>
    <phoneticPr fontId="6" type="noConversion"/>
  </si>
  <si>
    <r>
      <rPr>
        <sz val="10"/>
        <color indexed="8"/>
        <rFont val="宋体"/>
        <family val="3"/>
        <charset val="134"/>
      </rPr>
      <t>不固定格式</t>
    </r>
    <r>
      <rPr>
        <sz val="10"/>
        <color indexed="8"/>
        <rFont val="Arial"/>
        <family val="2"/>
      </rPr>
      <t>)</t>
    </r>
    <phoneticPr fontId="6" type="noConversion"/>
  </si>
  <si>
    <r>
      <rPr>
        <b/>
        <sz val="14"/>
        <color rgb="FFFF0000"/>
        <rFont val="宋体"/>
        <family val="3"/>
        <charset val="134"/>
      </rPr>
      <t>抵押净值计算</t>
    </r>
    <phoneticPr fontId="10"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</si>
  <si>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</si>
  <si>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</si>
  <si>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</si>
  <si>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6" type="noConversion"/>
  </si>
  <si>
    <r>
      <rPr>
        <b/>
        <sz val="16"/>
        <color indexed="10"/>
        <rFont val="宋体"/>
        <family val="3"/>
        <charset val="134"/>
      </rPr>
      <t>成本法</t>
    </r>
    <phoneticPr fontId="16" type="noConversion"/>
  </si>
  <si>
    <r>
      <rPr>
        <b/>
        <sz val="12"/>
        <rFont val="宋体"/>
        <family val="3"/>
        <charset val="134"/>
      </rPr>
      <t>总价</t>
    </r>
    <phoneticPr fontId="17" type="noConversion"/>
  </si>
  <si>
    <r>
      <rPr>
        <b/>
        <sz val="12"/>
        <rFont val="宋体"/>
        <family val="3"/>
        <charset val="134"/>
      </rPr>
      <t>楼面单价</t>
    </r>
    <phoneticPr fontId="17" type="noConversion"/>
  </si>
  <si>
    <r>
      <rPr>
        <b/>
        <sz val="12"/>
        <rFont val="宋体"/>
        <family val="3"/>
        <charset val="134"/>
      </rPr>
      <t>元</t>
    </r>
    <r>
      <rPr>
        <b/>
        <sz val="12"/>
        <rFont val="Arial"/>
        <family val="2"/>
      </rPr>
      <t>/</t>
    </r>
    <r>
      <rPr>
        <b/>
        <sz val="12"/>
        <rFont val="宋体"/>
        <family val="3"/>
        <charset val="134"/>
      </rPr>
      <t>平方米</t>
    </r>
    <phoneticPr fontId="17"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</si>
  <si>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</si>
  <si>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7"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</si>
  <si>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</si>
  <si>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</si>
  <si>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</si>
  <si>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</si>
  <si>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</si>
  <si>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7"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</si>
  <si>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</si>
  <si>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</si>
  <si>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</si>
  <si>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</si>
  <si>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</si>
  <si>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</si>
  <si>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</si>
  <si>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</si>
  <si>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</si>
  <si>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</si>
  <si>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</si>
  <si>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</si>
  <si>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</si>
  <si>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</si>
  <si>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</si>
  <si>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7" type="noConversion"/>
  </si>
  <si>
    <r>
      <rPr>
        <b/>
        <sz val="10"/>
        <rFont val="宋体"/>
        <family val="3"/>
        <charset val="134"/>
      </rPr>
      <t>土地开发费用</t>
    </r>
    <r>
      <rPr>
        <b/>
        <sz val="10"/>
        <rFont val="Arial"/>
        <family val="2"/>
      </rPr>
      <t>-</t>
    </r>
    <r>
      <rPr>
        <b/>
        <sz val="10"/>
        <rFont val="宋体"/>
        <family val="3"/>
        <charset val="134"/>
      </rPr>
      <t>红线外</t>
    </r>
    <phoneticPr fontId="16"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</si>
  <si>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</si>
  <si>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</si>
  <si>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</si>
  <si>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</si>
  <si>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</si>
  <si>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</si>
  <si>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</si>
  <si>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</si>
  <si>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</si>
  <si>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</si>
  <si>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</si>
  <si>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</si>
  <si>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</si>
  <si>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</si>
  <si>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</si>
  <si>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</si>
  <si>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</si>
  <si>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</si>
  <si>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7" type="noConversion"/>
  </si>
  <si>
    <r>
      <rPr>
        <b/>
        <sz val="10"/>
        <rFont val="宋体"/>
        <family val="3"/>
        <charset val="134"/>
      </rPr>
      <t>利润</t>
    </r>
    <phoneticPr fontId="16"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</si>
  <si>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</si>
  <si>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</si>
  <si>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</si>
  <si>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7"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</si>
  <si>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</si>
  <si>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</si>
  <si>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</si>
  <si>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</si>
  <si>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</si>
  <si>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</si>
  <si>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</si>
  <si>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</si>
  <si>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</si>
  <si>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</si>
  <si>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</si>
  <si>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</si>
  <si>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</si>
  <si>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</si>
  <si>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</si>
  <si>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</si>
  <si>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</si>
  <si>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</si>
  <si>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</si>
  <si>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sz val="10"/>
        <rFont val="宋体"/>
        <family val="3"/>
        <charset val="134"/>
      </rPr>
      <t>已建工期均匀投入</t>
    </r>
    <phoneticPr fontId="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</si>
  <si>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</si>
  <si>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</si>
  <si>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</si>
  <si>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</si>
  <si>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</si>
  <si>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</si>
  <si>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</si>
  <si>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</si>
  <si>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</si>
  <si>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6" type="noConversion"/>
  </si>
  <si>
    <r>
      <rPr>
        <b/>
        <sz val="10"/>
        <rFont val="宋体"/>
        <family val="3"/>
        <charset val="134"/>
      </rPr>
      <t>现房为成新率，在建依实际情况（停工）记取</t>
    </r>
    <phoneticPr fontId="17"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</si>
  <si>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</si>
  <si>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</si>
  <si>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</si>
  <si>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</si>
  <si>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6" type="noConversion"/>
  </si>
  <si>
    <r>
      <rPr>
        <sz val="10"/>
        <color indexed="8"/>
        <rFont val="宋体"/>
        <family val="3"/>
        <charset val="134"/>
      </rPr>
      <t>建筑物价值比率</t>
    </r>
    <phoneticPr fontId="6" type="noConversion"/>
  </si>
  <si>
    <r>
      <rPr>
        <sz val="10"/>
        <color indexed="8"/>
        <rFont val="宋体"/>
        <family val="3"/>
        <charset val="134"/>
      </rPr>
      <t>土地价值比率</t>
    </r>
    <phoneticPr fontId="6" type="noConversion"/>
  </si>
  <si>
    <r>
      <rPr>
        <b/>
        <sz val="16"/>
        <color indexed="10"/>
        <rFont val="宋体"/>
        <family val="3"/>
        <charset val="134"/>
      </rPr>
      <t>收益法</t>
    </r>
    <r>
      <rPr>
        <b/>
        <sz val="12"/>
        <rFont val="宋体"/>
        <family val="3"/>
        <charset val="134"/>
      </rPr>
      <t>（无租约及租期内）</t>
    </r>
    <phoneticPr fontId="6" type="noConversion"/>
  </si>
  <si>
    <r>
      <rPr>
        <sz val="12"/>
        <rFont val="宋体"/>
        <family val="3"/>
        <charset val="134"/>
      </rPr>
      <t>元</t>
    </r>
    <r>
      <rPr>
        <sz val="12"/>
        <rFont val="Arial"/>
        <family val="2"/>
      </rPr>
      <t>/</t>
    </r>
    <r>
      <rPr>
        <sz val="12"/>
        <rFont val="宋体"/>
        <family val="3"/>
        <charset val="134"/>
      </rPr>
      <t>平方米</t>
    </r>
    <phoneticPr fontId="6" type="noConversion"/>
  </si>
  <si>
    <r>
      <rPr>
        <b/>
        <sz val="16"/>
        <rFont val="宋体"/>
        <family val="3"/>
        <charset val="134"/>
      </rPr>
      <t>租约外</t>
    </r>
    <phoneticPr fontId="6" type="noConversion"/>
  </si>
  <si>
    <r>
      <rPr>
        <sz val="10"/>
        <color indexed="8"/>
        <rFont val="宋体"/>
        <family val="3"/>
        <charset val="134"/>
      </rPr>
      <t>序号</t>
    </r>
    <phoneticPr fontId="6" type="noConversion"/>
  </si>
  <si>
    <r>
      <rPr>
        <sz val="10"/>
        <color indexed="8"/>
        <rFont val="宋体"/>
        <family val="3"/>
        <charset val="134"/>
      </rPr>
      <t>项目</t>
    </r>
    <phoneticPr fontId="6" type="noConversion"/>
  </si>
  <si>
    <r>
      <rPr>
        <sz val="10"/>
        <color indexed="8"/>
        <rFont val="宋体"/>
        <family val="3"/>
        <charset val="134"/>
      </rPr>
      <t>数额</t>
    </r>
    <phoneticPr fontId="6" type="noConversion"/>
  </si>
  <si>
    <r>
      <rPr>
        <sz val="10"/>
        <color indexed="8"/>
        <rFont val="宋体"/>
        <family val="3"/>
        <charset val="134"/>
      </rPr>
      <t>计算公式</t>
    </r>
    <phoneticPr fontId="6" type="noConversion"/>
  </si>
  <si>
    <r>
      <rPr>
        <sz val="10"/>
        <color indexed="8"/>
        <rFont val="宋体"/>
        <family val="3"/>
        <charset val="134"/>
      </rPr>
      <t>取费标准</t>
    </r>
    <phoneticPr fontId="6" type="noConversion"/>
  </si>
  <si>
    <r>
      <rPr>
        <b/>
        <sz val="10"/>
        <color indexed="8"/>
        <rFont val="宋体"/>
        <family val="3"/>
        <charset val="134"/>
      </rPr>
      <t>未来第一年年总收益</t>
    </r>
    <phoneticPr fontId="6"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</si>
  <si>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6" type="noConversion"/>
  </si>
  <si>
    <r>
      <rPr>
        <sz val="10"/>
        <color indexed="8"/>
        <rFont val="宋体"/>
        <family val="3"/>
        <charset val="134"/>
      </rPr>
      <t>（</t>
    </r>
    <r>
      <rPr>
        <sz val="10"/>
        <color indexed="8"/>
        <rFont val="Arial"/>
        <family val="2"/>
      </rPr>
      <t>1</t>
    </r>
    <r>
      <rPr>
        <sz val="10"/>
        <color indexed="8"/>
        <rFont val="宋体"/>
        <family val="3"/>
        <charset val="134"/>
      </rPr>
      <t>）</t>
    </r>
    <phoneticPr fontId="6" type="noConversion"/>
  </si>
  <si>
    <r>
      <rPr>
        <sz val="10"/>
        <color indexed="8"/>
        <rFont val="宋体"/>
        <family val="3"/>
        <charset val="134"/>
      </rPr>
      <t>年租金收入（年经营收入）</t>
    </r>
    <phoneticPr fontId="6" type="noConversion"/>
  </si>
  <si>
    <r>
      <rPr>
        <sz val="10"/>
        <color indexed="8"/>
        <rFont val="宋体"/>
        <family val="3"/>
        <charset val="134"/>
      </rPr>
      <t>租金</t>
    </r>
    <phoneticPr fontId="6"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</si>
  <si>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6"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</si>
  <si>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6" type="noConversion"/>
  </si>
  <si>
    <r>
      <rPr>
        <sz val="10"/>
        <color indexed="8"/>
        <rFont val="宋体"/>
        <family val="3"/>
        <charset val="134"/>
      </rPr>
      <t>天</t>
    </r>
    <r>
      <rPr>
        <sz val="10"/>
        <color indexed="8"/>
        <rFont val="Arial"/>
        <family val="2"/>
      </rPr>
      <t>/</t>
    </r>
    <r>
      <rPr>
        <sz val="10"/>
        <color indexed="8"/>
        <rFont val="宋体"/>
        <family val="3"/>
        <charset val="134"/>
      </rPr>
      <t>月</t>
    </r>
    <phoneticPr fontId="6"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</si>
  <si>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</si>
  <si>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2</t>
    </r>
    <r>
      <rPr>
        <sz val="10"/>
        <color indexed="8"/>
        <rFont val="宋体"/>
        <family val="3"/>
        <charset val="134"/>
      </rPr>
      <t>）</t>
    </r>
    <phoneticPr fontId="6" type="noConversion"/>
  </si>
  <si>
    <r>
      <rPr>
        <sz val="10"/>
        <color indexed="8"/>
        <rFont val="宋体"/>
        <family val="3"/>
        <charset val="134"/>
      </rPr>
      <t>押金利息收入</t>
    </r>
    <phoneticPr fontId="6" type="noConversion"/>
  </si>
  <si>
    <r>
      <rPr>
        <sz val="10"/>
        <color indexed="8"/>
        <rFont val="宋体"/>
        <family val="3"/>
        <charset val="134"/>
      </rPr>
      <t>押金方式</t>
    </r>
    <phoneticPr fontId="6" type="noConversion"/>
  </si>
  <si>
    <r>
      <rPr>
        <sz val="12"/>
        <rFont val="宋体"/>
        <family val="3"/>
        <charset val="134"/>
      </rPr>
      <t>押一</t>
    </r>
  </si>
  <si>
    <r>
      <rPr>
        <i/>
        <sz val="10"/>
        <color indexed="8"/>
        <rFont val="宋体"/>
        <family val="3"/>
        <charset val="134"/>
      </rPr>
      <t>（合同押金）</t>
    </r>
    <phoneticPr fontId="6" type="noConversion"/>
  </si>
  <si>
    <r>
      <rPr>
        <sz val="10"/>
        <color indexed="8"/>
        <rFont val="宋体"/>
        <family val="3"/>
        <charset val="134"/>
      </rPr>
      <t>一年期存款利率</t>
    </r>
    <phoneticPr fontId="6" type="noConversion"/>
  </si>
  <si>
    <r>
      <rPr>
        <i/>
        <sz val="10"/>
        <color indexed="8"/>
        <rFont val="宋体"/>
        <family val="3"/>
        <charset val="134"/>
      </rPr>
      <t>自定义押金</t>
    </r>
    <phoneticPr fontId="6" type="noConversion"/>
  </si>
  <si>
    <r>
      <rPr>
        <sz val="10"/>
        <color indexed="8"/>
        <rFont val="宋体"/>
        <family val="3"/>
        <charset val="134"/>
      </rPr>
      <t>（</t>
    </r>
    <r>
      <rPr>
        <sz val="10"/>
        <color indexed="8"/>
        <rFont val="Arial"/>
        <family val="2"/>
      </rPr>
      <t>3</t>
    </r>
    <r>
      <rPr>
        <sz val="10"/>
        <color indexed="8"/>
        <rFont val="宋体"/>
        <family val="3"/>
        <charset val="134"/>
      </rPr>
      <t>）</t>
    </r>
    <phoneticPr fontId="6" type="noConversion"/>
  </si>
  <si>
    <r>
      <rPr>
        <sz val="10"/>
        <color indexed="8"/>
        <rFont val="宋体"/>
        <family val="3"/>
        <charset val="134"/>
      </rPr>
      <t>其他收入</t>
    </r>
    <phoneticPr fontId="6" type="noConversion"/>
  </si>
  <si>
    <r>
      <rPr>
        <b/>
        <sz val="10"/>
        <color indexed="8"/>
        <rFont val="宋体"/>
        <family val="3"/>
        <charset val="134"/>
      </rPr>
      <t>建筑物现值</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</si>
  <si>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6"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</si>
  <si>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6" type="noConversion"/>
  </si>
  <si>
    <r>
      <t>1</t>
    </r>
    <r>
      <rPr>
        <sz val="10"/>
        <color indexed="8"/>
        <rFont val="宋体"/>
        <family val="3"/>
        <charset val="134"/>
      </rPr>
      <t>）</t>
    </r>
    <phoneticPr fontId="6"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</si>
  <si>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</si>
  <si>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6" type="noConversion"/>
  </si>
  <si>
    <r>
      <rPr>
        <sz val="10"/>
        <color indexed="8"/>
        <rFont val="宋体"/>
        <family val="3"/>
        <charset val="134"/>
      </rPr>
      <t>建筑物重置价值</t>
    </r>
    <phoneticPr fontId="6"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</si>
  <si>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</si>
  <si>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</si>
  <si>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</si>
  <si>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</si>
  <si>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2</t>
    </r>
    <r>
      <rPr>
        <sz val="10"/>
        <color indexed="8"/>
        <rFont val="宋体"/>
        <family val="3"/>
        <charset val="134"/>
      </rPr>
      <t>）</t>
    </r>
    <phoneticPr fontId="6"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</si>
  <si>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6"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</si>
  <si>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</si>
  <si>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</si>
  <si>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6"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</si>
  <si>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6"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</si>
  <si>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</si>
  <si>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</si>
  <si>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</si>
  <si>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</si>
  <si>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1</t>
    </r>
    <r>
      <rPr>
        <sz val="10"/>
        <color indexed="8"/>
        <rFont val="宋体"/>
        <family val="3"/>
        <charset val="134"/>
      </rPr>
      <t>）</t>
    </r>
    <phoneticPr fontId="6"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</si>
  <si>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</si>
  <si>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6" type="noConversion"/>
  </si>
  <si>
    <r>
      <rPr>
        <sz val="10"/>
        <color indexed="8"/>
        <rFont val="宋体"/>
        <family val="3"/>
        <charset val="134"/>
      </rPr>
      <t>综合税率</t>
    </r>
    <phoneticPr fontId="6"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</si>
  <si>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</si>
  <si>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</si>
  <si>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6" type="noConversion"/>
  </si>
  <si>
    <r>
      <rPr>
        <sz val="10"/>
        <color indexed="8"/>
        <rFont val="宋体"/>
        <family val="3"/>
        <charset val="134"/>
      </rPr>
      <t>两税两费</t>
    </r>
    <phoneticPr fontId="6"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</si>
  <si>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</si>
  <si>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6" type="noConversion"/>
  </si>
  <si>
    <r>
      <rPr>
        <sz val="10"/>
        <color indexed="8"/>
        <rFont val="宋体"/>
        <family val="3"/>
        <charset val="134"/>
      </rPr>
      <t>房产税</t>
    </r>
    <phoneticPr fontId="6"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</si>
  <si>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</si>
  <si>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</si>
  <si>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</si>
  <si>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</si>
  <si>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rPr>
        <sz val="10"/>
        <color indexed="8"/>
        <rFont val="宋体"/>
        <family val="3"/>
        <charset val="134"/>
      </rPr>
      <t>城镇土地使用税</t>
    </r>
    <phoneticPr fontId="6"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</si>
  <si>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</si>
  <si>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</si>
  <si>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</si>
  <si>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</si>
  <si>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6"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</si>
  <si>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6" type="noConversion"/>
  </si>
  <si>
    <r>
      <rPr>
        <sz val="10"/>
        <color indexed="8"/>
        <rFont val="宋体"/>
        <family val="3"/>
        <charset val="134"/>
      </rPr>
      <t>土地面积（㎡）</t>
    </r>
    <phoneticPr fontId="6"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</si>
  <si>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</si>
  <si>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6" type="noConversion"/>
  </si>
  <si>
    <r>
      <rPr>
        <sz val="10"/>
        <color indexed="8"/>
        <rFont val="宋体"/>
        <family val="3"/>
        <charset val="134"/>
      </rPr>
      <t>维修费</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</si>
  <si>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</si>
  <si>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6" type="noConversion"/>
  </si>
  <si>
    <r>
      <rPr>
        <sz val="10"/>
        <color indexed="8"/>
        <rFont val="宋体"/>
        <family val="3"/>
        <charset val="134"/>
      </rPr>
      <t>建设周期（年）</t>
    </r>
    <phoneticPr fontId="6"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</si>
  <si>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</si>
  <si>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</si>
  <si>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</si>
  <si>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t>2</t>
    </r>
    <r>
      <rPr>
        <sz val="10"/>
        <color indexed="8"/>
        <rFont val="宋体"/>
        <family val="3"/>
        <charset val="134"/>
      </rPr>
      <t>）</t>
    </r>
    <phoneticPr fontId="6" type="noConversion"/>
  </si>
  <si>
    <r>
      <rPr>
        <sz val="10"/>
        <color indexed="8"/>
        <rFont val="宋体"/>
        <family val="3"/>
        <charset val="134"/>
      </rPr>
      <t>销售费用产生的利息</t>
    </r>
    <phoneticPr fontId="6" type="noConversion"/>
  </si>
  <si>
    <r>
      <rPr>
        <sz val="10"/>
        <color indexed="8"/>
        <rFont val="宋体"/>
        <family val="3"/>
        <charset val="134"/>
      </rPr>
      <t>利息（</t>
    </r>
    <r>
      <rPr>
        <sz val="10"/>
        <color indexed="8"/>
        <rFont val="Arial"/>
        <family val="2"/>
      </rPr>
      <t>%</t>
    </r>
    <r>
      <rPr>
        <sz val="10"/>
        <color indexed="8"/>
        <rFont val="宋体"/>
        <family val="3"/>
        <charset val="134"/>
      </rPr>
      <t>）</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</si>
  <si>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6" type="noConversion"/>
  </si>
  <si>
    <r>
      <rPr>
        <sz val="10"/>
        <color indexed="8"/>
        <rFont val="宋体"/>
        <family val="3"/>
        <charset val="134"/>
      </rPr>
      <t>（</t>
    </r>
    <r>
      <rPr>
        <sz val="10"/>
        <color indexed="8"/>
        <rFont val="Arial"/>
        <family val="2"/>
      </rPr>
      <t>5</t>
    </r>
    <r>
      <rPr>
        <sz val="10"/>
        <color indexed="8"/>
        <rFont val="宋体"/>
        <family val="3"/>
        <charset val="134"/>
      </rPr>
      <t>）</t>
    </r>
    <phoneticPr fontId="6"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</si>
  <si>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</si>
  <si>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6" type="noConversion"/>
  </si>
  <si>
    <r>
      <rPr>
        <b/>
        <sz val="10"/>
        <color indexed="8"/>
        <rFont val="宋体"/>
        <family val="3"/>
        <charset val="134"/>
      </rPr>
      <t>房地产未来第一年净收益</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</si>
  <si>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</si>
  <si>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6"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</si>
  <si>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6"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</si>
  <si>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6" type="noConversion"/>
  </si>
  <si>
    <r>
      <rPr>
        <b/>
        <sz val="10"/>
        <color indexed="8"/>
        <rFont val="宋体"/>
        <family val="3"/>
        <charset val="134"/>
      </rPr>
      <t>租约外房地产收益价值</t>
    </r>
    <phoneticPr fontId="6" type="noConversion"/>
  </si>
  <si>
    <r>
      <rPr>
        <sz val="10"/>
        <color indexed="8"/>
        <rFont val="宋体"/>
        <family val="3"/>
        <charset val="134"/>
      </rPr>
      <t>房地产未来第一年净收益</t>
    </r>
    <r>
      <rPr>
        <sz val="10"/>
        <color indexed="8"/>
        <rFont val="Arial"/>
        <family val="2"/>
      </rPr>
      <t>×</t>
    </r>
    <phoneticPr fontId="6"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</si>
  <si>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6" type="noConversion"/>
  </si>
  <si>
    <r>
      <t>2</t>
    </r>
    <r>
      <rPr>
        <sz val="10"/>
        <color indexed="8"/>
        <rFont val="宋体"/>
        <family val="3"/>
        <charset val="134"/>
      </rPr>
      <t>）</t>
    </r>
    <phoneticPr fontId="6"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</si>
  <si>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</si>
  <si>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6"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</si>
  <si>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6" type="noConversion"/>
  </si>
  <si>
    <r>
      <rPr>
        <sz val="10"/>
        <color indexed="8"/>
        <rFont val="宋体"/>
        <family val="3"/>
        <charset val="134"/>
      </rPr>
      <t>收益年期</t>
    </r>
    <r>
      <rPr>
        <sz val="10"/>
        <color indexed="8"/>
        <rFont val="Arial"/>
        <family val="2"/>
      </rPr>
      <t>(n)</t>
    </r>
    <phoneticPr fontId="6" type="noConversion"/>
  </si>
  <si>
    <r>
      <rPr>
        <sz val="10"/>
        <color indexed="8"/>
        <rFont val="宋体"/>
        <family val="3"/>
        <charset val="134"/>
      </rPr>
      <t>（</t>
    </r>
    <r>
      <rPr>
        <sz val="10"/>
        <color indexed="8"/>
        <rFont val="Arial"/>
        <family val="2"/>
      </rPr>
      <t>6</t>
    </r>
    <r>
      <rPr>
        <sz val="10"/>
        <color indexed="8"/>
        <rFont val="宋体"/>
        <family val="3"/>
        <charset val="134"/>
      </rPr>
      <t>）</t>
    </r>
    <phoneticPr fontId="6"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</si>
  <si>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</si>
  <si>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</si>
  <si>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0"/>
        <color indexed="8"/>
        <rFont val="宋体"/>
        <family val="3"/>
        <charset val="134"/>
      </rPr>
      <t>年增长比率</t>
    </r>
    <r>
      <rPr>
        <sz val="10"/>
        <color indexed="8"/>
        <rFont val="Arial"/>
        <family val="2"/>
      </rPr>
      <t>(g)</t>
    </r>
    <phoneticPr fontId="6" type="noConversion"/>
  </si>
  <si>
    <r>
      <rPr>
        <sz val="10"/>
        <color indexed="8"/>
        <rFont val="宋体"/>
        <family val="3"/>
        <charset val="134"/>
      </rPr>
      <t>（</t>
    </r>
    <r>
      <rPr>
        <sz val="10"/>
        <color indexed="8"/>
        <rFont val="Arial"/>
        <family val="2"/>
      </rPr>
      <t>7</t>
    </r>
    <r>
      <rPr>
        <sz val="10"/>
        <color indexed="8"/>
        <rFont val="宋体"/>
        <family val="3"/>
        <charset val="134"/>
      </rPr>
      <t>）</t>
    </r>
    <phoneticPr fontId="6"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</si>
  <si>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6" type="noConversion"/>
  </si>
  <si>
    <r>
      <rPr>
        <b/>
        <sz val="10"/>
        <color indexed="8"/>
        <rFont val="宋体"/>
        <family val="3"/>
        <charset val="134"/>
      </rPr>
      <t>折现价值</t>
    </r>
    <phoneticPr fontId="6"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</si>
  <si>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6" type="noConversion"/>
  </si>
  <si>
    <r>
      <rPr>
        <b/>
        <sz val="10"/>
        <color indexed="8"/>
        <rFont val="宋体"/>
        <family val="3"/>
        <charset val="134"/>
      </rPr>
      <t>年经营费用</t>
    </r>
    <phoneticPr fontId="6"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</si>
  <si>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6"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</si>
  <si>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6" type="noConversion"/>
  </si>
  <si>
    <r>
      <rPr>
        <sz val="10"/>
        <color indexed="8"/>
        <rFont val="宋体"/>
        <family val="3"/>
        <charset val="134"/>
      </rPr>
      <t>综合税率</t>
    </r>
    <phoneticPr fontId="19" type="noConversion"/>
  </si>
  <si>
    <r>
      <rPr>
        <sz val="10"/>
        <color indexed="8"/>
        <rFont val="宋体"/>
        <family val="3"/>
        <charset val="134"/>
      </rPr>
      <t>两税两费</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</si>
  <si>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</si>
  <si>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6" type="noConversion"/>
  </si>
  <si>
    <r>
      <rPr>
        <sz val="10"/>
        <rFont val="宋体"/>
        <family val="3"/>
        <charset val="134"/>
      </rPr>
      <t>房屋年纯收益</t>
    </r>
    <phoneticPr fontId="6" type="noConversion"/>
  </si>
  <si>
    <r>
      <rPr>
        <sz val="10"/>
        <rFont val="宋体"/>
        <family val="3"/>
        <charset val="134"/>
      </rPr>
      <t>建筑物资本化率</t>
    </r>
    <phoneticPr fontId="6" type="noConversion"/>
  </si>
  <si>
    <r>
      <rPr>
        <sz val="10"/>
        <color indexed="8"/>
        <rFont val="宋体"/>
        <family val="3"/>
        <charset val="134"/>
      </rPr>
      <t>维修费</t>
    </r>
    <phoneticPr fontId="6"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</si>
  <si>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6" type="noConversion"/>
  </si>
  <si>
    <r>
      <rPr>
        <b/>
        <sz val="10"/>
        <color indexed="8"/>
        <rFont val="宋体"/>
        <family val="3"/>
        <charset val="134"/>
      </rPr>
      <t>确定合理的建筑物与土地价值比例</t>
    </r>
    <phoneticPr fontId="6" type="noConversion"/>
  </si>
  <si>
    <r>
      <t>1.</t>
    </r>
    <r>
      <rPr>
        <b/>
        <sz val="10"/>
        <color indexed="10"/>
        <rFont val="宋体"/>
        <family val="3"/>
        <charset val="134"/>
      </rPr>
      <t>收益比率</t>
    </r>
    <phoneticPr fontId="6" type="noConversion"/>
  </si>
  <si>
    <r>
      <rPr>
        <sz val="10"/>
        <rFont val="宋体"/>
        <family val="3"/>
        <charset val="134"/>
      </rPr>
      <t>建筑物年收益比率</t>
    </r>
    <phoneticPr fontId="6" type="noConversion"/>
  </si>
  <si>
    <r>
      <rPr>
        <b/>
        <sz val="10"/>
        <color indexed="8"/>
        <rFont val="宋体"/>
        <family val="3"/>
        <charset val="134"/>
      </rPr>
      <t>房地产未来第一年净收益</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</si>
  <si>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6" type="noConversion"/>
  </si>
  <si>
    <r>
      <rPr>
        <sz val="10"/>
        <rFont val="宋体"/>
        <family val="3"/>
        <charset val="134"/>
      </rPr>
      <t>土地年收益比率</t>
    </r>
    <phoneticPr fontId="6" type="noConversion"/>
  </si>
  <si>
    <r>
      <rPr>
        <b/>
        <sz val="10"/>
        <color indexed="8"/>
        <rFont val="宋体"/>
        <family val="3"/>
        <charset val="134"/>
      </rPr>
      <t>收益价值</t>
    </r>
    <phoneticPr fontId="6" type="noConversion"/>
  </si>
  <si>
    <r>
      <t>2.</t>
    </r>
    <r>
      <rPr>
        <b/>
        <sz val="10"/>
        <color indexed="10"/>
        <rFont val="宋体"/>
        <family val="3"/>
        <charset val="134"/>
      </rPr>
      <t>成本比率</t>
    </r>
    <phoneticPr fontId="6"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</si>
  <si>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9"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</si>
  <si>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6"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</si>
  <si>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6" type="noConversion"/>
  </si>
  <si>
    <r>
      <rPr>
        <sz val="10"/>
        <color indexed="8"/>
        <rFont val="宋体"/>
        <family val="3"/>
        <charset val="134"/>
      </rPr>
      <t>建筑面积（㎡）</t>
    </r>
    <phoneticPr fontId="6" type="noConversion"/>
  </si>
  <si>
    <r>
      <rPr>
        <b/>
        <sz val="12"/>
        <color rgb="FFFF0000"/>
        <rFont val="宋体"/>
        <family val="3"/>
        <charset val="134"/>
      </rPr>
      <t>计算建筑物剩余价值折现</t>
    </r>
    <phoneticPr fontId="6"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</si>
  <si>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</si>
  <si>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</si>
  <si>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</si>
  <si>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</si>
  <si>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6"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</si>
  <si>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</si>
  <si>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6"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</si>
  <si>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</si>
  <si>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6" type="noConversion"/>
  </si>
  <si>
    <r>
      <rPr>
        <b/>
        <sz val="12"/>
        <color rgb="FFFF0000"/>
        <rFont val="宋体"/>
        <family val="3"/>
        <charset val="134"/>
      </rPr>
      <t>超出收益期的土地使用年限或建筑物价值折现计算</t>
    </r>
    <phoneticPr fontId="6" type="noConversion"/>
  </si>
  <si>
    <r>
      <rPr>
        <sz val="12"/>
        <color theme="1"/>
        <rFont val="宋体"/>
        <family val="3"/>
        <charset val="134"/>
      </rPr>
      <t>建筑物重置价值（元）</t>
    </r>
    <phoneticPr fontId="6" type="noConversion"/>
  </si>
  <si>
    <r>
      <rPr>
        <sz val="10"/>
        <color indexed="8"/>
        <rFont val="宋体"/>
        <family val="3"/>
        <charset val="134"/>
      </rPr>
      <t>序号</t>
    </r>
    <phoneticPr fontId="6" type="noConversion"/>
  </si>
  <si>
    <r>
      <rPr>
        <sz val="10"/>
        <color indexed="8"/>
        <rFont val="宋体"/>
        <family val="3"/>
        <charset val="134"/>
      </rPr>
      <t>项目</t>
    </r>
    <phoneticPr fontId="6" type="noConversion"/>
  </si>
  <si>
    <r>
      <rPr>
        <sz val="10"/>
        <color indexed="8"/>
        <rFont val="宋体"/>
        <family val="3"/>
        <charset val="134"/>
      </rPr>
      <t>数额</t>
    </r>
    <phoneticPr fontId="6" type="noConversion"/>
  </si>
  <si>
    <r>
      <rPr>
        <sz val="10"/>
        <color indexed="8"/>
        <rFont val="宋体"/>
        <family val="3"/>
        <charset val="134"/>
      </rPr>
      <t>计算公式</t>
    </r>
    <phoneticPr fontId="6" type="noConversion"/>
  </si>
  <si>
    <r>
      <rPr>
        <sz val="10"/>
        <color indexed="8"/>
        <rFont val="宋体"/>
        <family val="3"/>
        <charset val="134"/>
      </rPr>
      <t>取费标准</t>
    </r>
    <phoneticPr fontId="6" type="noConversion"/>
  </si>
  <si>
    <r>
      <rPr>
        <sz val="12"/>
        <rFont val="宋体"/>
        <family val="3"/>
        <charset val="134"/>
      </rPr>
      <t>建筑物结构</t>
    </r>
    <phoneticPr fontId="6" type="noConversion"/>
  </si>
  <si>
    <r>
      <rPr>
        <sz val="12"/>
        <rFont val="宋体"/>
        <family val="3"/>
        <charset val="134"/>
      </rPr>
      <t>土地使用年限</t>
    </r>
    <phoneticPr fontId="6" type="noConversion"/>
  </si>
  <si>
    <r>
      <rPr>
        <sz val="12"/>
        <color theme="1"/>
        <rFont val="宋体"/>
        <family val="3"/>
        <charset val="134"/>
      </rPr>
      <t>成新率（</t>
    </r>
    <r>
      <rPr>
        <sz val="12"/>
        <color theme="1"/>
        <rFont val="Arial"/>
        <family val="2"/>
      </rPr>
      <t>%</t>
    </r>
    <r>
      <rPr>
        <sz val="12"/>
        <color theme="1"/>
        <rFont val="宋体"/>
        <family val="3"/>
        <charset val="134"/>
      </rPr>
      <t>）</t>
    </r>
    <phoneticPr fontId="6" type="noConversion"/>
  </si>
  <si>
    <r>
      <rPr>
        <b/>
        <sz val="10"/>
        <color indexed="8"/>
        <rFont val="宋体"/>
        <family val="3"/>
        <charset val="134"/>
      </rPr>
      <t>未来第一年年总收益</t>
    </r>
    <phoneticPr fontId="6" type="noConversion"/>
  </si>
  <si>
    <r>
      <rPr>
        <sz val="12"/>
        <rFont val="宋体"/>
        <family val="3"/>
        <charset val="134"/>
      </rPr>
      <t>建筑使用方向</t>
    </r>
    <phoneticPr fontId="6" type="noConversion"/>
  </si>
  <si>
    <r>
      <rPr>
        <sz val="12"/>
        <color theme="1"/>
        <rFont val="宋体"/>
        <family val="3"/>
        <charset val="134"/>
      </rPr>
      <t>剩余土地使用年限</t>
    </r>
    <phoneticPr fontId="6"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</si>
  <si>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6" type="noConversion"/>
  </si>
  <si>
    <r>
      <rPr>
        <sz val="10"/>
        <color indexed="8"/>
        <rFont val="宋体"/>
        <family val="3"/>
        <charset val="134"/>
      </rPr>
      <t>租金收入</t>
    </r>
    <phoneticPr fontId="6" type="noConversion"/>
  </si>
  <si>
    <r>
      <rPr>
        <sz val="11"/>
        <color indexed="8"/>
        <rFont val="宋体"/>
        <family val="3"/>
        <charset val="134"/>
      </rPr>
      <t>市场租金</t>
    </r>
    <phoneticPr fontId="6" type="noConversion"/>
  </si>
  <si>
    <r>
      <rPr>
        <sz val="12"/>
        <rFont val="宋体"/>
        <family val="3"/>
        <charset val="134"/>
      </rPr>
      <t>建成年代</t>
    </r>
    <phoneticPr fontId="6" type="noConversion"/>
  </si>
  <si>
    <r>
      <rPr>
        <sz val="11"/>
        <color theme="1"/>
        <rFont val="宋体"/>
        <family val="3"/>
        <charset val="134"/>
      </rPr>
      <t>比较法土地结果</t>
    </r>
    <phoneticPr fontId="6"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</si>
  <si>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</si>
  <si>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</si>
  <si>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6" type="noConversion"/>
  </si>
  <si>
    <r>
      <rPr>
        <sz val="11"/>
        <color theme="1"/>
        <rFont val="宋体"/>
        <family val="3"/>
        <charset val="134"/>
      </rPr>
      <t>基准地价土地结果</t>
    </r>
    <phoneticPr fontId="6" type="noConversion"/>
  </si>
  <si>
    <r>
      <rPr>
        <sz val="12"/>
        <rFont val="宋体"/>
        <family val="3"/>
        <charset val="134"/>
      </rPr>
      <t>建筑物剩余耐用年限</t>
    </r>
    <phoneticPr fontId="6" type="noConversion"/>
  </si>
  <si>
    <r>
      <rPr>
        <sz val="12"/>
        <rFont val="宋体"/>
        <family val="3"/>
        <charset val="134"/>
      </rPr>
      <t>收益还原法土地结果</t>
    </r>
    <phoneticPr fontId="6"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</si>
  <si>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6" type="noConversion"/>
  </si>
  <si>
    <r>
      <rPr>
        <sz val="12"/>
        <rFont val="宋体"/>
        <family val="3"/>
        <charset val="134"/>
      </rPr>
      <t>建筑物报酬率</t>
    </r>
    <phoneticPr fontId="6" type="noConversion"/>
  </si>
  <si>
    <r>
      <rPr>
        <sz val="12"/>
        <rFont val="宋体"/>
        <family val="3"/>
        <charset val="134"/>
      </rPr>
      <t>土地报酬率</t>
    </r>
    <phoneticPr fontId="6" type="noConversion"/>
  </si>
  <si>
    <r>
      <rPr>
        <sz val="12"/>
        <color theme="1"/>
        <rFont val="宋体"/>
        <family val="3"/>
        <charset val="134"/>
      </rPr>
      <t>剩余土地价值折现到价值时点的价值（元）</t>
    </r>
    <phoneticPr fontId="6"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</si>
  <si>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</si>
  <si>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6" type="noConversion"/>
  </si>
  <si>
    <r>
      <rPr>
        <b/>
        <sz val="12"/>
        <rFont val="宋体"/>
        <family val="3"/>
        <charset val="134"/>
      </rPr>
      <t>土地使用权计算</t>
    </r>
    <phoneticPr fontId="6"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</si>
  <si>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6" type="noConversion"/>
  </si>
  <si>
    <r>
      <rPr>
        <sz val="12"/>
        <rFont val="宋体"/>
        <family val="3"/>
        <charset val="134"/>
      </rPr>
      <t>是否约定土地使用期结束后无偿收回房地产（非住宅）</t>
    </r>
    <phoneticPr fontId="6" type="noConversion"/>
  </si>
  <si>
    <r>
      <rPr>
        <sz val="12"/>
        <rFont val="宋体"/>
        <family val="3"/>
        <charset val="134"/>
      </rPr>
      <t>建筑物耐用年限结束后剩余土地使用年限</t>
    </r>
    <phoneticPr fontId="6"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</si>
  <si>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6" type="noConversion"/>
  </si>
  <si>
    <r>
      <rPr>
        <sz val="12"/>
        <rFont val="宋体"/>
        <family val="3"/>
        <charset val="134"/>
      </rPr>
      <t>土地使用年限结束后建筑物耐用年期</t>
    </r>
    <phoneticPr fontId="6" type="noConversion"/>
  </si>
  <si>
    <r>
      <rPr>
        <sz val="12"/>
        <rFont val="宋体"/>
        <family val="3"/>
        <charset val="134"/>
      </rPr>
      <t>价值时点下的土地价值（土地购买价格）</t>
    </r>
    <phoneticPr fontId="6"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</si>
  <si>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</si>
  <si>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</si>
  <si>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6" type="noConversion"/>
  </si>
  <si>
    <r>
      <rPr>
        <sz val="12"/>
        <rFont val="宋体"/>
        <family val="3"/>
        <charset val="134"/>
      </rPr>
      <t>剩余土地使用年期下的土地年期修正系数</t>
    </r>
    <phoneticPr fontId="6"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</si>
  <si>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</si>
  <si>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6" type="noConversion"/>
  </si>
  <si>
    <r>
      <rPr>
        <b/>
        <sz val="12"/>
        <rFont val="宋体"/>
        <family val="3"/>
        <charset val="134"/>
      </rPr>
      <t>建筑物剩余价值折现值</t>
    </r>
    <phoneticPr fontId="6" type="noConversion"/>
  </si>
  <si>
    <r>
      <rPr>
        <b/>
        <sz val="12"/>
        <rFont val="宋体"/>
        <family val="3"/>
        <charset val="134"/>
      </rPr>
      <t>剩余土地价值折现值</t>
    </r>
    <phoneticPr fontId="6"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</si>
  <si>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6" type="noConversion"/>
  </si>
  <si>
    <r>
      <rPr>
        <sz val="10"/>
        <color indexed="8"/>
        <rFont val="宋体"/>
        <family val="3"/>
        <charset val="134"/>
      </rPr>
      <t>房产税</t>
    </r>
    <phoneticPr fontId="6" type="noConversion"/>
  </si>
  <si>
    <r>
      <rPr>
        <sz val="10"/>
        <color indexed="8"/>
        <rFont val="宋体"/>
        <family val="3"/>
        <charset val="134"/>
      </rPr>
      <t>城镇土地使用税</t>
    </r>
    <phoneticPr fontId="6"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</si>
  <si>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</si>
  <si>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6"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</si>
  <si>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</si>
  <si>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</si>
  <si>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</si>
  <si>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</si>
  <si>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6" type="noConversion"/>
  </si>
  <si>
    <r>
      <rPr>
        <sz val="10"/>
        <color indexed="8"/>
        <rFont val="宋体"/>
        <family val="3"/>
        <charset val="134"/>
      </rPr>
      <t>土地面积（㎡）</t>
    </r>
    <phoneticPr fontId="6" type="noConversion"/>
  </si>
  <si>
    <r>
      <rPr>
        <sz val="12"/>
        <rFont val="宋体"/>
        <family val="3"/>
        <charset val="134"/>
      </rPr>
      <t>钢</t>
    </r>
    <phoneticPr fontId="6" type="noConversion"/>
  </si>
  <si>
    <r>
      <rPr>
        <sz val="12"/>
        <rFont val="宋体"/>
        <family val="3"/>
        <charset val="134"/>
      </rPr>
      <t>钢混</t>
    </r>
    <phoneticPr fontId="6"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</si>
  <si>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6" type="noConversion"/>
  </si>
  <si>
    <r>
      <rPr>
        <sz val="12"/>
        <rFont val="宋体"/>
        <family val="3"/>
        <charset val="134"/>
      </rPr>
      <t>砖混</t>
    </r>
    <phoneticPr fontId="6"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</si>
  <si>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6" type="noConversion"/>
  </si>
  <si>
    <r>
      <rPr>
        <sz val="12"/>
        <color rgb="FF000000"/>
        <rFont val="宋体"/>
        <family val="3"/>
        <charset val="134"/>
      </rPr>
      <t>房地纯收益（元）</t>
    </r>
    <phoneticPr fontId="6" type="noConversion"/>
  </si>
  <si>
    <r>
      <rPr>
        <sz val="12"/>
        <color rgb="FF000000"/>
        <rFont val="宋体"/>
        <family val="3"/>
        <charset val="134"/>
      </rPr>
      <t>建筑物现值（元）</t>
    </r>
    <phoneticPr fontId="6"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</si>
  <si>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6" type="noConversion"/>
  </si>
  <si>
    <r>
      <rPr>
        <b/>
        <sz val="16"/>
        <color rgb="FFFF0000"/>
        <rFont val="宋体"/>
        <family val="3"/>
        <charset val="134"/>
      </rPr>
      <t>典型户型修正</t>
    </r>
    <phoneticPr fontId="6" type="noConversion"/>
  </si>
  <si>
    <r>
      <rPr>
        <b/>
        <sz val="12"/>
        <rFont val="宋体"/>
        <family val="3"/>
        <charset val="134"/>
      </rPr>
      <t>总价</t>
    </r>
    <phoneticPr fontId="17" type="noConversion"/>
  </si>
  <si>
    <r>
      <rPr>
        <b/>
        <sz val="12"/>
        <rFont val="宋体"/>
        <family val="3"/>
        <charset val="134"/>
      </rPr>
      <t>楼面单价</t>
    </r>
    <phoneticPr fontId="17"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</si>
  <si>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2" type="noConversion"/>
  </si>
  <si>
    <r>
      <rPr>
        <sz val="10"/>
        <color indexed="8"/>
        <rFont val="宋体"/>
        <family val="3"/>
        <charset val="134"/>
      </rPr>
      <t>修正项</t>
    </r>
    <phoneticPr fontId="22" type="noConversion"/>
  </si>
  <si>
    <r>
      <rPr>
        <sz val="10"/>
        <color indexed="8"/>
        <rFont val="宋体"/>
        <family val="3"/>
        <charset val="134"/>
      </rPr>
      <t>说明</t>
    </r>
    <phoneticPr fontId="22" type="noConversion"/>
  </si>
  <si>
    <r>
      <rPr>
        <sz val="10"/>
        <color indexed="8"/>
        <rFont val="宋体"/>
        <family val="3"/>
        <charset val="134"/>
      </rPr>
      <t>修正系数</t>
    </r>
    <phoneticPr fontId="22" type="noConversion"/>
  </si>
  <si>
    <r>
      <rPr>
        <sz val="10"/>
        <color indexed="8"/>
        <rFont val="宋体"/>
        <family val="3"/>
        <charset val="134"/>
      </rPr>
      <t>建筑面积</t>
    </r>
    <phoneticPr fontId="6" type="noConversion"/>
  </si>
  <si>
    <r>
      <rPr>
        <sz val="10"/>
        <color indexed="8"/>
        <rFont val="宋体"/>
        <family val="3"/>
        <charset val="134"/>
      </rPr>
      <t>修正项</t>
    </r>
    <r>
      <rPr>
        <sz val="10"/>
        <color indexed="8"/>
        <rFont val="Arial"/>
        <family val="2"/>
      </rPr>
      <t>2</t>
    </r>
    <phoneticPr fontId="22" type="noConversion"/>
  </si>
  <si>
    <r>
      <rPr>
        <sz val="10"/>
        <color indexed="8"/>
        <rFont val="宋体"/>
        <family val="3"/>
        <charset val="134"/>
      </rPr>
      <t>修正项</t>
    </r>
    <r>
      <rPr>
        <sz val="10"/>
        <color indexed="8"/>
        <rFont val="Arial"/>
        <family val="2"/>
      </rPr>
      <t>3</t>
    </r>
    <phoneticPr fontId="22" type="noConversion"/>
  </si>
  <si>
    <r>
      <rPr>
        <sz val="10"/>
        <color indexed="8"/>
        <rFont val="宋体"/>
        <family val="3"/>
        <charset val="134"/>
      </rPr>
      <t>修正项</t>
    </r>
    <r>
      <rPr>
        <sz val="10"/>
        <color indexed="8"/>
        <rFont val="Arial"/>
        <family val="2"/>
      </rPr>
      <t>4</t>
    </r>
    <phoneticPr fontId="22" type="noConversion"/>
  </si>
  <si>
    <r>
      <rPr>
        <sz val="10"/>
        <color indexed="8"/>
        <rFont val="宋体"/>
        <family val="3"/>
        <charset val="134"/>
      </rPr>
      <t>修正项</t>
    </r>
    <r>
      <rPr>
        <sz val="10"/>
        <color indexed="8"/>
        <rFont val="Arial"/>
        <family val="2"/>
      </rPr>
      <t>5</t>
    </r>
    <phoneticPr fontId="22" type="noConversion"/>
  </si>
  <si>
    <r>
      <rPr>
        <sz val="10"/>
        <color indexed="8"/>
        <rFont val="宋体"/>
        <family val="3"/>
        <charset val="134"/>
      </rPr>
      <t>修正项</t>
    </r>
    <r>
      <rPr>
        <sz val="10"/>
        <color indexed="8"/>
        <rFont val="Arial"/>
        <family val="2"/>
      </rPr>
      <t>6</t>
    </r>
    <phoneticPr fontId="22" type="noConversion"/>
  </si>
  <si>
    <r>
      <rPr>
        <sz val="10"/>
        <color indexed="8"/>
        <rFont val="宋体"/>
        <family val="3"/>
        <charset val="134"/>
      </rPr>
      <t>修正项</t>
    </r>
    <r>
      <rPr>
        <sz val="10"/>
        <color indexed="8"/>
        <rFont val="Arial"/>
        <family val="2"/>
      </rPr>
      <t>7</t>
    </r>
    <phoneticPr fontId="22" type="noConversion"/>
  </si>
  <si>
    <r>
      <rPr>
        <b/>
        <sz val="10"/>
        <color indexed="8"/>
        <rFont val="宋体"/>
        <family val="3"/>
        <charset val="134"/>
      </rPr>
      <t>修正系数</t>
    </r>
    <phoneticPr fontId="22" type="noConversion"/>
  </si>
  <si>
    <r>
      <rPr>
        <sz val="10"/>
        <color indexed="8"/>
        <rFont val="宋体"/>
        <family val="3"/>
        <charset val="134"/>
      </rPr>
      <t>楼层</t>
    </r>
    <phoneticPr fontId="22" type="noConversion"/>
  </si>
  <si>
    <r>
      <rPr>
        <b/>
        <sz val="10"/>
        <color indexed="8"/>
        <rFont val="宋体"/>
        <family val="3"/>
        <charset val="134"/>
      </rPr>
      <t>承租人权益</t>
    </r>
    <phoneticPr fontId="22" type="noConversion"/>
  </si>
  <si>
    <r>
      <rPr>
        <b/>
        <sz val="12"/>
        <rFont val="宋体"/>
        <family val="3"/>
        <charset val="134"/>
      </rPr>
      <t>总值</t>
    </r>
    <phoneticPr fontId="17" type="noConversion"/>
  </si>
  <si>
    <r>
      <rPr>
        <b/>
        <sz val="12"/>
        <color indexed="8"/>
        <rFont val="宋体"/>
        <family val="3"/>
        <charset val="134"/>
      </rPr>
      <t>单价</t>
    </r>
    <phoneticPr fontId="22" type="noConversion"/>
  </si>
  <si>
    <r>
      <rPr>
        <sz val="10"/>
        <color indexed="8"/>
        <rFont val="宋体"/>
        <family val="3"/>
        <charset val="134"/>
      </rPr>
      <t>以元计</t>
    </r>
    <phoneticPr fontId="22" type="noConversion"/>
  </si>
  <si>
    <r>
      <rPr>
        <sz val="10"/>
        <color indexed="8"/>
        <rFont val="宋体"/>
        <family val="3"/>
        <charset val="134"/>
      </rPr>
      <t>以万元计</t>
    </r>
    <phoneticPr fontId="22" type="noConversion"/>
  </si>
  <si>
    <r>
      <rPr>
        <sz val="10"/>
        <color theme="1"/>
        <rFont val="宋体"/>
        <family val="3"/>
        <charset val="134"/>
      </rPr>
      <t>土地价值</t>
    </r>
    <phoneticPr fontId="22" type="noConversion"/>
  </si>
  <si>
    <r>
      <rPr>
        <sz val="10"/>
        <color theme="1"/>
        <rFont val="宋体"/>
        <family val="3"/>
        <charset val="134"/>
      </rPr>
      <t>比例</t>
    </r>
    <phoneticPr fontId="22" type="noConversion"/>
  </si>
  <si>
    <r>
      <rPr>
        <sz val="10"/>
        <color theme="1"/>
        <rFont val="宋体"/>
        <family val="3"/>
        <charset val="134"/>
      </rPr>
      <t>建筑物价值</t>
    </r>
    <phoneticPr fontId="22" type="noConversion"/>
  </si>
  <si>
    <r>
      <rPr>
        <b/>
        <sz val="10"/>
        <color indexed="8"/>
        <rFont val="宋体"/>
        <family val="3"/>
        <charset val="134"/>
      </rPr>
      <t>合计</t>
    </r>
    <phoneticPr fontId="22"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</si>
  <si>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2" type="noConversion"/>
  </si>
  <si>
    <r>
      <rPr>
        <sz val="10"/>
        <color indexed="8"/>
        <rFont val="宋体"/>
        <family val="3"/>
        <charset val="134"/>
      </rPr>
      <t>建筑面积</t>
    </r>
    <phoneticPr fontId="22" type="noConversion"/>
  </si>
  <si>
    <r>
      <rPr>
        <sz val="10"/>
        <color indexed="8"/>
        <rFont val="宋体"/>
        <family val="3"/>
        <charset val="134"/>
      </rPr>
      <t>修正系数</t>
    </r>
    <phoneticPr fontId="22" type="noConversion"/>
  </si>
  <si>
    <r>
      <rPr>
        <sz val="10"/>
        <color indexed="8"/>
        <rFont val="宋体"/>
        <family val="3"/>
        <charset val="134"/>
      </rPr>
      <t>修正单价</t>
    </r>
    <phoneticPr fontId="22" type="noConversion"/>
  </si>
  <si>
    <r>
      <rPr>
        <sz val="10"/>
        <color indexed="8"/>
        <rFont val="宋体"/>
        <family val="3"/>
        <charset val="134"/>
      </rPr>
      <t>总价</t>
    </r>
    <phoneticPr fontId="22" type="noConversion"/>
  </si>
  <si>
    <r>
      <rPr>
        <sz val="10"/>
        <color theme="1"/>
        <rFont val="宋体"/>
        <family val="3"/>
        <charset val="134"/>
      </rPr>
      <t>总价（元）</t>
    </r>
    <phoneticPr fontId="22" type="noConversion"/>
  </si>
  <si>
    <r>
      <rPr>
        <sz val="10"/>
        <color theme="1"/>
        <rFont val="宋体"/>
        <family val="3"/>
        <charset val="134"/>
      </rPr>
      <t>总价（万元）</t>
    </r>
    <phoneticPr fontId="22" type="noConversion"/>
  </si>
  <si>
    <r>
      <rPr>
        <sz val="10"/>
        <color indexed="8"/>
        <rFont val="宋体"/>
        <family val="3"/>
        <charset val="134"/>
      </rPr>
      <t>单价</t>
    </r>
    <phoneticPr fontId="22" type="noConversion"/>
  </si>
  <si>
    <r>
      <rPr>
        <b/>
        <sz val="10"/>
        <color indexed="10"/>
        <rFont val="宋体"/>
        <family val="3"/>
        <charset val="134"/>
      </rPr>
      <t>基准户型</t>
    </r>
    <phoneticPr fontId="22" type="noConversion"/>
  </si>
  <si>
    <r>
      <rPr>
        <b/>
        <sz val="16"/>
        <color rgb="FFFF0000"/>
        <rFont val="宋体"/>
        <family val="3"/>
        <charset val="134"/>
      </rPr>
      <t>比较法</t>
    </r>
    <phoneticPr fontId="6" type="noConversion"/>
  </si>
  <si>
    <r>
      <rPr>
        <b/>
        <sz val="16"/>
        <rFont val="宋体"/>
        <family val="3"/>
        <charset val="134"/>
      </rPr>
      <t>住宅</t>
    </r>
    <phoneticPr fontId="6"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</si>
  <si>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2" type="noConversion"/>
  </si>
  <si>
    <r>
      <rPr>
        <b/>
        <sz val="12"/>
        <rFont val="宋体"/>
        <family val="3"/>
        <charset val="134"/>
      </rPr>
      <t>建筑面积</t>
    </r>
    <phoneticPr fontId="22" type="noConversion"/>
  </si>
  <si>
    <r>
      <rPr>
        <b/>
        <sz val="11"/>
        <rFont val="宋体"/>
        <family val="3"/>
        <charset val="134"/>
      </rPr>
      <t>比较因素</t>
    </r>
    <phoneticPr fontId="6" type="noConversion"/>
  </si>
  <si>
    <r>
      <rPr>
        <sz val="11"/>
        <rFont val="宋体"/>
        <family val="3"/>
        <charset val="134"/>
      </rPr>
      <t>估价对象</t>
    </r>
    <phoneticPr fontId="6" type="noConversion"/>
  </si>
  <si>
    <r>
      <rPr>
        <sz val="11"/>
        <rFont val="宋体"/>
        <family val="3"/>
        <charset val="134"/>
      </rPr>
      <t>案例</t>
    </r>
    <r>
      <rPr>
        <sz val="11"/>
        <rFont val="Arial"/>
        <family val="2"/>
      </rPr>
      <t>A</t>
    </r>
    <phoneticPr fontId="6" type="noConversion"/>
  </si>
  <si>
    <r>
      <rPr>
        <sz val="11"/>
        <rFont val="宋体"/>
        <family val="3"/>
        <charset val="134"/>
      </rPr>
      <t>案例</t>
    </r>
    <r>
      <rPr>
        <sz val="11"/>
        <rFont val="Arial"/>
        <family val="2"/>
      </rPr>
      <t>B</t>
    </r>
    <phoneticPr fontId="6" type="noConversion"/>
  </si>
  <si>
    <r>
      <rPr>
        <sz val="11"/>
        <rFont val="宋体"/>
        <family val="3"/>
        <charset val="134"/>
      </rPr>
      <t>案例</t>
    </r>
    <r>
      <rPr>
        <sz val="11"/>
        <rFont val="Arial"/>
        <family val="2"/>
      </rPr>
      <t>C</t>
    </r>
    <phoneticPr fontId="6" type="noConversion"/>
  </si>
  <si>
    <r>
      <rPr>
        <sz val="11"/>
        <color indexed="8"/>
        <rFont val="宋体"/>
        <family val="3"/>
        <charset val="134"/>
      </rPr>
      <t>修正幅度</t>
    </r>
    <phoneticPr fontId="6" type="noConversion"/>
  </si>
  <si>
    <r>
      <rPr>
        <sz val="11"/>
        <rFont val="宋体"/>
        <family val="3"/>
        <charset val="134"/>
      </rPr>
      <t>比较因素</t>
    </r>
    <phoneticPr fontId="6" type="noConversion"/>
  </si>
  <si>
    <r>
      <rPr>
        <sz val="11"/>
        <color theme="9" tint="-0.249977111117893"/>
        <rFont val="宋体"/>
        <family val="3"/>
        <charset val="134"/>
      </rPr>
      <t>估价对象名称</t>
    </r>
    <phoneticPr fontId="6"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</si>
  <si>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6"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</si>
  <si>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6"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</si>
  <si>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6" type="noConversion"/>
  </si>
  <si>
    <r>
      <rPr>
        <sz val="11"/>
        <color theme="9" tint="-0.249977111117893"/>
        <rFont val="宋体"/>
        <family val="3"/>
        <charset val="134"/>
      </rPr>
      <t>项目位置</t>
    </r>
    <phoneticPr fontId="6" type="noConversion"/>
  </si>
  <si>
    <r>
      <rPr>
        <sz val="11"/>
        <color indexed="8"/>
        <rFont val="宋体"/>
        <family val="3"/>
        <charset val="134"/>
      </rPr>
      <t>系数</t>
    </r>
    <r>
      <rPr>
        <sz val="11"/>
        <color indexed="8"/>
        <rFont val="Arial"/>
        <family val="2"/>
      </rPr>
      <t>%</t>
    </r>
    <phoneticPr fontId="6" type="noConversion"/>
  </si>
  <si>
    <r>
      <rPr>
        <b/>
        <sz val="11"/>
        <color indexed="8"/>
        <rFont val="宋体"/>
        <family val="3"/>
        <charset val="134"/>
      </rPr>
      <t>交易时间</t>
    </r>
    <phoneticPr fontId="6" type="noConversion"/>
  </si>
  <si>
    <r>
      <rPr>
        <sz val="11"/>
        <color indexed="8"/>
        <rFont val="宋体"/>
        <family val="3"/>
        <charset val="134"/>
      </rPr>
      <t>交易时间</t>
    </r>
    <phoneticPr fontId="6" type="noConversion"/>
  </si>
  <si>
    <r>
      <rPr>
        <b/>
        <sz val="11"/>
        <color indexed="8"/>
        <rFont val="宋体"/>
        <family val="3"/>
        <charset val="134"/>
      </rPr>
      <t>交易情况</t>
    </r>
    <phoneticPr fontId="6" type="noConversion"/>
  </si>
  <si>
    <r>
      <rPr>
        <sz val="11"/>
        <color indexed="8"/>
        <rFont val="宋体"/>
        <family val="3"/>
        <charset val="134"/>
      </rPr>
      <t>正常</t>
    </r>
    <phoneticPr fontId="22" type="noConversion"/>
  </si>
  <si>
    <r>
      <rPr>
        <sz val="11"/>
        <color indexed="8"/>
        <rFont val="宋体"/>
        <family val="3"/>
        <charset val="134"/>
      </rPr>
      <t>交易情况</t>
    </r>
    <phoneticPr fontId="6" type="noConversion"/>
  </si>
  <si>
    <r>
      <rPr>
        <b/>
        <sz val="11"/>
        <color indexed="8"/>
        <rFont val="宋体"/>
        <family val="3"/>
        <charset val="134"/>
      </rPr>
      <t>权益状况</t>
    </r>
    <phoneticPr fontId="6" type="noConversion"/>
  </si>
  <si>
    <r>
      <rPr>
        <sz val="11"/>
        <color indexed="8"/>
        <rFont val="宋体"/>
        <family val="3"/>
        <charset val="134"/>
      </rPr>
      <t>用途</t>
    </r>
    <phoneticPr fontId="6" type="noConversion"/>
  </si>
  <si>
    <r>
      <rPr>
        <sz val="11"/>
        <rFont val="宋体"/>
        <family val="3"/>
        <charset val="134"/>
      </rPr>
      <t>权益状况</t>
    </r>
    <phoneticPr fontId="6" type="noConversion"/>
  </si>
  <si>
    <r>
      <rPr>
        <sz val="11"/>
        <color indexed="8"/>
        <rFont val="宋体"/>
        <family val="3"/>
        <charset val="134"/>
      </rPr>
      <t>权益状况</t>
    </r>
    <phoneticPr fontId="6" type="noConversion"/>
  </si>
  <si>
    <r>
      <rPr>
        <sz val="11"/>
        <color indexed="8"/>
        <rFont val="宋体"/>
        <family val="3"/>
        <charset val="134"/>
      </rPr>
      <t>土地使用年限（年）</t>
    </r>
    <phoneticPr fontId="6" type="noConversion"/>
  </si>
  <si>
    <r>
      <rPr>
        <sz val="11"/>
        <color indexed="8"/>
        <rFont val="宋体"/>
        <family val="3"/>
        <charset val="134"/>
      </rPr>
      <t>容积率</t>
    </r>
    <phoneticPr fontId="6" type="noConversion"/>
  </si>
  <si>
    <r>
      <rPr>
        <b/>
        <sz val="11"/>
        <rFont val="宋体"/>
        <family val="3"/>
        <charset val="134"/>
      </rPr>
      <t>区位状况</t>
    </r>
    <phoneticPr fontId="6" type="noConversion"/>
  </si>
  <si>
    <r>
      <rPr>
        <sz val="11"/>
        <rFont val="宋体"/>
        <family val="3"/>
        <charset val="134"/>
      </rPr>
      <t>区位状况</t>
    </r>
    <phoneticPr fontId="6" type="noConversion"/>
  </si>
  <si>
    <r>
      <rPr>
        <sz val="11"/>
        <color indexed="8"/>
        <rFont val="宋体"/>
        <family val="3"/>
        <charset val="134"/>
      </rPr>
      <t>楼层</t>
    </r>
    <r>
      <rPr>
        <sz val="11"/>
        <color indexed="8"/>
        <rFont val="Arial"/>
        <family val="2"/>
      </rPr>
      <t>-1</t>
    </r>
    <phoneticPr fontId="22" type="noConversion"/>
  </si>
  <si>
    <r>
      <rPr>
        <sz val="11"/>
        <color indexed="8"/>
        <rFont val="宋体"/>
        <family val="3"/>
        <charset val="134"/>
      </rPr>
      <t>朝向</t>
    </r>
  </si>
  <si>
    <r>
      <rPr>
        <sz val="11"/>
        <color indexed="8"/>
        <rFont val="宋体"/>
        <family val="3"/>
        <charset val="134"/>
      </rPr>
      <t>道路级别</t>
    </r>
    <phoneticPr fontId="22" type="noConversion"/>
  </si>
  <si>
    <r>
      <rPr>
        <b/>
        <sz val="11"/>
        <rFont val="宋体"/>
        <family val="3"/>
        <charset val="134"/>
      </rPr>
      <t>实物状况</t>
    </r>
    <phoneticPr fontId="6" type="noConversion"/>
  </si>
  <si>
    <r>
      <rPr>
        <sz val="11"/>
        <color indexed="8"/>
        <rFont val="宋体"/>
        <family val="3"/>
        <charset val="134"/>
      </rPr>
      <t>建筑类型</t>
    </r>
  </si>
  <si>
    <r>
      <rPr>
        <sz val="11"/>
        <rFont val="宋体"/>
        <family val="3"/>
        <charset val="134"/>
      </rPr>
      <t>实物状况</t>
    </r>
    <phoneticPr fontId="6"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</si>
  <si>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</si>
  <si>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</si>
  <si>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</si>
  <si>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</si>
  <si>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</si>
  <si>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</si>
  <si>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2"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</si>
  <si>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</si>
  <si>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6"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</si>
  <si>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</si>
  <si>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</si>
  <si>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6"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</si>
  <si>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</si>
  <si>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</si>
  <si>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</si>
  <si>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</si>
  <si>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</si>
  <si>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</si>
  <si>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交易时间</t>
    </r>
    <phoneticPr fontId="6"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</si>
  <si>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2" type="noConversion"/>
  </si>
  <si>
    <r>
      <rPr>
        <b/>
        <sz val="11"/>
        <color indexed="8"/>
        <rFont val="宋体"/>
        <family val="3"/>
        <charset val="134"/>
      </rPr>
      <t>交易情况</t>
    </r>
    <phoneticPr fontId="6" type="noConversion"/>
  </si>
  <si>
    <r>
      <rPr>
        <sz val="11"/>
        <color indexed="8"/>
        <rFont val="宋体"/>
        <family val="3"/>
        <charset val="134"/>
      </rPr>
      <t>正常</t>
    </r>
    <phoneticPr fontId="22" type="noConversion"/>
  </si>
  <si>
    <r>
      <rPr>
        <b/>
        <sz val="11"/>
        <rFont val="宋体"/>
        <family val="3"/>
        <charset val="134"/>
      </rPr>
      <t>权益状况</t>
    </r>
    <phoneticPr fontId="6" type="noConversion"/>
  </si>
  <si>
    <r>
      <t>60-70</t>
    </r>
    <r>
      <rPr>
        <sz val="11"/>
        <rFont val="宋体"/>
        <family val="3"/>
        <charset val="134"/>
      </rPr>
      <t>（含）</t>
    </r>
    <phoneticPr fontId="22" type="noConversion"/>
  </si>
  <si>
    <r>
      <t>50-60</t>
    </r>
    <r>
      <rPr>
        <sz val="11"/>
        <rFont val="宋体"/>
        <family val="3"/>
        <charset val="134"/>
      </rPr>
      <t>（含）</t>
    </r>
    <phoneticPr fontId="22" type="noConversion"/>
  </si>
  <si>
    <r>
      <t>40-50</t>
    </r>
    <r>
      <rPr>
        <sz val="11"/>
        <rFont val="宋体"/>
        <family val="3"/>
        <charset val="134"/>
      </rPr>
      <t>（含）</t>
    </r>
    <phoneticPr fontId="22" type="noConversion"/>
  </si>
  <si>
    <r>
      <t>30-40</t>
    </r>
    <r>
      <rPr>
        <sz val="11"/>
        <rFont val="宋体"/>
        <family val="3"/>
        <charset val="134"/>
      </rPr>
      <t>（含）</t>
    </r>
    <phoneticPr fontId="22" type="noConversion"/>
  </si>
  <si>
    <r>
      <t>20-30</t>
    </r>
    <r>
      <rPr>
        <sz val="11"/>
        <rFont val="宋体"/>
        <family val="3"/>
        <charset val="134"/>
      </rPr>
      <t>（含）</t>
    </r>
    <phoneticPr fontId="22" type="noConversion"/>
  </si>
  <si>
    <r>
      <t>10-20</t>
    </r>
    <r>
      <rPr>
        <sz val="11"/>
        <rFont val="宋体"/>
        <family val="3"/>
        <charset val="134"/>
      </rPr>
      <t>（含）</t>
    </r>
    <phoneticPr fontId="22" type="noConversion"/>
  </si>
  <si>
    <r>
      <t>0-10</t>
    </r>
    <r>
      <rPr>
        <sz val="11"/>
        <rFont val="宋体"/>
        <family val="3"/>
        <charset val="134"/>
      </rPr>
      <t>（含）</t>
    </r>
    <phoneticPr fontId="22" type="noConversion"/>
  </si>
  <si>
    <r>
      <rPr>
        <sz val="11"/>
        <color indexed="8"/>
        <rFont val="宋体"/>
        <family val="3"/>
        <charset val="134"/>
      </rPr>
      <t>居住社区成熟度</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</si>
  <si>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</si>
  <si>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</si>
  <si>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</si>
  <si>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</si>
  <si>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</si>
  <si>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rPr>
        <sz val="11"/>
        <color indexed="8"/>
        <rFont val="宋体"/>
        <family val="3"/>
        <charset val="134"/>
      </rPr>
      <t>交通便捷度</t>
    </r>
    <phoneticPr fontId="6" type="noConversion"/>
  </si>
  <si>
    <r>
      <rPr>
        <sz val="11"/>
        <color indexed="8"/>
        <rFont val="宋体"/>
        <family val="3"/>
        <charset val="134"/>
      </rPr>
      <t>公共配套设施</t>
    </r>
    <phoneticPr fontId="6" type="noConversion"/>
  </si>
  <si>
    <r>
      <rPr>
        <sz val="11"/>
        <rFont val="宋体"/>
        <family val="3"/>
        <charset val="134"/>
      </rPr>
      <t>七通</t>
    </r>
    <phoneticPr fontId="6" type="noConversion"/>
  </si>
  <si>
    <r>
      <rPr>
        <sz val="11"/>
        <rFont val="宋体"/>
        <family val="3"/>
        <charset val="134"/>
      </rPr>
      <t>六通</t>
    </r>
    <phoneticPr fontId="6" type="noConversion"/>
  </si>
  <si>
    <r>
      <rPr>
        <sz val="11"/>
        <rFont val="宋体"/>
        <family val="3"/>
        <charset val="134"/>
      </rPr>
      <t>五通</t>
    </r>
    <phoneticPr fontId="6" type="noConversion"/>
  </si>
  <si>
    <r>
      <rPr>
        <sz val="11"/>
        <rFont val="宋体"/>
        <family val="3"/>
        <charset val="134"/>
      </rPr>
      <t>四通</t>
    </r>
    <phoneticPr fontId="6" type="noConversion"/>
  </si>
  <si>
    <r>
      <rPr>
        <sz val="11"/>
        <rFont val="宋体"/>
        <family val="3"/>
        <charset val="134"/>
      </rPr>
      <t>三通</t>
    </r>
    <phoneticPr fontId="6" type="noConversion"/>
  </si>
  <si>
    <r>
      <rPr>
        <sz val="11"/>
        <color indexed="8"/>
        <rFont val="宋体"/>
        <family val="3"/>
        <charset val="134"/>
      </rPr>
      <t>自然及人文环境</t>
    </r>
    <phoneticPr fontId="6" type="noConversion"/>
  </si>
  <si>
    <r>
      <rPr>
        <sz val="11"/>
        <color indexed="8"/>
        <rFont val="宋体"/>
        <family val="3"/>
        <charset val="134"/>
      </rPr>
      <t>楼层</t>
    </r>
    <r>
      <rPr>
        <sz val="11"/>
        <color indexed="8"/>
        <rFont val="Arial"/>
        <family val="2"/>
      </rPr>
      <t>-1</t>
    </r>
    <phoneticPr fontId="6" type="noConversion"/>
  </si>
  <si>
    <r>
      <rPr>
        <sz val="11"/>
        <color indexed="8"/>
        <rFont val="宋体"/>
        <family val="3"/>
        <charset val="134"/>
      </rPr>
      <t>朝向</t>
    </r>
    <phoneticPr fontId="6" type="noConversion"/>
  </si>
  <si>
    <r>
      <rPr>
        <sz val="11"/>
        <color indexed="8"/>
        <rFont val="宋体"/>
        <family val="3"/>
        <charset val="134"/>
      </rPr>
      <t>建筑类型</t>
    </r>
    <phoneticPr fontId="6" type="noConversion"/>
  </si>
  <si>
    <r>
      <rPr>
        <sz val="11"/>
        <color indexed="8"/>
        <rFont val="宋体"/>
        <family val="3"/>
        <charset val="134"/>
      </rPr>
      <t>项目建筑规模</t>
    </r>
    <phoneticPr fontId="6" type="noConversion"/>
  </si>
  <si>
    <r>
      <rPr>
        <sz val="11"/>
        <color indexed="8"/>
        <rFont val="宋体"/>
        <family val="3"/>
        <charset val="134"/>
      </rPr>
      <t>建筑结构</t>
    </r>
    <phoneticPr fontId="6" type="noConversion"/>
  </si>
  <si>
    <r>
      <rPr>
        <sz val="11"/>
        <color indexed="8"/>
        <rFont val="宋体"/>
        <family val="3"/>
        <charset val="134"/>
      </rPr>
      <t>建筑品质</t>
    </r>
    <phoneticPr fontId="6" type="noConversion"/>
  </si>
  <si>
    <r>
      <rPr>
        <sz val="11"/>
        <color indexed="8"/>
        <rFont val="宋体"/>
        <family val="3"/>
        <charset val="134"/>
      </rPr>
      <t>公共部分装修</t>
    </r>
    <phoneticPr fontId="6" type="noConversion"/>
  </si>
  <si>
    <r>
      <rPr>
        <sz val="11"/>
        <color indexed="8"/>
        <rFont val="宋体"/>
        <family val="3"/>
        <charset val="134"/>
      </rPr>
      <t>成新度</t>
    </r>
    <phoneticPr fontId="6" type="noConversion"/>
  </si>
  <si>
    <r>
      <rPr>
        <sz val="11"/>
        <color indexed="8"/>
        <rFont val="宋体"/>
        <family val="3"/>
        <charset val="134"/>
      </rPr>
      <t>物业管理</t>
    </r>
    <phoneticPr fontId="6" type="noConversion"/>
  </si>
  <si>
    <r>
      <rPr>
        <sz val="11"/>
        <color indexed="8"/>
        <rFont val="宋体"/>
        <family val="3"/>
        <charset val="134"/>
      </rPr>
      <t>市政基础设施</t>
    </r>
    <phoneticPr fontId="6" type="noConversion"/>
  </si>
  <si>
    <r>
      <rPr>
        <sz val="11"/>
        <color indexed="8"/>
        <rFont val="宋体"/>
        <family val="3"/>
        <charset val="134"/>
      </rPr>
      <t>房型</t>
    </r>
    <phoneticPr fontId="6" type="noConversion"/>
  </si>
  <si>
    <r>
      <rPr>
        <sz val="11"/>
        <color indexed="8"/>
        <rFont val="宋体"/>
        <family val="3"/>
        <charset val="134"/>
      </rPr>
      <t>内部装修</t>
    </r>
    <phoneticPr fontId="6" type="noConversion"/>
  </si>
  <si>
    <r>
      <rPr>
        <sz val="11"/>
        <color indexed="8"/>
        <rFont val="宋体"/>
        <family val="3"/>
        <charset val="134"/>
      </rPr>
      <t>内部装修维护情况</t>
    </r>
    <phoneticPr fontId="6"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</si>
  <si>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2" type="noConversion"/>
  </si>
  <si>
    <r>
      <rPr>
        <sz val="11"/>
        <color theme="1"/>
        <rFont val="宋体"/>
        <family val="3"/>
        <charset val="134"/>
      </rPr>
      <t>多层</t>
    </r>
    <phoneticPr fontId="90" type="noConversion"/>
  </si>
  <si>
    <r>
      <rPr>
        <sz val="11"/>
        <color theme="1"/>
        <rFont val="宋体"/>
        <family val="3"/>
        <charset val="134"/>
      </rPr>
      <t>高层</t>
    </r>
    <phoneticPr fontId="90" type="noConversion"/>
  </si>
  <si>
    <r>
      <rPr>
        <sz val="11"/>
        <color theme="1"/>
        <rFont val="宋体"/>
        <family val="3"/>
        <charset val="134"/>
      </rPr>
      <t>无电梯</t>
    </r>
    <phoneticPr fontId="90" type="noConversion"/>
  </si>
  <si>
    <r>
      <rPr>
        <sz val="11"/>
        <color theme="1"/>
        <rFont val="宋体"/>
        <family val="3"/>
        <charset val="134"/>
      </rPr>
      <t>增值项</t>
    </r>
    <phoneticPr fontId="90" type="noConversion"/>
  </si>
  <si>
    <r>
      <rPr>
        <sz val="11"/>
        <color theme="1"/>
        <rFont val="宋体"/>
        <family val="3"/>
        <charset val="134"/>
      </rPr>
      <t>系数</t>
    </r>
    <phoneticPr fontId="90" type="noConversion"/>
  </si>
  <si>
    <r>
      <rPr>
        <sz val="11"/>
        <color theme="1"/>
        <rFont val="宋体"/>
        <family val="3"/>
        <charset val="134"/>
      </rPr>
      <t>有电梯</t>
    </r>
    <phoneticPr fontId="90"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</si>
  <si>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90" type="noConversion"/>
  </si>
  <si>
    <r>
      <rPr>
        <sz val="11"/>
        <color theme="1"/>
        <rFont val="宋体"/>
        <family val="3"/>
        <charset val="134"/>
      </rPr>
      <t>层差</t>
    </r>
    <r>
      <rPr>
        <sz val="11"/>
        <color theme="1"/>
        <rFont val="Arial"/>
        <family val="2"/>
      </rPr>
      <t>/</t>
    </r>
    <r>
      <rPr>
        <sz val="11"/>
        <color theme="1"/>
        <rFont val="宋体"/>
        <family val="3"/>
        <charset val="134"/>
      </rPr>
      <t>系数</t>
    </r>
    <phoneticPr fontId="90" type="noConversion"/>
  </si>
  <si>
    <r>
      <rPr>
        <sz val="11"/>
        <color theme="1"/>
        <rFont val="宋体"/>
        <family val="3"/>
        <charset val="134"/>
      </rPr>
      <t>露台</t>
    </r>
    <phoneticPr fontId="90" type="noConversion"/>
  </si>
  <si>
    <r>
      <rPr>
        <sz val="11"/>
        <color theme="1"/>
        <rFont val="宋体"/>
        <family val="3"/>
        <charset val="134"/>
      </rPr>
      <t>总层数</t>
    </r>
    <phoneticPr fontId="90" type="noConversion"/>
  </si>
  <si>
    <r>
      <rPr>
        <sz val="11"/>
        <color theme="1"/>
        <rFont val="宋体"/>
        <family val="3"/>
        <charset val="134"/>
      </rPr>
      <t>中间层</t>
    </r>
    <phoneticPr fontId="90" type="noConversion"/>
  </si>
  <si>
    <r>
      <rPr>
        <sz val="11"/>
        <color theme="1"/>
        <rFont val="宋体"/>
        <family val="3"/>
        <charset val="134"/>
      </rPr>
      <t>首层</t>
    </r>
    <phoneticPr fontId="90" type="noConversion"/>
  </si>
  <si>
    <r>
      <rPr>
        <sz val="11"/>
        <color theme="1"/>
        <rFont val="宋体"/>
        <family val="3"/>
        <charset val="134"/>
      </rPr>
      <t>顶层</t>
    </r>
    <phoneticPr fontId="90" type="noConversion"/>
  </si>
  <si>
    <r>
      <rPr>
        <sz val="11"/>
        <color theme="1"/>
        <rFont val="宋体"/>
        <family val="3"/>
        <charset val="134"/>
      </rPr>
      <t>所在楼层</t>
    </r>
    <phoneticPr fontId="90" type="noConversion"/>
  </si>
  <si>
    <r>
      <rPr>
        <sz val="11"/>
        <color theme="1"/>
        <rFont val="宋体"/>
        <family val="3"/>
        <charset val="134"/>
      </rPr>
      <t>花园</t>
    </r>
    <phoneticPr fontId="90" type="noConversion"/>
  </si>
  <si>
    <r>
      <rPr>
        <sz val="11"/>
        <color theme="1"/>
        <rFont val="宋体"/>
        <family val="3"/>
        <charset val="134"/>
      </rPr>
      <t>最高最低差</t>
    </r>
    <phoneticPr fontId="90" type="noConversion"/>
  </si>
  <si>
    <r>
      <rPr>
        <sz val="12"/>
        <rFont val="宋体"/>
        <family val="3"/>
        <charset val="134"/>
      </rPr>
      <t>注意于无电梯多层的价值匹配</t>
    </r>
    <phoneticPr fontId="22" type="noConversion"/>
  </si>
  <si>
    <r>
      <rPr>
        <sz val="11"/>
        <color rgb="FFFF0000"/>
        <rFont val="宋体"/>
        <family val="3"/>
        <charset val="134"/>
      </rPr>
      <t>修正体系描述方式：</t>
    </r>
    <phoneticPr fontId="22"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</si>
  <si>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2" type="noConversion"/>
  </si>
  <si>
    <r>
      <rPr>
        <b/>
        <sz val="16"/>
        <rFont val="宋体"/>
        <family val="3"/>
        <charset val="134"/>
      </rPr>
      <t>商业</t>
    </r>
    <phoneticPr fontId="6" type="noConversion"/>
  </si>
  <si>
    <r>
      <rPr>
        <sz val="11"/>
        <color indexed="8"/>
        <rFont val="宋体"/>
        <family val="3"/>
        <charset val="134"/>
      </rPr>
      <t>商业繁华度</t>
    </r>
    <phoneticPr fontId="27"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</si>
  <si>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</si>
  <si>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</si>
  <si>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临街状况</t>
    </r>
    <phoneticPr fontId="27"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</si>
  <si>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7" type="noConversion"/>
  </si>
  <si>
    <r>
      <rPr>
        <sz val="11"/>
        <color indexed="8"/>
        <rFont val="宋体"/>
        <family val="3"/>
        <charset val="134"/>
      </rPr>
      <t>人流量</t>
    </r>
    <phoneticPr fontId="27" type="noConversion"/>
  </si>
  <si>
    <r>
      <rPr>
        <sz val="11"/>
        <color indexed="8"/>
        <rFont val="宋体"/>
        <family val="3"/>
        <charset val="134"/>
      </rPr>
      <t>楼层</t>
    </r>
    <phoneticPr fontId="27" type="noConversion"/>
  </si>
  <si>
    <r>
      <rPr>
        <sz val="11"/>
        <color indexed="8"/>
        <rFont val="宋体"/>
        <family val="3"/>
        <charset val="134"/>
      </rPr>
      <t>商业类型</t>
    </r>
    <phoneticPr fontId="27" type="noConversion"/>
  </si>
  <si>
    <r>
      <rPr>
        <sz val="11"/>
        <color indexed="8"/>
        <rFont val="宋体"/>
        <family val="3"/>
        <charset val="134"/>
      </rPr>
      <t>公共部分装修</t>
    </r>
    <phoneticPr fontId="27" type="noConversion"/>
  </si>
  <si>
    <r>
      <rPr>
        <sz val="11"/>
        <color indexed="8"/>
        <rFont val="宋体"/>
        <family val="3"/>
        <charset val="134"/>
      </rPr>
      <t>成新度</t>
    </r>
    <phoneticPr fontId="27" type="noConversion"/>
  </si>
  <si>
    <r>
      <rPr>
        <sz val="11"/>
        <color indexed="8"/>
        <rFont val="宋体"/>
        <family val="3"/>
        <charset val="134"/>
      </rPr>
      <t>市政基础设施</t>
    </r>
    <phoneticPr fontId="27" type="noConversion"/>
  </si>
  <si>
    <r>
      <rPr>
        <sz val="11"/>
        <color indexed="8"/>
        <rFont val="宋体"/>
        <family val="3"/>
        <charset val="134"/>
      </rPr>
      <t>业态</t>
    </r>
    <phoneticPr fontId="27" type="noConversion"/>
  </si>
  <si>
    <r>
      <rPr>
        <sz val="11"/>
        <color indexed="8"/>
        <rFont val="宋体"/>
        <family val="3"/>
        <charset val="134"/>
      </rPr>
      <t>层高</t>
    </r>
    <phoneticPr fontId="27" type="noConversion"/>
  </si>
  <si>
    <r>
      <rPr>
        <sz val="11"/>
        <color indexed="8"/>
        <rFont val="宋体"/>
        <family val="3"/>
        <charset val="134"/>
      </rPr>
      <t>单套建筑面积</t>
    </r>
    <phoneticPr fontId="27" type="noConversion"/>
  </si>
  <si>
    <r>
      <rPr>
        <sz val="11"/>
        <rFont val="宋体"/>
        <family val="3"/>
        <charset val="134"/>
      </rPr>
      <t>进深比</t>
    </r>
    <phoneticPr fontId="6" type="noConversion"/>
  </si>
  <si>
    <r>
      <rPr>
        <sz val="11"/>
        <color indexed="8"/>
        <rFont val="宋体"/>
        <family val="3"/>
        <charset val="134"/>
      </rPr>
      <t>内部装修</t>
    </r>
    <phoneticPr fontId="27"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</si>
  <si>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</si>
  <si>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</si>
  <si>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</si>
  <si>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</si>
  <si>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</si>
  <si>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</si>
  <si>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sz val="11"/>
        <color indexed="8"/>
        <rFont val="宋体"/>
        <family val="3"/>
        <charset val="134"/>
      </rPr>
      <t>临街状况</t>
    </r>
    <phoneticPr fontId="6" type="noConversion"/>
  </si>
  <si>
    <r>
      <rPr>
        <sz val="11"/>
        <color indexed="8"/>
        <rFont val="宋体"/>
        <family val="3"/>
        <charset val="134"/>
      </rPr>
      <t>商业类型</t>
    </r>
    <phoneticPr fontId="6" type="noConversion"/>
  </si>
  <si>
    <r>
      <rPr>
        <sz val="11"/>
        <color indexed="8"/>
        <rFont val="宋体"/>
        <family val="3"/>
        <charset val="134"/>
      </rPr>
      <t>业态</t>
    </r>
    <phoneticPr fontId="6" type="noConversion"/>
  </si>
  <si>
    <r>
      <rPr>
        <sz val="11"/>
        <color indexed="8"/>
        <rFont val="宋体"/>
        <family val="3"/>
        <charset val="134"/>
      </rPr>
      <t>层高</t>
    </r>
    <phoneticPr fontId="6" type="noConversion"/>
  </si>
  <si>
    <r>
      <rPr>
        <sz val="11"/>
        <color indexed="8"/>
        <rFont val="宋体"/>
        <family val="3"/>
        <charset val="134"/>
      </rPr>
      <t>单套建筑面积</t>
    </r>
    <phoneticPr fontId="6" type="noConversion"/>
  </si>
  <si>
    <r>
      <rPr>
        <sz val="11"/>
        <color indexed="8"/>
        <rFont val="宋体"/>
        <family val="3"/>
        <charset val="134"/>
      </rPr>
      <t>进深比</t>
    </r>
    <phoneticPr fontId="6" type="noConversion"/>
  </si>
  <si>
    <r>
      <rPr>
        <b/>
        <sz val="16"/>
        <rFont val="宋体"/>
        <family val="3"/>
        <charset val="134"/>
      </rPr>
      <t>办公</t>
    </r>
    <phoneticPr fontId="27" type="noConversion"/>
  </si>
  <si>
    <r>
      <rPr>
        <sz val="11"/>
        <color indexed="8"/>
        <rFont val="宋体"/>
        <family val="3"/>
        <charset val="134"/>
      </rPr>
      <t>办公集聚程度</t>
    </r>
    <phoneticPr fontId="27" type="noConversion"/>
  </si>
  <si>
    <r>
      <rPr>
        <sz val="11"/>
        <color indexed="8"/>
        <rFont val="宋体"/>
        <family val="3"/>
        <charset val="134"/>
      </rPr>
      <t>公共配套设施</t>
    </r>
    <phoneticPr fontId="28" type="noConversion"/>
  </si>
  <si>
    <r>
      <rPr>
        <sz val="11"/>
        <color indexed="8"/>
        <rFont val="宋体"/>
        <family val="3"/>
        <charset val="134"/>
      </rPr>
      <t>基础设施水平</t>
    </r>
    <phoneticPr fontId="28" type="noConversion"/>
  </si>
  <si>
    <r>
      <rPr>
        <sz val="11"/>
        <color indexed="8"/>
        <rFont val="宋体"/>
        <family val="3"/>
        <charset val="134"/>
      </rPr>
      <t>环境质量</t>
    </r>
    <phoneticPr fontId="28" type="noConversion"/>
  </si>
  <si>
    <r>
      <rPr>
        <sz val="11"/>
        <color indexed="8"/>
        <rFont val="宋体"/>
        <family val="3"/>
        <charset val="134"/>
      </rPr>
      <t>毗邻道路的类型与等级</t>
    </r>
    <phoneticPr fontId="27" type="noConversion"/>
  </si>
  <si>
    <r>
      <rPr>
        <sz val="11"/>
        <color indexed="8"/>
        <rFont val="宋体"/>
        <family val="3"/>
        <charset val="134"/>
      </rPr>
      <t>朝向</t>
    </r>
    <phoneticPr fontId="27" type="noConversion"/>
  </si>
  <si>
    <r>
      <rPr>
        <sz val="11"/>
        <color indexed="8"/>
        <rFont val="宋体"/>
        <family val="3"/>
        <charset val="134"/>
      </rPr>
      <t>建筑类型</t>
    </r>
    <phoneticPr fontId="27" type="noConversion"/>
  </si>
  <si>
    <r>
      <rPr>
        <sz val="11"/>
        <color indexed="8"/>
        <rFont val="宋体"/>
        <family val="3"/>
        <charset val="134"/>
      </rPr>
      <t>写字楼等级</t>
    </r>
    <phoneticPr fontId="27" type="noConversion"/>
  </si>
  <si>
    <r>
      <rPr>
        <sz val="11"/>
        <color indexed="8"/>
        <rFont val="宋体"/>
        <family val="3"/>
        <charset val="134"/>
      </rPr>
      <t>物业管理</t>
    </r>
    <phoneticPr fontId="27" type="noConversion"/>
  </si>
  <si>
    <r>
      <rPr>
        <sz val="11"/>
        <rFont val="宋体"/>
        <family val="3"/>
        <charset val="134"/>
      </rPr>
      <t>单套建筑面积</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</si>
  <si>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</si>
  <si>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sz val="11"/>
        <color indexed="8"/>
        <rFont val="宋体"/>
        <family val="3"/>
        <charset val="134"/>
      </rPr>
      <t>办公集聚程度</t>
    </r>
    <phoneticPr fontId="6" type="noConversion"/>
  </si>
  <si>
    <r>
      <rPr>
        <sz val="11"/>
        <color indexed="8"/>
        <rFont val="宋体"/>
        <family val="3"/>
        <charset val="134"/>
      </rPr>
      <t>环境质量</t>
    </r>
    <phoneticPr fontId="6" type="noConversion"/>
  </si>
  <si>
    <r>
      <rPr>
        <sz val="11"/>
        <color indexed="8"/>
        <rFont val="宋体"/>
        <family val="3"/>
        <charset val="134"/>
      </rPr>
      <t>毗邻道路的类型与等级</t>
    </r>
    <phoneticPr fontId="6" type="noConversion"/>
  </si>
  <si>
    <r>
      <rPr>
        <sz val="11"/>
        <color indexed="8"/>
        <rFont val="宋体"/>
        <family val="3"/>
        <charset val="134"/>
      </rPr>
      <t>写字楼等级</t>
    </r>
    <phoneticPr fontId="6" type="noConversion"/>
  </si>
  <si>
    <r>
      <rPr>
        <sz val="11"/>
        <rFont val="宋体"/>
        <family val="3"/>
        <charset val="134"/>
      </rPr>
      <t>层高</t>
    </r>
    <phoneticPr fontId="6" type="noConversion"/>
  </si>
  <si>
    <r>
      <rPr>
        <b/>
        <sz val="16"/>
        <rFont val="宋体"/>
        <family val="3"/>
        <charset val="134"/>
      </rPr>
      <t>工业</t>
    </r>
    <phoneticPr fontId="6" type="noConversion"/>
  </si>
  <si>
    <r>
      <rPr>
        <sz val="11"/>
        <color indexed="8"/>
        <rFont val="宋体"/>
        <family val="3"/>
        <charset val="134"/>
      </rPr>
      <t>产业集聚程度</t>
    </r>
    <phoneticPr fontId="27" type="noConversion"/>
  </si>
  <si>
    <r>
      <rPr>
        <sz val="11"/>
        <color indexed="8"/>
        <rFont val="宋体"/>
        <family val="3"/>
        <charset val="134"/>
      </rPr>
      <t>内部装修状况</t>
    </r>
    <phoneticPr fontId="27" type="noConversion"/>
  </si>
  <si>
    <r>
      <rPr>
        <sz val="11"/>
        <color indexed="8"/>
        <rFont val="宋体"/>
        <family val="3"/>
        <charset val="134"/>
      </rPr>
      <t>产业集聚程度</t>
    </r>
    <phoneticPr fontId="6" type="noConversion"/>
  </si>
  <si>
    <r>
      <rPr>
        <sz val="11"/>
        <rFont val="宋体"/>
        <family val="3"/>
        <charset val="134"/>
      </rPr>
      <t>内部装修维护状况</t>
    </r>
    <phoneticPr fontId="6" type="noConversion"/>
  </si>
  <si>
    <r>
      <rPr>
        <b/>
        <sz val="16"/>
        <color indexed="10"/>
        <rFont val="宋体"/>
        <family val="3"/>
        <charset val="134"/>
      </rPr>
      <t>比较法</t>
    </r>
    <phoneticPr fontId="6" type="noConversion"/>
  </si>
  <si>
    <r>
      <rPr>
        <b/>
        <sz val="12"/>
        <rFont val="宋体"/>
        <family val="3"/>
        <charset val="134"/>
      </rPr>
      <t>车位数</t>
    </r>
    <phoneticPr fontId="6" type="noConversion"/>
  </si>
  <si>
    <r>
      <rPr>
        <sz val="11"/>
        <color indexed="8"/>
        <rFont val="宋体"/>
        <family val="3"/>
        <charset val="134"/>
      </rPr>
      <t>交通便捷度</t>
    </r>
    <phoneticPr fontId="27" type="noConversion"/>
  </si>
  <si>
    <r>
      <rPr>
        <sz val="11"/>
        <color indexed="8"/>
        <rFont val="宋体"/>
        <family val="3"/>
        <charset val="134"/>
      </rPr>
      <t>自然及人文环境</t>
    </r>
    <phoneticPr fontId="28" type="noConversion"/>
  </si>
  <si>
    <r>
      <rPr>
        <sz val="11"/>
        <color indexed="8"/>
        <rFont val="宋体"/>
        <family val="3"/>
        <charset val="134"/>
      </rPr>
      <t>楼层</t>
    </r>
    <phoneticPr fontId="28" type="noConversion"/>
  </si>
  <si>
    <r>
      <rPr>
        <sz val="11"/>
        <color indexed="8"/>
        <rFont val="宋体"/>
        <family val="3"/>
        <charset val="134"/>
      </rPr>
      <t>配套类型</t>
    </r>
    <phoneticPr fontId="27" type="noConversion"/>
  </si>
  <si>
    <r>
      <rPr>
        <sz val="11"/>
        <color indexed="8"/>
        <rFont val="宋体"/>
        <family val="3"/>
        <charset val="134"/>
      </rPr>
      <t>项目停车位配比</t>
    </r>
    <phoneticPr fontId="28" type="noConversion"/>
  </si>
  <si>
    <r>
      <rPr>
        <sz val="11"/>
        <color indexed="8"/>
        <rFont val="宋体"/>
        <family val="3"/>
        <charset val="134"/>
      </rPr>
      <t>公共部分装修</t>
    </r>
    <phoneticPr fontId="28"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</si>
  <si>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</si>
  <si>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</si>
  <si>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</si>
  <si>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</si>
  <si>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r>
      <rPr>
        <sz val="11"/>
        <color indexed="8"/>
        <rFont val="宋体"/>
        <family val="3"/>
        <charset val="134"/>
      </rPr>
      <t>是否直接入户</t>
    </r>
    <phoneticPr fontId="27" type="noConversion"/>
  </si>
  <si>
    <r>
      <rPr>
        <b/>
        <sz val="11"/>
        <rFont val="宋体"/>
        <family val="3"/>
        <charset val="134"/>
      </rPr>
      <t>成交单价</t>
    </r>
    <phoneticPr fontId="6"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</si>
  <si>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</si>
  <si>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</si>
  <si>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</si>
  <si>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</si>
  <si>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</si>
  <si>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</si>
  <si>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</si>
  <si>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交易时间</t>
    </r>
    <phoneticPr fontId="6" type="noConversion"/>
  </si>
  <si>
    <r>
      <rPr>
        <sz val="11"/>
        <color indexed="8"/>
        <rFont val="宋体"/>
        <family val="3"/>
        <charset val="134"/>
      </rPr>
      <t>楼层</t>
    </r>
    <phoneticPr fontId="6" type="noConversion"/>
  </si>
  <si>
    <r>
      <rPr>
        <sz val="11"/>
        <color indexed="8"/>
        <rFont val="宋体"/>
        <family val="3"/>
        <charset val="134"/>
      </rPr>
      <t>配套类型（地上主用途）</t>
    </r>
    <phoneticPr fontId="6" type="noConversion"/>
  </si>
  <si>
    <r>
      <rPr>
        <sz val="11"/>
        <color indexed="8"/>
        <rFont val="宋体"/>
        <family val="3"/>
        <charset val="134"/>
      </rPr>
      <t>项目停车位配比</t>
    </r>
    <phoneticPr fontId="6" type="noConversion"/>
  </si>
  <si>
    <r>
      <rPr>
        <sz val="11"/>
        <color indexed="8"/>
        <rFont val="宋体"/>
        <family val="3"/>
        <charset val="134"/>
      </rPr>
      <t>成新率</t>
    </r>
    <phoneticPr fontId="6" type="noConversion"/>
  </si>
  <si>
    <r>
      <rPr>
        <sz val="11"/>
        <color indexed="8"/>
        <rFont val="宋体"/>
        <family val="3"/>
        <charset val="134"/>
      </rPr>
      <t>物业等级</t>
    </r>
    <phoneticPr fontId="28" type="noConversion"/>
  </si>
  <si>
    <r>
      <rPr>
        <sz val="11"/>
        <color indexed="8"/>
        <rFont val="宋体"/>
        <family val="3"/>
        <charset val="134"/>
      </rPr>
      <t>停车位面积</t>
    </r>
    <phoneticPr fontId="6" type="noConversion"/>
  </si>
  <si>
    <r>
      <rPr>
        <sz val="11"/>
        <color indexed="8"/>
        <rFont val="宋体"/>
        <family val="3"/>
        <charset val="134"/>
      </rPr>
      <t>车位类型</t>
    </r>
    <phoneticPr fontId="6" type="noConversion"/>
  </si>
  <si>
    <r>
      <rPr>
        <sz val="11"/>
        <color indexed="8"/>
        <rFont val="宋体"/>
        <family val="3"/>
        <charset val="134"/>
      </rPr>
      <t>是否直接入户</t>
    </r>
    <phoneticPr fontId="6" type="noConversion"/>
  </si>
  <si>
    <r>
      <rPr>
        <sz val="11"/>
        <color indexed="8"/>
        <rFont val="宋体"/>
        <family val="3"/>
        <charset val="134"/>
      </rPr>
      <t>有无电梯</t>
    </r>
    <phoneticPr fontId="27" type="noConversion"/>
  </si>
  <si>
    <r>
      <rPr>
        <sz val="11"/>
        <color indexed="8"/>
        <rFont val="宋体"/>
        <family val="3"/>
        <charset val="134"/>
      </rPr>
      <t>建筑面积</t>
    </r>
    <phoneticPr fontId="27" type="noConversion"/>
  </si>
  <si>
    <r>
      <rPr>
        <sz val="11"/>
        <color indexed="8"/>
        <rFont val="宋体"/>
        <family val="3"/>
        <charset val="134"/>
      </rPr>
      <t>是否封闭</t>
    </r>
    <phoneticPr fontId="27" type="noConversion"/>
  </si>
  <si>
    <r>
      <rPr>
        <sz val="11"/>
        <color indexed="8"/>
        <rFont val="宋体"/>
        <family val="3"/>
        <charset val="134"/>
      </rPr>
      <t>有无电梯</t>
    </r>
    <phoneticPr fontId="6" type="noConversion"/>
  </si>
  <si>
    <r>
      <rPr>
        <sz val="11"/>
        <color indexed="8"/>
        <rFont val="宋体"/>
        <family val="3"/>
        <charset val="134"/>
      </rPr>
      <t>建筑面积</t>
    </r>
    <phoneticPr fontId="28" type="noConversion"/>
  </si>
  <si>
    <r>
      <rPr>
        <sz val="11"/>
        <color indexed="8"/>
        <rFont val="宋体"/>
        <family val="3"/>
        <charset val="134"/>
      </rPr>
      <t>是否封闭</t>
    </r>
    <phoneticPr fontId="6" type="noConversion"/>
  </si>
  <si>
    <r>
      <rPr>
        <b/>
        <sz val="16"/>
        <color indexed="10"/>
        <rFont val="宋体"/>
        <family val="3"/>
        <charset val="134"/>
      </rPr>
      <t>套用比较法</t>
    </r>
    <phoneticPr fontId="6" type="noConversion"/>
  </si>
  <si>
    <r>
      <rPr>
        <b/>
        <sz val="16"/>
        <rFont val="宋体"/>
        <family val="3"/>
        <charset val="134"/>
      </rPr>
      <t>住宅、综合</t>
    </r>
    <phoneticPr fontId="27" type="noConversion"/>
  </si>
  <si>
    <r>
      <rPr>
        <b/>
        <sz val="12"/>
        <rFont val="宋体"/>
        <family val="3"/>
        <charset val="134"/>
      </rPr>
      <t>元</t>
    </r>
    <phoneticPr fontId="27" type="noConversion"/>
  </si>
  <si>
    <r>
      <rPr>
        <b/>
        <sz val="12"/>
        <rFont val="宋体"/>
        <family val="3"/>
        <charset val="134"/>
      </rPr>
      <t>元</t>
    </r>
    <r>
      <rPr>
        <b/>
        <sz val="12"/>
        <rFont val="Arial"/>
        <family val="2"/>
      </rPr>
      <t>/</t>
    </r>
    <r>
      <rPr>
        <b/>
        <sz val="12"/>
        <rFont val="宋体"/>
        <family val="3"/>
        <charset val="134"/>
      </rPr>
      <t>平方米</t>
    </r>
    <phoneticPr fontId="27" type="noConversion"/>
  </si>
  <si>
    <r>
      <rPr>
        <sz val="11"/>
        <color indexed="8"/>
        <rFont val="宋体"/>
        <family val="3"/>
        <charset val="134"/>
      </rPr>
      <t>正常</t>
    </r>
  </si>
  <si>
    <r>
      <rPr>
        <sz val="11"/>
        <color indexed="8"/>
        <rFont val="宋体"/>
        <family val="3"/>
        <charset val="134"/>
      </rPr>
      <t>配建</t>
    </r>
    <phoneticPr fontId="27" type="noConversion"/>
  </si>
  <si>
    <r>
      <rPr>
        <sz val="11"/>
        <color indexed="8"/>
        <rFont val="宋体"/>
        <family val="3"/>
        <charset val="134"/>
      </rPr>
      <t>区域土地利用方向</t>
    </r>
    <phoneticPr fontId="27" type="noConversion"/>
  </si>
  <si>
    <r>
      <rPr>
        <sz val="11"/>
        <color indexed="8"/>
        <rFont val="宋体"/>
        <family val="3"/>
        <charset val="134"/>
      </rPr>
      <t>自然及人文环境状况</t>
    </r>
    <phoneticPr fontId="27" type="noConversion"/>
  </si>
  <si>
    <r>
      <rPr>
        <sz val="11"/>
        <color indexed="8"/>
        <rFont val="宋体"/>
        <family val="3"/>
        <charset val="134"/>
      </rPr>
      <t>土地级别</t>
    </r>
    <phoneticPr fontId="27" type="noConversion"/>
  </si>
  <si>
    <r>
      <rPr>
        <sz val="11"/>
        <color indexed="8"/>
        <rFont val="宋体"/>
        <family val="3"/>
        <charset val="134"/>
      </rPr>
      <t>宗地面积</t>
    </r>
    <phoneticPr fontId="27" type="noConversion"/>
  </si>
  <si>
    <r>
      <rPr>
        <sz val="11"/>
        <color indexed="8"/>
        <rFont val="宋体"/>
        <family val="3"/>
        <charset val="134"/>
      </rPr>
      <t>宗地形状</t>
    </r>
    <phoneticPr fontId="27" type="noConversion"/>
  </si>
  <si>
    <r>
      <rPr>
        <sz val="11"/>
        <color indexed="8"/>
        <rFont val="宋体"/>
        <family val="3"/>
        <charset val="134"/>
      </rPr>
      <t>临街宽度及深度</t>
    </r>
    <phoneticPr fontId="27" type="noConversion"/>
  </si>
  <si>
    <r>
      <rPr>
        <sz val="11"/>
        <color indexed="8"/>
        <rFont val="宋体"/>
        <family val="3"/>
        <charset val="134"/>
      </rPr>
      <t>宗地开发程度</t>
    </r>
    <phoneticPr fontId="27" type="noConversion"/>
  </si>
  <si>
    <r>
      <rPr>
        <sz val="11"/>
        <color indexed="8"/>
        <rFont val="宋体"/>
        <family val="3"/>
        <charset val="134"/>
      </rPr>
      <t>工程地质条件</t>
    </r>
    <phoneticPr fontId="27"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</si>
  <si>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</si>
  <si>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7" type="noConversion"/>
  </si>
  <si>
    <r>
      <rPr>
        <sz val="11"/>
        <rFont val="宋体"/>
        <family val="3"/>
        <charset val="134"/>
      </rPr>
      <t>修正单价</t>
    </r>
    <phoneticPr fontId="27" type="noConversion"/>
  </si>
  <si>
    <r>
      <rPr>
        <sz val="11"/>
        <rFont val="宋体"/>
        <family val="3"/>
        <charset val="134"/>
      </rPr>
      <t>北京市系数</t>
    </r>
  </si>
  <si>
    <r>
      <rPr>
        <sz val="11"/>
        <rFont val="宋体"/>
        <family val="3"/>
        <charset val="134"/>
      </rPr>
      <t>政府土地出让收益比例</t>
    </r>
    <phoneticPr fontId="27" type="noConversion"/>
  </si>
  <si>
    <r>
      <rPr>
        <sz val="11"/>
        <rFont val="宋体"/>
        <family val="3"/>
        <charset val="134"/>
      </rPr>
      <t>建筑面积</t>
    </r>
    <phoneticPr fontId="27" type="noConversion"/>
  </si>
  <si>
    <r>
      <rPr>
        <sz val="11"/>
        <rFont val="宋体"/>
        <family val="3"/>
        <charset val="134"/>
      </rPr>
      <t>总价</t>
    </r>
    <phoneticPr fontId="27" type="noConversion"/>
  </si>
  <si>
    <r>
      <rPr>
        <sz val="11"/>
        <color theme="1"/>
        <rFont val="宋体"/>
        <family val="3"/>
        <charset val="134"/>
      </rPr>
      <t>北京市</t>
    </r>
    <phoneticPr fontId="27" type="noConversion"/>
  </si>
  <si>
    <r>
      <rPr>
        <sz val="11"/>
        <color rgb="FFFF0000"/>
        <rFont val="宋体"/>
        <family val="3"/>
        <charset val="134"/>
      </rPr>
      <t>外省市地下修正系数请自行录入</t>
    </r>
    <phoneticPr fontId="27" type="noConversion"/>
  </si>
  <si>
    <r>
      <rPr>
        <sz val="10"/>
        <rFont val="宋体"/>
        <family val="3"/>
        <charset val="134"/>
      </rPr>
      <t>地上</t>
    </r>
    <phoneticPr fontId="17"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</si>
  <si>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</si>
  <si>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</si>
  <si>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</si>
  <si>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</si>
  <si>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t>
    </r>
    <phoneticPr fontId="16" type="noConversion"/>
  </si>
  <si>
    <r>
      <rPr>
        <sz val="10"/>
        <rFont val="宋体"/>
        <family val="3"/>
        <charset val="134"/>
      </rPr>
      <t>地下仓储</t>
    </r>
    <phoneticPr fontId="16" type="noConversion"/>
  </si>
  <si>
    <r>
      <rPr>
        <sz val="10"/>
        <rFont val="宋体"/>
        <family val="3"/>
        <charset val="134"/>
      </rPr>
      <t>地下车库</t>
    </r>
    <phoneticPr fontId="16" type="noConversion"/>
  </si>
  <si>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</si>
  <si>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</si>
  <si>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</si>
  <si>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6" type="noConversion"/>
  </si>
  <si>
    <r>
      <rPr>
        <b/>
        <sz val="11"/>
        <color indexed="8"/>
        <rFont val="宋体"/>
        <family val="3"/>
        <charset val="134"/>
      </rPr>
      <t>商业</t>
    </r>
  </si>
  <si>
    <r>
      <rPr>
        <sz val="11"/>
        <color indexed="8"/>
        <rFont val="宋体"/>
        <family val="3"/>
        <charset val="134"/>
      </rPr>
      <t>商业繁华度</t>
    </r>
    <phoneticPr fontId="6" type="noConversion"/>
  </si>
  <si>
    <r>
      <rPr>
        <sz val="11"/>
        <color indexed="8"/>
        <rFont val="宋体"/>
        <family val="3"/>
        <charset val="134"/>
      </rPr>
      <t>区域土地利用方向</t>
    </r>
    <phoneticPr fontId="6" type="noConversion"/>
  </si>
  <si>
    <r>
      <rPr>
        <sz val="11"/>
        <color indexed="8"/>
        <rFont val="宋体"/>
        <family val="3"/>
        <charset val="134"/>
      </rPr>
      <t>自然及人文环境状况</t>
    </r>
    <phoneticPr fontId="6" type="noConversion"/>
  </si>
  <si>
    <r>
      <rPr>
        <sz val="11"/>
        <rFont val="宋体"/>
        <family val="3"/>
        <charset val="134"/>
      </rPr>
      <t>多面临街</t>
    </r>
    <phoneticPr fontId="27" type="noConversion"/>
  </si>
  <si>
    <r>
      <rPr>
        <sz val="11"/>
        <rFont val="宋体"/>
        <family val="3"/>
        <charset val="134"/>
      </rPr>
      <t>双面临街</t>
    </r>
    <phoneticPr fontId="27" type="noConversion"/>
  </si>
  <si>
    <r>
      <rPr>
        <sz val="11"/>
        <rFont val="宋体"/>
        <family val="3"/>
        <charset val="134"/>
      </rPr>
      <t>单面临街</t>
    </r>
    <phoneticPr fontId="27" type="noConversion"/>
  </si>
  <si>
    <r>
      <rPr>
        <sz val="11"/>
        <rFont val="宋体"/>
        <family val="3"/>
        <charset val="134"/>
      </rPr>
      <t>不临街</t>
    </r>
    <phoneticPr fontId="27" type="noConversion"/>
  </si>
  <si>
    <r>
      <rPr>
        <sz val="11"/>
        <color indexed="8"/>
        <rFont val="宋体"/>
        <family val="3"/>
        <charset val="134"/>
      </rPr>
      <t>宗地面积</t>
    </r>
    <phoneticPr fontId="6" type="noConversion"/>
  </si>
  <si>
    <r>
      <rPr>
        <sz val="11"/>
        <color indexed="8"/>
        <rFont val="宋体"/>
        <family val="3"/>
        <charset val="134"/>
      </rPr>
      <t>宗地形状</t>
    </r>
    <phoneticPr fontId="6" type="noConversion"/>
  </si>
  <si>
    <r>
      <rPr>
        <sz val="11"/>
        <color indexed="8"/>
        <rFont val="宋体"/>
        <family val="3"/>
        <charset val="134"/>
      </rPr>
      <t>临街宽度及深度</t>
    </r>
    <phoneticPr fontId="6" type="noConversion"/>
  </si>
  <si>
    <r>
      <rPr>
        <sz val="11"/>
        <color indexed="8"/>
        <rFont val="宋体"/>
        <family val="3"/>
        <charset val="134"/>
      </rPr>
      <t>宗地开发程度</t>
    </r>
    <phoneticPr fontId="6" type="noConversion"/>
  </si>
  <si>
    <r>
      <rPr>
        <sz val="11"/>
        <color indexed="8"/>
        <rFont val="宋体"/>
        <family val="3"/>
        <charset val="134"/>
      </rPr>
      <t>工程地质条件</t>
    </r>
    <phoneticPr fontId="6" type="noConversion"/>
  </si>
  <si>
    <r>
      <rPr>
        <b/>
        <sz val="16"/>
        <rFont val="宋体"/>
        <family val="3"/>
        <charset val="134"/>
      </rPr>
      <t>工业</t>
    </r>
    <phoneticPr fontId="27" type="noConversion"/>
  </si>
  <si>
    <r>
      <rPr>
        <sz val="11"/>
        <color indexed="8"/>
        <rFont val="宋体"/>
        <family val="3"/>
        <charset val="134"/>
      </rPr>
      <t>工业</t>
    </r>
  </si>
  <si>
    <r>
      <rPr>
        <sz val="11"/>
        <color indexed="8"/>
        <rFont val="宋体"/>
        <family val="3"/>
        <charset val="134"/>
      </rPr>
      <t>产业集聚程度</t>
    </r>
    <phoneticPr fontId="29" type="noConversion"/>
  </si>
  <si>
    <r>
      <rPr>
        <sz val="11"/>
        <color indexed="8"/>
        <rFont val="宋体"/>
        <family val="3"/>
        <charset val="134"/>
      </rPr>
      <t>环境状况</t>
    </r>
    <phoneticPr fontId="27" type="noConversion"/>
  </si>
  <si>
    <r>
      <rPr>
        <b/>
        <sz val="11"/>
        <rFont val="宋体"/>
        <family val="3"/>
        <charset val="134"/>
      </rPr>
      <t>楼面地价</t>
    </r>
  </si>
  <si>
    <r>
      <rPr>
        <sz val="11"/>
        <rFont val="宋体"/>
        <family val="3"/>
        <charset val="134"/>
      </rPr>
      <t>北京市</t>
    </r>
    <phoneticPr fontId="27" type="noConversion"/>
  </si>
  <si>
    <r>
      <rPr>
        <b/>
        <sz val="11"/>
        <color indexed="8"/>
        <rFont val="宋体"/>
        <family val="3"/>
        <charset val="134"/>
      </rPr>
      <t>工业</t>
    </r>
    <phoneticPr fontId="29" type="noConversion"/>
  </si>
  <si>
    <r>
      <rPr>
        <b/>
        <sz val="16"/>
        <color indexed="10"/>
        <rFont val="宋体"/>
        <family val="3"/>
        <charset val="134"/>
      </rPr>
      <t>基准地价系数修正法</t>
    </r>
    <phoneticPr fontId="6"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</si>
  <si>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</si>
  <si>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</si>
  <si>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6" type="noConversion"/>
  </si>
  <si>
    <r>
      <rPr>
        <sz val="12"/>
        <rFont val="宋体"/>
        <family val="3"/>
        <charset val="134"/>
      </rPr>
      <t>楼层修正系数</t>
    </r>
    <phoneticPr fontId="6" type="noConversion"/>
  </si>
  <si>
    <r>
      <rPr>
        <sz val="12"/>
        <rFont val="宋体"/>
        <family val="3"/>
        <charset val="134"/>
      </rPr>
      <t>楼面熟地单价</t>
    </r>
    <phoneticPr fontId="6" type="noConversion"/>
  </si>
  <si>
    <r>
      <rPr>
        <sz val="12"/>
        <rFont val="宋体"/>
        <family val="3"/>
        <charset val="134"/>
      </rPr>
      <t>层面积</t>
    </r>
    <phoneticPr fontId="6" type="noConversion"/>
  </si>
  <si>
    <r>
      <rPr>
        <sz val="12"/>
        <rFont val="宋体"/>
        <family val="3"/>
        <charset val="134"/>
      </rPr>
      <t>总额</t>
    </r>
    <phoneticPr fontId="6" type="noConversion"/>
  </si>
  <si>
    <r>
      <rPr>
        <b/>
        <sz val="12"/>
        <rFont val="宋体"/>
        <family val="3"/>
        <charset val="134"/>
      </rPr>
      <t>总价</t>
    </r>
    <phoneticPr fontId="6" type="noConversion"/>
  </si>
  <si>
    <r>
      <rPr>
        <b/>
        <sz val="12"/>
        <rFont val="宋体"/>
        <family val="3"/>
        <charset val="134"/>
      </rPr>
      <t>元</t>
    </r>
    <phoneticPr fontId="6" type="noConversion"/>
  </si>
  <si>
    <r>
      <rPr>
        <sz val="10"/>
        <rFont val="宋体"/>
        <family val="3"/>
        <charset val="134"/>
      </rPr>
      <t>用途</t>
    </r>
    <r>
      <rPr>
        <sz val="10"/>
        <rFont val="Arial"/>
        <family val="2"/>
      </rPr>
      <t>/</t>
    </r>
    <r>
      <rPr>
        <sz val="10"/>
        <rFont val="宋体"/>
        <family val="3"/>
        <charset val="134"/>
      </rPr>
      <t>地上主用途</t>
    </r>
    <phoneticPr fontId="6" type="noConversion"/>
  </si>
  <si>
    <r>
      <rPr>
        <sz val="10"/>
        <rFont val="宋体"/>
        <family val="3"/>
        <charset val="134"/>
      </rPr>
      <t>土地级别</t>
    </r>
    <phoneticPr fontId="6" type="noConversion"/>
  </si>
  <si>
    <r>
      <rPr>
        <sz val="10"/>
        <rFont val="宋体"/>
        <family val="3"/>
        <charset val="134"/>
      </rPr>
      <t>区片编号</t>
    </r>
    <phoneticPr fontId="6" type="noConversion"/>
  </si>
  <si>
    <r>
      <rPr>
        <sz val="11"/>
        <color theme="1"/>
        <rFont val="宋体"/>
        <family val="3"/>
        <charset val="134"/>
      </rPr>
      <t>二级</t>
    </r>
  </si>
  <si>
    <r>
      <rPr>
        <b/>
        <sz val="12"/>
        <rFont val="宋体"/>
        <family val="3"/>
        <charset val="134"/>
      </rPr>
      <t>楼面单价</t>
    </r>
    <phoneticPr fontId="6" type="noConversion"/>
  </si>
  <si>
    <r>
      <rPr>
        <b/>
        <sz val="12"/>
        <rFont val="宋体"/>
        <family val="3"/>
        <charset val="134"/>
      </rPr>
      <t>元</t>
    </r>
    <r>
      <rPr>
        <b/>
        <sz val="12"/>
        <rFont val="Arial"/>
        <family val="2"/>
      </rPr>
      <t>/</t>
    </r>
    <r>
      <rPr>
        <b/>
        <sz val="12"/>
        <rFont val="宋体"/>
        <family val="3"/>
        <charset val="134"/>
      </rPr>
      <t>平方米</t>
    </r>
    <phoneticPr fontId="6" type="noConversion"/>
  </si>
  <si>
    <r>
      <rPr>
        <sz val="10"/>
        <rFont val="宋体"/>
        <family val="3"/>
        <charset val="134"/>
      </rPr>
      <t>用途类别</t>
    </r>
    <phoneticPr fontId="6" type="noConversion"/>
  </si>
  <si>
    <r>
      <rPr>
        <sz val="10"/>
        <rFont val="宋体"/>
        <family val="3"/>
        <charset val="134"/>
      </rPr>
      <t>容积率</t>
    </r>
    <phoneticPr fontId="76" type="noConversion"/>
  </si>
  <si>
    <r>
      <rPr>
        <sz val="10"/>
        <rFont val="宋体"/>
        <family val="3"/>
        <charset val="134"/>
      </rPr>
      <t>楼层</t>
    </r>
    <phoneticPr fontId="6" type="noConversion"/>
  </si>
  <si>
    <r>
      <rPr>
        <sz val="10"/>
        <rFont val="宋体"/>
        <family val="3"/>
        <charset val="134"/>
      </rPr>
      <t>（地上）</t>
    </r>
    <phoneticPr fontId="6"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</si>
  <si>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</si>
  <si>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</si>
  <si>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6" type="noConversion"/>
  </si>
  <si>
    <r>
      <rPr>
        <b/>
        <sz val="11"/>
        <rFont val="宋体"/>
        <family val="3"/>
        <charset val="134"/>
      </rPr>
      <t>适用的楼面熟地价</t>
    </r>
    <phoneticPr fontId="6" type="noConversion"/>
  </si>
  <si>
    <r>
      <rPr>
        <sz val="11"/>
        <color theme="1"/>
        <rFont val="宋体"/>
        <family val="3"/>
        <charset val="134"/>
      </rPr>
      <t>五级</t>
    </r>
  </si>
  <si>
    <r>
      <rPr>
        <b/>
        <sz val="10"/>
        <rFont val="宋体"/>
        <family val="3"/>
        <charset val="134"/>
      </rPr>
      <t>适用的楼面熟地价</t>
    </r>
    <phoneticPr fontId="6" type="noConversion"/>
  </si>
  <si>
    <r>
      <rPr>
        <sz val="10"/>
        <color indexed="10"/>
        <rFont val="宋体"/>
        <family val="3"/>
        <charset val="134"/>
      </rPr>
      <t>依据《北京市区片基准地价表》，能否通过用途和级别筛选？</t>
    </r>
    <phoneticPr fontId="6" type="noConversion"/>
  </si>
  <si>
    <r>
      <rPr>
        <sz val="11"/>
        <color theme="1"/>
        <rFont val="宋体"/>
        <family val="3"/>
        <charset val="134"/>
      </rPr>
      <t>六级</t>
    </r>
  </si>
  <si>
    <r>
      <rPr>
        <b/>
        <sz val="10"/>
        <rFont val="宋体"/>
        <family val="3"/>
        <charset val="134"/>
      </rPr>
      <t>商业路线价修正（商业用途）</t>
    </r>
    <phoneticPr fontId="6" type="noConversion"/>
  </si>
  <si>
    <r>
      <rPr>
        <sz val="10"/>
        <rFont val="宋体"/>
        <family val="3"/>
        <charset val="134"/>
      </rPr>
      <t>宗地深度（米）</t>
    </r>
    <phoneticPr fontId="6" type="noConversion"/>
  </si>
  <si>
    <r>
      <rPr>
        <sz val="11"/>
        <color theme="1"/>
        <rFont val="宋体"/>
        <family val="3"/>
        <charset val="134"/>
      </rPr>
      <t>七级</t>
    </r>
  </si>
  <si>
    <r>
      <rPr>
        <sz val="10"/>
        <rFont val="宋体"/>
        <family val="3"/>
        <charset val="134"/>
      </rPr>
      <t>估价对象级别</t>
    </r>
    <phoneticPr fontId="6" type="noConversion"/>
  </si>
  <si>
    <r>
      <rPr>
        <sz val="10"/>
        <rFont val="宋体"/>
        <family val="3"/>
        <charset val="134"/>
      </rPr>
      <t>容积率</t>
    </r>
    <phoneticPr fontId="6" type="noConversion"/>
  </si>
  <si>
    <r>
      <rPr>
        <sz val="10"/>
        <rFont val="宋体"/>
        <family val="3"/>
        <charset val="134"/>
      </rPr>
      <t>所在商业街</t>
    </r>
    <phoneticPr fontId="6"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</si>
  <si>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6"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</si>
  <si>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</si>
  <si>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6" type="noConversion"/>
  </si>
  <si>
    <r>
      <rPr>
        <sz val="10"/>
        <color theme="1"/>
        <rFont val="宋体"/>
        <family val="3"/>
        <charset val="134"/>
      </rPr>
      <t>一级</t>
    </r>
    <phoneticPr fontId="6" type="noConversion"/>
  </si>
  <si>
    <r>
      <rPr>
        <sz val="10"/>
        <color theme="1"/>
        <rFont val="宋体"/>
        <family val="3"/>
        <charset val="134"/>
      </rPr>
      <t>二级</t>
    </r>
    <phoneticPr fontId="6" type="noConversion"/>
  </si>
  <si>
    <r>
      <rPr>
        <sz val="10"/>
        <color theme="1"/>
        <rFont val="宋体"/>
        <family val="3"/>
        <charset val="134"/>
      </rPr>
      <t>三级</t>
    </r>
    <phoneticPr fontId="6" type="noConversion"/>
  </si>
  <si>
    <r>
      <rPr>
        <sz val="10"/>
        <color theme="1"/>
        <rFont val="宋体"/>
        <family val="3"/>
        <charset val="134"/>
      </rPr>
      <t>四级</t>
    </r>
    <phoneticPr fontId="6" type="noConversion"/>
  </si>
  <si>
    <r>
      <rPr>
        <sz val="10"/>
        <color theme="1"/>
        <rFont val="宋体"/>
        <family val="3"/>
        <charset val="134"/>
      </rPr>
      <t>五级</t>
    </r>
    <phoneticPr fontId="6" type="noConversion"/>
  </si>
  <si>
    <r>
      <rPr>
        <sz val="10"/>
        <color theme="1"/>
        <rFont val="宋体"/>
        <family val="3"/>
        <charset val="134"/>
      </rPr>
      <t>六级</t>
    </r>
    <phoneticPr fontId="6" type="noConversion"/>
  </si>
  <si>
    <r>
      <rPr>
        <sz val="10"/>
        <color theme="1"/>
        <rFont val="宋体"/>
        <family val="3"/>
        <charset val="134"/>
      </rPr>
      <t>七级</t>
    </r>
    <phoneticPr fontId="6" type="noConversion"/>
  </si>
  <si>
    <r>
      <rPr>
        <sz val="10"/>
        <color theme="1"/>
        <rFont val="宋体"/>
        <family val="3"/>
        <charset val="134"/>
      </rPr>
      <t>八级</t>
    </r>
    <phoneticPr fontId="6" type="noConversion"/>
  </si>
  <si>
    <r>
      <rPr>
        <sz val="10"/>
        <color theme="1"/>
        <rFont val="宋体"/>
        <family val="3"/>
        <charset val="134"/>
      </rPr>
      <t>九级</t>
    </r>
    <phoneticPr fontId="6" type="noConversion"/>
  </si>
  <si>
    <r>
      <rPr>
        <sz val="10"/>
        <color theme="1"/>
        <rFont val="宋体"/>
        <family val="3"/>
        <charset val="134"/>
      </rPr>
      <t>十级</t>
    </r>
    <phoneticPr fontId="6" type="noConversion"/>
  </si>
  <si>
    <r>
      <rPr>
        <sz val="10"/>
        <color theme="1"/>
        <rFont val="宋体"/>
        <family val="3"/>
        <charset val="134"/>
      </rPr>
      <t>十一级</t>
    </r>
    <phoneticPr fontId="6" type="noConversion"/>
  </si>
  <si>
    <r>
      <rPr>
        <sz val="10"/>
        <color theme="1"/>
        <rFont val="宋体"/>
        <family val="3"/>
        <charset val="134"/>
      </rPr>
      <t>十二级</t>
    </r>
    <phoneticPr fontId="6" type="noConversion"/>
  </si>
  <si>
    <r>
      <rPr>
        <sz val="10"/>
        <rFont val="宋体"/>
        <family val="3"/>
        <charset val="134"/>
      </rPr>
      <t>加价幅度</t>
    </r>
    <phoneticPr fontId="6"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</si>
  <si>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6"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</si>
  <si>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</si>
  <si>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6" type="noConversion"/>
  </si>
  <si>
    <r>
      <t>7</t>
    </r>
    <r>
      <rPr>
        <sz val="10"/>
        <color theme="1"/>
        <rFont val="宋体"/>
        <family val="3"/>
        <charset val="134"/>
      </rPr>
      <t>层及以上</t>
    </r>
    <phoneticPr fontId="6" type="noConversion"/>
  </si>
  <si>
    <r>
      <rPr>
        <sz val="10"/>
        <rFont val="宋体"/>
        <family val="3"/>
        <charset val="134"/>
      </rPr>
      <t>标准深度（米）</t>
    </r>
    <phoneticPr fontId="6"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</si>
  <si>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6" type="noConversion"/>
  </si>
  <si>
    <r>
      <rPr>
        <sz val="11"/>
        <color theme="1"/>
        <rFont val="宋体"/>
        <family val="3"/>
        <charset val="134"/>
      </rPr>
      <t>十级</t>
    </r>
  </si>
  <si>
    <r>
      <t>1/4</t>
    </r>
    <r>
      <rPr>
        <sz val="10"/>
        <rFont val="宋体"/>
        <family val="3"/>
        <charset val="134"/>
      </rPr>
      <t>标准深度</t>
    </r>
    <phoneticPr fontId="6"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</si>
  <si>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6" type="noConversion"/>
  </si>
  <si>
    <r>
      <rPr>
        <sz val="11"/>
        <color theme="1"/>
        <rFont val="宋体"/>
        <family val="3"/>
        <charset val="134"/>
      </rPr>
      <t>十一级</t>
    </r>
  </si>
  <si>
    <r>
      <rPr>
        <sz val="10"/>
        <rFont val="宋体"/>
        <family val="3"/>
        <charset val="134"/>
      </rPr>
      <t>商业</t>
    </r>
    <r>
      <rPr>
        <sz val="10"/>
        <rFont val="Arial"/>
        <family val="2"/>
      </rPr>
      <t>R&lt;1</t>
    </r>
    <phoneticPr fontId="6" type="noConversion"/>
  </si>
  <si>
    <r>
      <rPr>
        <sz val="10"/>
        <rFont val="宋体"/>
        <family val="3"/>
        <charset val="134"/>
      </rPr>
      <t>容积率</t>
    </r>
    <phoneticPr fontId="6" type="noConversion"/>
  </si>
  <si>
    <r>
      <rPr>
        <b/>
        <sz val="10"/>
        <rFont val="宋体"/>
        <family val="3"/>
        <charset val="134"/>
      </rPr>
      <t>特殊情况修正（居住用途）</t>
    </r>
    <phoneticPr fontId="6" type="noConversion"/>
  </si>
  <si>
    <r>
      <rPr>
        <sz val="10"/>
        <rFont val="宋体"/>
        <family val="3"/>
        <charset val="134"/>
      </rPr>
      <t>需根据项目情况调整公式修正项</t>
    </r>
    <phoneticPr fontId="6"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</si>
  <si>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</si>
  <si>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6" type="noConversion"/>
  </si>
  <si>
    <r>
      <rPr>
        <sz val="10"/>
        <color indexed="8"/>
        <rFont val="宋体"/>
        <family val="3"/>
        <charset val="134"/>
      </rPr>
      <t>特殊情况</t>
    </r>
    <phoneticPr fontId="6" type="noConversion"/>
  </si>
  <si>
    <r>
      <rPr>
        <sz val="10"/>
        <color indexed="8"/>
        <rFont val="宋体"/>
        <family val="3"/>
        <charset val="134"/>
      </rPr>
      <t>公园</t>
    </r>
    <phoneticPr fontId="6" type="noConversion"/>
  </si>
  <si>
    <r>
      <rPr>
        <sz val="10"/>
        <color indexed="8"/>
        <rFont val="宋体"/>
        <family val="3"/>
        <charset val="134"/>
      </rPr>
      <t>水系</t>
    </r>
    <phoneticPr fontId="6" type="noConversion"/>
  </si>
  <si>
    <r>
      <rPr>
        <sz val="10"/>
        <color indexed="8"/>
        <rFont val="宋体"/>
        <family val="3"/>
        <charset val="134"/>
      </rPr>
      <t>中小学名校</t>
    </r>
    <phoneticPr fontId="6" type="noConversion"/>
  </si>
  <si>
    <r>
      <rPr>
        <sz val="10"/>
        <color indexed="8"/>
        <rFont val="宋体"/>
        <family val="3"/>
        <charset val="134"/>
      </rPr>
      <t>轨道交通站点周边</t>
    </r>
    <phoneticPr fontId="6" type="noConversion"/>
  </si>
  <si>
    <r>
      <rPr>
        <sz val="10"/>
        <rFont val="宋体"/>
        <family val="3"/>
        <charset val="134"/>
      </rPr>
      <t>无</t>
    </r>
    <phoneticPr fontId="76"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</si>
  <si>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</si>
  <si>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6" type="noConversion"/>
  </si>
  <si>
    <r>
      <rPr>
        <sz val="10"/>
        <color indexed="8"/>
        <rFont val="宋体"/>
        <family val="3"/>
        <charset val="134"/>
      </rPr>
      <t>修正系数</t>
    </r>
    <phoneticPr fontId="6" type="noConversion"/>
  </si>
  <si>
    <r>
      <rPr>
        <sz val="10"/>
        <rFont val="宋体"/>
        <family val="3"/>
        <charset val="134"/>
      </rPr>
      <t>用途</t>
    </r>
    <phoneticPr fontId="6" type="noConversion"/>
  </si>
  <si>
    <r>
      <rPr>
        <sz val="10"/>
        <rFont val="宋体"/>
        <family val="3"/>
        <charset val="134"/>
      </rPr>
      <t>商业</t>
    </r>
    <phoneticPr fontId="6" type="noConversion"/>
  </si>
  <si>
    <r>
      <rPr>
        <sz val="10"/>
        <rFont val="宋体"/>
        <family val="3"/>
        <charset val="134"/>
      </rPr>
      <t>办公</t>
    </r>
    <phoneticPr fontId="6" type="noConversion"/>
  </si>
  <si>
    <r>
      <rPr>
        <sz val="10"/>
        <rFont val="宋体"/>
        <family val="3"/>
        <charset val="134"/>
      </rPr>
      <t>住宅</t>
    </r>
    <phoneticPr fontId="6" type="noConversion"/>
  </si>
  <si>
    <r>
      <rPr>
        <sz val="10"/>
        <rFont val="宋体"/>
        <family val="3"/>
        <charset val="134"/>
      </rPr>
      <t>工业</t>
    </r>
    <phoneticPr fontId="6" type="noConversion"/>
  </si>
  <si>
    <r>
      <rPr>
        <b/>
        <sz val="10"/>
        <rFont val="宋体"/>
        <family val="3"/>
        <charset val="134"/>
      </rPr>
      <t>开发程度差异修正</t>
    </r>
    <phoneticPr fontId="6" type="noConversion"/>
  </si>
  <si>
    <r>
      <rPr>
        <sz val="10"/>
        <rFont val="宋体"/>
        <family val="3"/>
        <charset val="134"/>
      </rPr>
      <t>估价对象开发程度</t>
    </r>
    <phoneticPr fontId="6" type="noConversion"/>
  </si>
  <si>
    <r>
      <rPr>
        <sz val="10"/>
        <rFont val="宋体"/>
        <family val="3"/>
        <charset val="134"/>
      </rPr>
      <t>上浮比率</t>
    </r>
    <phoneticPr fontId="6" type="noConversion"/>
  </si>
  <si>
    <r>
      <rPr>
        <sz val="10"/>
        <rFont val="宋体"/>
        <family val="3"/>
        <charset val="134"/>
      </rPr>
      <t>级别平均容积率</t>
    </r>
    <phoneticPr fontId="6" type="noConversion"/>
  </si>
  <si>
    <r>
      <rPr>
        <sz val="10"/>
        <rFont val="宋体"/>
        <family val="3"/>
        <charset val="134"/>
      </rPr>
      <t>级别开发程度</t>
    </r>
    <phoneticPr fontId="6" type="noConversion"/>
  </si>
  <si>
    <r>
      <rPr>
        <sz val="10"/>
        <rFont val="宋体"/>
        <family val="3"/>
        <charset val="134"/>
      </rPr>
      <t>土地还原率</t>
    </r>
    <phoneticPr fontId="6" type="noConversion"/>
  </si>
  <si>
    <r>
      <rPr>
        <b/>
        <sz val="11"/>
        <rFont val="宋体"/>
        <family val="3"/>
        <charset val="134"/>
      </rPr>
      <t>二、</t>
    </r>
    <phoneticPr fontId="6" type="noConversion"/>
  </si>
  <si>
    <r>
      <rPr>
        <b/>
        <sz val="11"/>
        <rFont val="宋体"/>
        <family val="3"/>
        <charset val="134"/>
      </rPr>
      <t>用途修正系数</t>
    </r>
    <phoneticPr fontId="6" type="noConversion"/>
  </si>
  <si>
    <r>
      <rPr>
        <b/>
        <sz val="11"/>
        <rFont val="宋体"/>
        <family val="3"/>
        <charset val="134"/>
      </rPr>
      <t>三、</t>
    </r>
    <phoneticPr fontId="6" type="noConversion"/>
  </si>
  <si>
    <r>
      <rPr>
        <b/>
        <sz val="11"/>
        <rFont val="宋体"/>
        <family val="3"/>
        <charset val="134"/>
      </rPr>
      <t>期日修正指数</t>
    </r>
    <phoneticPr fontId="6" type="noConversion"/>
  </si>
  <si>
    <r>
      <rPr>
        <sz val="11"/>
        <rFont val="宋体"/>
        <family val="3"/>
        <charset val="134"/>
      </rPr>
      <t>基准期日</t>
    </r>
    <phoneticPr fontId="6" type="noConversion"/>
  </si>
  <si>
    <r>
      <rPr>
        <sz val="11"/>
        <rFont val="宋体"/>
        <family val="3"/>
        <charset val="134"/>
      </rPr>
      <t>估价期日</t>
    </r>
    <phoneticPr fontId="6" type="noConversion"/>
  </si>
  <si>
    <r>
      <rPr>
        <sz val="11"/>
        <rFont val="宋体"/>
        <family val="3"/>
        <charset val="134"/>
      </rPr>
      <t>基准日地价指数</t>
    </r>
    <phoneticPr fontId="6" type="noConversion"/>
  </si>
  <si>
    <r>
      <rPr>
        <sz val="10"/>
        <rFont val="宋体"/>
        <family val="3"/>
        <charset val="134"/>
      </rPr>
      <t>相差季度数</t>
    </r>
    <phoneticPr fontId="76" type="noConversion"/>
  </si>
  <si>
    <r>
      <rPr>
        <b/>
        <sz val="11"/>
        <rFont val="宋体"/>
        <family val="3"/>
        <charset val="134"/>
      </rPr>
      <t>四、</t>
    </r>
    <phoneticPr fontId="6" type="noConversion"/>
  </si>
  <si>
    <r>
      <rPr>
        <b/>
        <sz val="11"/>
        <rFont val="宋体"/>
        <family val="3"/>
        <charset val="134"/>
      </rPr>
      <t>年期修正系数</t>
    </r>
    <phoneticPr fontId="6" type="noConversion"/>
  </si>
  <si>
    <r>
      <rPr>
        <sz val="10"/>
        <rFont val="宋体"/>
        <family val="3"/>
        <charset val="134"/>
      </rPr>
      <t>现行一年期贷款利率</t>
    </r>
    <phoneticPr fontId="6" type="noConversion"/>
  </si>
  <si>
    <r>
      <rPr>
        <sz val="10"/>
        <rFont val="宋体"/>
        <family val="3"/>
        <charset val="134"/>
      </rPr>
      <t>剩余使用年限</t>
    </r>
    <phoneticPr fontId="6" type="noConversion"/>
  </si>
  <si>
    <r>
      <rPr>
        <sz val="11"/>
        <rFont val="宋体"/>
        <family val="3"/>
        <charset val="134"/>
      </rPr>
      <t>所在季度地价指数</t>
    </r>
    <phoneticPr fontId="6" type="noConversion"/>
  </si>
  <si>
    <r>
      <rPr>
        <sz val="11"/>
        <rFont val="宋体"/>
        <family val="3"/>
        <charset val="134"/>
      </rPr>
      <t>季度增幅</t>
    </r>
    <phoneticPr fontId="6" type="noConversion"/>
  </si>
  <si>
    <r>
      <rPr>
        <sz val="11"/>
        <rFont val="宋体"/>
        <family val="3"/>
        <charset val="134"/>
      </rPr>
      <t>自定义涨幅</t>
    </r>
    <phoneticPr fontId="6" type="noConversion"/>
  </si>
  <si>
    <r>
      <rPr>
        <sz val="11"/>
        <rFont val="宋体"/>
        <family val="3"/>
        <charset val="134"/>
      </rPr>
      <t>平均季度涨幅（公示）</t>
    </r>
    <phoneticPr fontId="6" type="noConversion"/>
  </si>
  <si>
    <r>
      <rPr>
        <b/>
        <sz val="11"/>
        <rFont val="宋体"/>
        <family val="3"/>
        <charset val="134"/>
      </rPr>
      <t>五、</t>
    </r>
    <phoneticPr fontId="6" type="noConversion"/>
  </si>
  <si>
    <r>
      <rPr>
        <sz val="11"/>
        <rFont val="宋体"/>
        <family val="3"/>
        <charset val="134"/>
      </rPr>
      <t>商业</t>
    </r>
    <phoneticPr fontId="6" type="noConversion"/>
  </si>
  <si>
    <r>
      <rPr>
        <sz val="11"/>
        <rFont val="宋体"/>
        <family val="3"/>
        <charset val="134"/>
      </rPr>
      <t>容积率修正系数</t>
    </r>
    <phoneticPr fontId="6" type="noConversion"/>
  </si>
  <si>
    <r>
      <t>R</t>
    </r>
    <r>
      <rPr>
        <sz val="11"/>
        <rFont val="宋体"/>
        <family val="3"/>
        <charset val="134"/>
      </rPr>
      <t>≤</t>
    </r>
    <r>
      <rPr>
        <sz val="11"/>
        <rFont val="Arial"/>
        <family val="2"/>
      </rPr>
      <t>10</t>
    </r>
    <phoneticPr fontId="6" type="noConversion"/>
  </si>
  <si>
    <r>
      <rPr>
        <sz val="11"/>
        <rFont val="宋体"/>
        <family val="3"/>
        <charset val="134"/>
      </rPr>
      <t>办公</t>
    </r>
    <phoneticPr fontId="6" type="noConversion"/>
  </si>
  <si>
    <r>
      <rPr>
        <sz val="11"/>
        <rFont val="宋体"/>
        <family val="3"/>
        <charset val="134"/>
      </rPr>
      <t>楼层修正系数（商业）</t>
    </r>
    <phoneticPr fontId="6" type="noConversion"/>
  </si>
  <si>
    <r>
      <rPr>
        <sz val="11"/>
        <rFont val="宋体"/>
        <family val="3"/>
        <charset val="134"/>
      </rPr>
      <t>住宅</t>
    </r>
  </si>
  <si>
    <r>
      <rPr>
        <b/>
        <sz val="11"/>
        <rFont val="宋体"/>
        <family val="3"/>
        <charset val="134"/>
      </rPr>
      <t>六、</t>
    </r>
    <phoneticPr fontId="6" type="noConversion"/>
  </si>
  <si>
    <r>
      <rPr>
        <b/>
        <sz val="11"/>
        <rFont val="宋体"/>
        <family val="3"/>
        <charset val="134"/>
      </rPr>
      <t>因素修正系数</t>
    </r>
    <phoneticPr fontId="6" type="noConversion"/>
  </si>
  <si>
    <r>
      <rPr>
        <sz val="11"/>
        <rFont val="宋体"/>
        <family val="3"/>
        <charset val="134"/>
      </rPr>
      <t>工业</t>
    </r>
  </si>
  <si>
    <r>
      <rPr>
        <b/>
        <sz val="11"/>
        <rFont val="宋体"/>
        <family val="3"/>
        <charset val="134"/>
      </rPr>
      <t>七、</t>
    </r>
    <phoneticPr fontId="6" type="noConversion"/>
  </si>
  <si>
    <r>
      <rPr>
        <b/>
        <sz val="11"/>
        <rFont val="宋体"/>
        <family val="3"/>
        <charset val="134"/>
      </rPr>
      <t>估算结果</t>
    </r>
    <phoneticPr fontId="6" type="noConversion"/>
  </si>
  <si>
    <r>
      <rPr>
        <sz val="11"/>
        <rFont val="宋体"/>
        <family val="3"/>
        <charset val="134"/>
      </rPr>
      <t>综合</t>
    </r>
    <phoneticPr fontId="6"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</si>
  <si>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</si>
  <si>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</si>
  <si>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6" type="noConversion"/>
  </si>
  <si>
    <r>
      <rPr>
        <b/>
        <sz val="11"/>
        <rFont val="宋体"/>
        <family val="3"/>
        <charset val="134"/>
      </rPr>
      <t>单价</t>
    </r>
    <phoneticPr fontId="6" type="noConversion"/>
  </si>
  <si>
    <r>
      <rPr>
        <b/>
        <sz val="11"/>
        <rFont val="宋体"/>
        <family val="3"/>
        <charset val="134"/>
      </rPr>
      <t>建筑面积</t>
    </r>
    <phoneticPr fontId="6" type="noConversion"/>
  </si>
  <si>
    <r>
      <rPr>
        <b/>
        <sz val="11"/>
        <rFont val="宋体"/>
        <family val="3"/>
        <charset val="134"/>
      </rPr>
      <t>总额</t>
    </r>
    <phoneticPr fontId="6" type="noConversion"/>
  </si>
  <si>
    <r>
      <rPr>
        <sz val="10"/>
        <rFont val="宋体"/>
        <family val="3"/>
        <charset val="134"/>
      </rPr>
      <t>地上部分</t>
    </r>
    <r>
      <rPr>
        <sz val="10"/>
        <rFont val="Arial"/>
        <family val="2"/>
      </rPr>
      <t>——</t>
    </r>
    <r>
      <rPr>
        <sz val="10"/>
        <rFont val="宋体"/>
        <family val="3"/>
        <charset val="134"/>
      </rPr>
      <t>楼面熟地价</t>
    </r>
    <phoneticPr fontId="6"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</si>
  <si>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6" type="noConversion"/>
  </si>
  <si>
    <r>
      <rPr>
        <sz val="10"/>
        <rFont val="宋体"/>
        <family val="3"/>
        <charset val="134"/>
      </rPr>
      <t>地上部分</t>
    </r>
    <r>
      <rPr>
        <sz val="10"/>
        <rFont val="Arial"/>
        <family val="2"/>
      </rPr>
      <t>——</t>
    </r>
    <r>
      <rPr>
        <sz val="10"/>
        <rFont val="宋体"/>
        <family val="3"/>
        <charset val="134"/>
      </rPr>
      <t>政府土地出让收益</t>
    </r>
    <phoneticPr fontId="6"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</si>
  <si>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6" type="noConversion"/>
  </si>
  <si>
    <r>
      <rPr>
        <b/>
        <sz val="10"/>
        <rFont val="宋体"/>
        <family val="3"/>
        <charset val="134"/>
      </rPr>
      <t>地下部分</t>
    </r>
    <phoneticPr fontId="6"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</si>
  <si>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6"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</si>
  <si>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</si>
  <si>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</si>
  <si>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b/>
        <sz val="10"/>
        <color rgb="FFFF0000"/>
        <rFont val="宋体"/>
        <family val="3"/>
        <charset val="134"/>
      </rPr>
      <t>地下商业不考虑路线价修正</t>
    </r>
    <phoneticPr fontId="6"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</si>
  <si>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</si>
  <si>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</si>
  <si>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</si>
  <si>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6" type="noConversion"/>
  </si>
  <si>
    <r>
      <rPr>
        <sz val="10"/>
        <color theme="1"/>
        <rFont val="宋体"/>
        <family val="3"/>
        <charset val="134"/>
      </rPr>
      <t>地下办公</t>
    </r>
    <phoneticPr fontId="6" type="noConversion"/>
  </si>
  <si>
    <r>
      <rPr>
        <sz val="10"/>
        <rFont val="宋体"/>
        <family val="3"/>
        <charset val="134"/>
      </rPr>
      <t>政府土地出让收益比例</t>
    </r>
    <phoneticPr fontId="76" type="noConversion"/>
  </si>
  <si>
    <r>
      <rPr>
        <sz val="10"/>
        <color theme="1"/>
        <rFont val="宋体"/>
        <family val="3"/>
        <charset val="134"/>
      </rPr>
      <t>地下仓储</t>
    </r>
    <phoneticPr fontId="6"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</si>
  <si>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6" type="noConversion"/>
  </si>
  <si>
    <r>
      <rPr>
        <sz val="10"/>
        <color theme="1"/>
        <rFont val="宋体"/>
        <family val="3"/>
        <charset val="134"/>
      </rPr>
      <t>地下车库</t>
    </r>
    <phoneticPr fontId="6" type="noConversion"/>
  </si>
  <si>
    <r>
      <rPr>
        <b/>
        <sz val="11"/>
        <color rgb="FFFF0000"/>
        <rFont val="宋体"/>
        <family val="3"/>
        <charset val="134"/>
      </rPr>
      <t>结果不可超过《北京市区片基准地价因素总修正幅度表》所列修正幅度；依据估价对象用途调整链接</t>
    </r>
    <phoneticPr fontId="6" type="noConversion"/>
  </si>
  <si>
    <r>
      <rPr>
        <b/>
        <sz val="11"/>
        <color rgb="FFFF0000"/>
        <rFont val="宋体"/>
        <family val="3"/>
        <charset val="134"/>
      </rPr>
      <t>商业</t>
    </r>
    <phoneticPr fontId="6" type="noConversion"/>
  </si>
  <si>
    <r>
      <rPr>
        <sz val="10"/>
        <color theme="1"/>
        <rFont val="宋体"/>
        <family val="3"/>
        <charset val="134"/>
      </rPr>
      <t>影响因素</t>
    </r>
    <phoneticPr fontId="6" type="noConversion"/>
  </si>
  <si>
    <r>
      <rPr>
        <sz val="10"/>
        <color theme="1"/>
        <rFont val="宋体"/>
        <family val="3"/>
        <charset val="134"/>
      </rPr>
      <t>情况说明</t>
    </r>
    <phoneticPr fontId="6" type="noConversion"/>
  </si>
  <si>
    <r>
      <rPr>
        <sz val="10"/>
        <color theme="1"/>
        <rFont val="宋体"/>
        <family val="3"/>
        <charset val="134"/>
      </rPr>
      <t>等级</t>
    </r>
    <phoneticPr fontId="6" type="noConversion"/>
  </si>
  <si>
    <r>
      <rPr>
        <sz val="10"/>
        <color indexed="8"/>
        <rFont val="宋体"/>
        <family val="3"/>
        <charset val="134"/>
      </rPr>
      <t>修正幅度</t>
    </r>
    <phoneticPr fontId="6" type="noConversion"/>
  </si>
  <si>
    <r>
      <rPr>
        <sz val="10"/>
        <rFont val="宋体"/>
        <family val="3"/>
        <charset val="134"/>
      </rPr>
      <t>合计</t>
    </r>
    <phoneticPr fontId="6" type="noConversion"/>
  </si>
  <si>
    <r>
      <rPr>
        <sz val="10"/>
        <rFont val="宋体"/>
        <family val="3"/>
        <charset val="134"/>
      </rPr>
      <t>幅度控制</t>
    </r>
    <r>
      <rPr>
        <sz val="10"/>
        <rFont val="Arial"/>
        <family val="2"/>
      </rPr>
      <t>(±)</t>
    </r>
    <phoneticPr fontId="6" type="noConversion"/>
  </si>
  <si>
    <r>
      <rPr>
        <sz val="10"/>
        <color indexed="8"/>
        <rFont val="宋体"/>
        <family val="3"/>
        <charset val="134"/>
      </rPr>
      <t>修正系数</t>
    </r>
    <phoneticPr fontId="76" type="noConversion"/>
  </si>
  <si>
    <r>
      <rPr>
        <sz val="10"/>
        <color rgb="FFFF0000"/>
        <rFont val="宋体"/>
        <family val="3"/>
        <charset val="134"/>
      </rPr>
      <t>各因素幅度控制</t>
    </r>
    <r>
      <rPr>
        <sz val="10"/>
        <color rgb="FFFF0000"/>
        <rFont val="Arial"/>
        <family val="2"/>
      </rPr>
      <t>(±)</t>
    </r>
    <phoneticPr fontId="6" type="noConversion"/>
  </si>
  <si>
    <r>
      <rPr>
        <sz val="10"/>
        <color indexed="8"/>
        <rFont val="宋体"/>
        <family val="3"/>
        <charset val="134"/>
      </rPr>
      <t>权重</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</si>
  <si>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</si>
  <si>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</si>
  <si>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</si>
  <si>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</si>
  <si>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</si>
  <si>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t xml:space="preserve"> </t>
    </r>
    <r>
      <rPr>
        <sz val="10"/>
        <color theme="1"/>
        <rFont val="宋体"/>
        <family val="3"/>
        <charset val="134"/>
      </rPr>
      <t>商业繁华程度</t>
    </r>
    <phoneticPr fontId="6" type="noConversion"/>
  </si>
  <si>
    <r>
      <rPr>
        <sz val="10"/>
        <color theme="1"/>
        <rFont val="宋体"/>
        <family val="3"/>
        <charset val="134"/>
      </rPr>
      <t>交通便捷度</t>
    </r>
    <phoneticPr fontId="6" type="noConversion"/>
  </si>
  <si>
    <r>
      <rPr>
        <sz val="10"/>
        <color theme="1"/>
        <rFont val="宋体"/>
        <family val="3"/>
        <charset val="134"/>
      </rPr>
      <t>区域土地利用方向</t>
    </r>
    <phoneticPr fontId="6" type="noConversion"/>
  </si>
  <si>
    <r>
      <rPr>
        <sz val="10"/>
        <color theme="1"/>
        <rFont val="宋体"/>
        <family val="3"/>
        <charset val="134"/>
      </rPr>
      <t>临街宽度和深度</t>
    </r>
    <phoneticPr fontId="6"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</si>
  <si>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6" type="noConversion"/>
  </si>
  <si>
    <r>
      <rPr>
        <sz val="10"/>
        <color theme="1"/>
        <rFont val="宋体"/>
        <family val="3"/>
        <charset val="134"/>
      </rPr>
      <t>临街道路状况</t>
    </r>
    <phoneticPr fontId="6" type="noConversion"/>
  </si>
  <si>
    <r>
      <rPr>
        <sz val="10"/>
        <color theme="1"/>
        <rFont val="宋体"/>
        <family val="3"/>
        <charset val="134"/>
      </rPr>
      <t>宗地形状及可利用程度</t>
    </r>
    <phoneticPr fontId="6" type="noConversion"/>
  </si>
  <si>
    <r>
      <rPr>
        <sz val="10"/>
        <color theme="9" tint="-0.249977111117893"/>
        <rFont val="宋体"/>
        <family val="3"/>
        <charset val="134"/>
      </rPr>
      <t>宗地形状？，但对宗地利用影响？</t>
    </r>
    <phoneticPr fontId="6" type="noConversion"/>
  </si>
  <si>
    <r>
      <rPr>
        <sz val="10"/>
        <color theme="1"/>
        <rFont val="宋体"/>
        <family val="3"/>
        <charset val="134"/>
      </rPr>
      <t>公共服务设施状况</t>
    </r>
    <phoneticPr fontId="6" type="noConversion"/>
  </si>
  <si>
    <r>
      <rPr>
        <sz val="10"/>
        <color theme="1"/>
        <rFont val="宋体"/>
        <family val="3"/>
        <charset val="134"/>
      </rPr>
      <t>基础设施完备状况</t>
    </r>
    <phoneticPr fontId="6" type="noConversion"/>
  </si>
  <si>
    <r>
      <rPr>
        <sz val="10"/>
        <color theme="1"/>
        <rFont val="宋体"/>
        <family val="3"/>
        <charset val="134"/>
      </rPr>
      <t>自然和人文环境状况</t>
    </r>
    <phoneticPr fontId="6" type="noConversion"/>
  </si>
  <si>
    <r>
      <rPr>
        <b/>
        <sz val="11"/>
        <color rgb="FFFF0000"/>
        <rFont val="宋体"/>
        <family val="3"/>
        <charset val="134"/>
      </rPr>
      <t>办公</t>
    </r>
    <phoneticPr fontId="6" type="noConversion"/>
  </si>
  <si>
    <r>
      <rPr>
        <sz val="10"/>
        <color indexed="8"/>
        <rFont val="宋体"/>
        <family val="3"/>
        <charset val="134"/>
      </rPr>
      <t>修正系数</t>
    </r>
    <phoneticPr fontId="76" type="noConversion"/>
  </si>
  <si>
    <r>
      <rPr>
        <sz val="10"/>
        <color rgb="FFFF0000"/>
        <rFont val="宋体"/>
        <family val="3"/>
        <charset val="134"/>
      </rPr>
      <t>各因素幅度控制</t>
    </r>
    <r>
      <rPr>
        <sz val="10"/>
        <color rgb="FFFF0000"/>
        <rFont val="Arial"/>
        <family val="2"/>
      </rPr>
      <t>(±)</t>
    </r>
    <phoneticPr fontId="6" type="noConversion"/>
  </si>
  <si>
    <r>
      <rPr>
        <sz val="10"/>
        <color indexed="8"/>
        <rFont val="宋体"/>
        <family val="3"/>
        <charset val="134"/>
      </rPr>
      <t>权重</t>
    </r>
    <phoneticPr fontId="6" type="noConversion"/>
  </si>
  <si>
    <r>
      <rPr>
        <sz val="10"/>
        <color theme="1"/>
        <rFont val="宋体"/>
        <family val="3"/>
        <charset val="134"/>
      </rPr>
      <t>办公集聚程度</t>
    </r>
    <phoneticPr fontId="6" type="noConversion"/>
  </si>
  <si>
    <r>
      <rPr>
        <b/>
        <sz val="11"/>
        <color rgb="FFFF0000"/>
        <rFont val="宋体"/>
        <family val="3"/>
        <charset val="134"/>
      </rPr>
      <t>住宅</t>
    </r>
    <phoneticPr fontId="6" type="noConversion"/>
  </si>
  <si>
    <r>
      <rPr>
        <sz val="10"/>
        <color theme="1"/>
        <rFont val="宋体"/>
        <family val="3"/>
        <charset val="134"/>
      </rPr>
      <t>居住社区成熟度</t>
    </r>
    <phoneticPr fontId="6" type="noConversion"/>
  </si>
  <si>
    <r>
      <rPr>
        <sz val="10"/>
        <color theme="1"/>
        <rFont val="宋体"/>
        <family val="3"/>
        <charset val="134"/>
      </rPr>
      <t>临路状况</t>
    </r>
    <phoneticPr fontId="6" type="noConversion"/>
  </si>
  <si>
    <r>
      <rPr>
        <sz val="10"/>
        <color theme="1"/>
        <rFont val="宋体"/>
        <family val="3"/>
        <charset val="134"/>
      </rPr>
      <t>与区域中心的接近程度</t>
    </r>
    <phoneticPr fontId="6" type="noConversion"/>
  </si>
  <si>
    <r>
      <rPr>
        <b/>
        <sz val="11"/>
        <color rgb="FFFF0000"/>
        <rFont val="宋体"/>
        <family val="3"/>
        <charset val="134"/>
      </rPr>
      <t>工业</t>
    </r>
    <phoneticPr fontId="6" type="noConversion"/>
  </si>
  <si>
    <r>
      <rPr>
        <sz val="10"/>
        <color theme="1"/>
        <rFont val="宋体"/>
        <family val="3"/>
        <charset val="134"/>
      </rPr>
      <t>产业集聚程度</t>
    </r>
    <phoneticPr fontId="6" type="noConversion"/>
  </si>
  <si>
    <r>
      <rPr>
        <sz val="10"/>
        <color theme="1"/>
        <rFont val="宋体"/>
        <family val="3"/>
        <charset val="134"/>
      </rPr>
      <t>环境状况</t>
    </r>
    <phoneticPr fontId="6" type="noConversion"/>
  </si>
  <si>
    <r>
      <rPr>
        <b/>
        <sz val="10"/>
        <color theme="1"/>
        <rFont val="宋体"/>
        <family val="3"/>
        <charset val="134"/>
      </rPr>
      <t>北京市基准地价商业用途楼层修正系数表</t>
    </r>
    <phoneticPr fontId="6" type="noConversion"/>
  </si>
  <si>
    <r>
      <rPr>
        <sz val="10"/>
        <color theme="1"/>
        <rFont val="宋体"/>
        <family val="3"/>
        <charset val="134"/>
      </rPr>
      <t>用途</t>
    </r>
    <phoneticPr fontId="6" type="noConversion"/>
  </si>
  <si>
    <r>
      <rPr>
        <sz val="10"/>
        <color theme="1"/>
        <rFont val="宋体"/>
        <family val="3"/>
        <charset val="134"/>
      </rPr>
      <t>所在楼层</t>
    </r>
    <phoneticPr fontId="6" type="noConversion"/>
  </si>
  <si>
    <r>
      <rPr>
        <sz val="10"/>
        <color theme="1"/>
        <rFont val="宋体"/>
        <family val="3"/>
        <charset val="134"/>
      </rPr>
      <t>楼层修正系数</t>
    </r>
    <phoneticPr fontId="6"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</si>
  <si>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6" type="noConversion"/>
  </si>
  <si>
    <r>
      <rPr>
        <sz val="10"/>
        <color theme="1"/>
        <rFont val="宋体"/>
        <family val="3"/>
        <charset val="134"/>
      </rPr>
      <t>商业</t>
    </r>
    <r>
      <rPr>
        <sz val="10"/>
        <color theme="1"/>
        <rFont val="Arial"/>
        <family val="2"/>
      </rPr>
      <t>R</t>
    </r>
    <r>
      <rPr>
        <sz val="10"/>
        <color indexed="8"/>
        <rFont val="Arial"/>
        <family val="2"/>
      </rPr>
      <t>&lt;1</t>
    </r>
    <phoneticPr fontId="6" type="noConversion"/>
  </si>
  <si>
    <r>
      <rPr>
        <sz val="10"/>
        <color theme="1"/>
        <rFont val="宋体"/>
        <family val="3"/>
        <charset val="134"/>
      </rPr>
      <t>容积率</t>
    </r>
    <phoneticPr fontId="6"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</si>
  <si>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6"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</si>
  <si>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6" type="noConversion"/>
  </si>
  <si>
    <r>
      <rPr>
        <sz val="10"/>
        <rFont val="宋体"/>
        <family val="3"/>
        <charset val="134"/>
      </rPr>
      <t>宗地容积率</t>
    </r>
    <r>
      <rPr>
        <sz val="10"/>
        <rFont val="Arial"/>
        <family val="2"/>
      </rPr>
      <t>R</t>
    </r>
    <phoneticPr fontId="6" type="noConversion"/>
  </si>
  <si>
    <r>
      <rPr>
        <sz val="10"/>
        <rFont val="宋体"/>
        <family val="3"/>
        <charset val="134"/>
      </rPr>
      <t>修正系数</t>
    </r>
    <phoneticPr fontId="6" type="noConversion"/>
  </si>
  <si>
    <r>
      <rPr>
        <sz val="10"/>
        <rFont val="宋体"/>
        <family val="3"/>
        <charset val="134"/>
      </rPr>
      <t>一级</t>
    </r>
    <phoneticPr fontId="6" type="noConversion"/>
  </si>
  <si>
    <r>
      <rPr>
        <sz val="10"/>
        <rFont val="宋体"/>
        <family val="3"/>
        <charset val="134"/>
      </rPr>
      <t>二级</t>
    </r>
    <phoneticPr fontId="6" type="noConversion"/>
  </si>
  <si>
    <r>
      <rPr>
        <sz val="10"/>
        <rFont val="宋体"/>
        <family val="3"/>
        <charset val="134"/>
      </rPr>
      <t>三级</t>
    </r>
    <phoneticPr fontId="6" type="noConversion"/>
  </si>
  <si>
    <r>
      <rPr>
        <sz val="10"/>
        <rFont val="宋体"/>
        <family val="3"/>
        <charset val="134"/>
      </rPr>
      <t>四级</t>
    </r>
    <phoneticPr fontId="6" type="noConversion"/>
  </si>
  <si>
    <r>
      <rPr>
        <sz val="10"/>
        <rFont val="宋体"/>
        <family val="3"/>
        <charset val="134"/>
      </rPr>
      <t>五级</t>
    </r>
    <phoneticPr fontId="6" type="noConversion"/>
  </si>
  <si>
    <r>
      <rPr>
        <sz val="10"/>
        <rFont val="宋体"/>
        <family val="3"/>
        <charset val="134"/>
      </rPr>
      <t>六级</t>
    </r>
    <phoneticPr fontId="6" type="noConversion"/>
  </si>
  <si>
    <r>
      <rPr>
        <sz val="10"/>
        <rFont val="宋体"/>
        <family val="3"/>
        <charset val="134"/>
      </rPr>
      <t>七级</t>
    </r>
    <phoneticPr fontId="6" type="noConversion"/>
  </si>
  <si>
    <r>
      <rPr>
        <sz val="10"/>
        <rFont val="宋体"/>
        <family val="3"/>
        <charset val="134"/>
      </rPr>
      <t>八级</t>
    </r>
    <phoneticPr fontId="6" type="noConversion"/>
  </si>
  <si>
    <r>
      <rPr>
        <sz val="10"/>
        <rFont val="宋体"/>
        <family val="3"/>
        <charset val="134"/>
      </rPr>
      <t>九级</t>
    </r>
    <phoneticPr fontId="6" type="noConversion"/>
  </si>
  <si>
    <r>
      <rPr>
        <sz val="10"/>
        <rFont val="宋体"/>
        <family val="3"/>
        <charset val="134"/>
      </rPr>
      <t>十级</t>
    </r>
    <phoneticPr fontId="6" type="noConversion"/>
  </si>
  <si>
    <r>
      <rPr>
        <sz val="10"/>
        <rFont val="宋体"/>
        <family val="3"/>
        <charset val="134"/>
      </rPr>
      <t>十一级</t>
    </r>
    <phoneticPr fontId="6" type="noConversion"/>
  </si>
  <si>
    <r>
      <rPr>
        <sz val="10"/>
        <rFont val="宋体"/>
        <family val="3"/>
        <charset val="134"/>
      </rPr>
      <t>十二级</t>
    </r>
    <phoneticPr fontId="6"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</si>
  <si>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6"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</si>
  <si>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6"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</si>
  <si>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6" type="noConversion"/>
  </si>
  <si>
    <t>2017-3</t>
    <phoneticPr fontId="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</si>
  <si>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8" type="noConversion"/>
  </si>
  <si>
    <t>本行不参与计算</t>
    <phoneticPr fontId="148" type="noConversion"/>
  </si>
  <si>
    <t>2017-4</t>
    <phoneticPr fontId="6"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</si>
  <si>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6"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</si>
  <si>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6" type="noConversion"/>
  </si>
  <si>
    <t>2018-1</t>
    <phoneticPr fontId="6"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</si>
  <si>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</si>
  <si>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6" type="noConversion"/>
  </si>
  <si>
    <t>2018-2</t>
    <phoneticPr fontId="6" type="noConversion"/>
  </si>
  <si>
    <t>2018-3</t>
    <phoneticPr fontId="6" type="noConversion"/>
  </si>
  <si>
    <t>苏海</t>
    <phoneticPr fontId="6" type="noConversion"/>
  </si>
  <si>
    <r>
      <rPr>
        <sz val="10"/>
        <rFont val="宋体"/>
        <family val="3"/>
        <charset val="134"/>
      </rPr>
      <t>土地还原率</t>
    </r>
    <phoneticPr fontId="6" type="noConversion"/>
  </si>
  <si>
    <r>
      <rPr>
        <sz val="10"/>
        <rFont val="宋体"/>
        <family val="3"/>
        <charset val="134"/>
      </rPr>
      <t>剩余使用年限</t>
    </r>
    <phoneticPr fontId="6" type="noConversion"/>
  </si>
  <si>
    <t>地下车库及仓储年期修正</t>
    <phoneticPr fontId="6" type="noConversion"/>
  </si>
  <si>
    <t>2018-4</t>
    <phoneticPr fontId="6" type="noConversion"/>
  </si>
  <si>
    <t>级别开发程度</t>
    <phoneticPr fontId="6" type="noConversion"/>
  </si>
  <si>
    <t>xx</t>
    <phoneticPr fontId="9" type="noConversion"/>
  </si>
  <si>
    <t>XX</t>
    <phoneticPr fontId="9" type="noConversion"/>
  </si>
  <si>
    <t>XX</t>
    <phoneticPr fontId="9" type="noConversion"/>
  </si>
  <si>
    <t>2019-2</t>
    <phoneticPr fontId="6" type="noConversion"/>
  </si>
  <si>
    <t>2019-1</t>
    <phoneticPr fontId="6" type="noConversion"/>
  </si>
  <si>
    <t>按公示增长率计算</t>
  </si>
  <si>
    <t>（1）-（3）项合</t>
    <phoneticPr fontId="6"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</si>
  <si>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</si>
  <si>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6" type="noConversion"/>
  </si>
  <si>
    <t>2019-3</t>
    <phoneticPr fontId="6" type="noConversion"/>
  </si>
  <si>
    <t>2019A-027</t>
    <phoneticPr fontId="6" type="noConversion"/>
  </si>
  <si>
    <t>刘俊财</t>
    <phoneticPr fontId="6" type="noConversion"/>
  </si>
  <si>
    <t>2019-4</t>
    <phoneticPr fontId="6"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</si>
  <si>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6" type="noConversion"/>
  </si>
  <si>
    <t>2020-1</t>
    <phoneticPr fontId="6" type="noConversion"/>
  </si>
  <si>
    <t>土地征用及拆迁补偿费</t>
    <phoneticPr fontId="10" type="noConversion"/>
  </si>
  <si>
    <t>土地征用及拆迁补偿费</t>
    <phoneticPr fontId="93" type="noConversion"/>
  </si>
  <si>
    <t>2020-2</t>
    <phoneticPr fontId="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</si>
  <si>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8"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</si>
  <si>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6" type="noConversion"/>
  </si>
  <si>
    <t>个人住宅</t>
  </si>
  <si>
    <t>个人其他（无凭证）</t>
  </si>
  <si>
    <t>普宅标准：</t>
    <phoneticPr fontId="10"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</si>
  <si>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10"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</si>
  <si>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10" type="noConversion"/>
  </si>
  <si>
    <t>简单平均</t>
  </si>
  <si>
    <t>售价</t>
  </si>
  <si>
    <t>估价对象基本情况</t>
  </si>
  <si>
    <t>估价对象</t>
  </si>
  <si>
    <t>价值时点</t>
  </si>
  <si>
    <t>评估总值</t>
    <phoneticPr fontId="10" type="noConversion"/>
  </si>
  <si>
    <t>处置时需缴纳的相关税费</t>
  </si>
  <si>
    <t>序号</t>
  </si>
  <si>
    <t>税（费）种</t>
  </si>
  <si>
    <t>金额（元）</t>
  </si>
  <si>
    <t>计算方法</t>
  </si>
  <si>
    <t>税（费）率</t>
  </si>
  <si>
    <t>增值税及附加</t>
    <phoneticPr fontId="10" type="noConversion"/>
  </si>
  <si>
    <t>印花税</t>
    <phoneticPr fontId="10" type="noConversion"/>
  </si>
  <si>
    <t>土地增值税</t>
    <phoneticPr fontId="10" type="noConversion"/>
  </si>
  <si>
    <t>合计</t>
    <phoneticPr fontId="10" type="noConversion"/>
  </si>
  <si>
    <t>小写</t>
  </si>
  <si>
    <t>大写</t>
  </si>
  <si>
    <t>抵押净值</t>
    <phoneticPr fontId="10" type="noConversion"/>
  </si>
  <si>
    <t>抵押净值单价</t>
    <phoneticPr fontId="10" type="noConversion"/>
  </si>
  <si>
    <t>其他处置费用</t>
  </si>
  <si>
    <t>律师费</t>
  </si>
  <si>
    <t>诉讼费</t>
  </si>
  <si>
    <t>最低50元</t>
    <phoneticPr fontId="6" type="noConversion"/>
  </si>
  <si>
    <t>执行费</t>
  </si>
  <si>
    <t>诉讼保全费</t>
  </si>
  <si>
    <t>最高5000元</t>
    <phoneticPr fontId="6" type="noConversion"/>
  </si>
  <si>
    <t>评估费</t>
  </si>
  <si>
    <t>拍卖费</t>
  </si>
  <si>
    <r>
      <rPr>
        <sz val="10"/>
        <color theme="1"/>
        <rFont val="宋体"/>
        <family val="3"/>
        <charset val="134"/>
      </rPr>
      <t>测算结果（典型户型）</t>
    </r>
    <phoneticPr fontId="93"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</si>
  <si>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</si>
  <si>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评估价值（典型户型）</t>
    </r>
    <phoneticPr fontId="93" type="noConversion"/>
  </si>
  <si>
    <r>
      <rPr>
        <sz val="10"/>
        <color theme="1"/>
        <rFont val="宋体"/>
        <family val="3"/>
        <charset val="134"/>
      </rPr>
      <t>评估总值</t>
    </r>
    <phoneticPr fontId="93"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</si>
  <si>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10" type="noConversion"/>
  </si>
  <si>
    <r>
      <rPr>
        <b/>
        <sz val="10"/>
        <color indexed="8"/>
        <rFont val="宋体"/>
        <family val="3"/>
        <charset val="134"/>
      </rPr>
      <t>抵押物名称</t>
    </r>
    <phoneticPr fontId="10" type="noConversion"/>
  </si>
  <si>
    <r>
      <rPr>
        <b/>
        <sz val="10"/>
        <color indexed="8"/>
        <rFont val="宋体"/>
        <family val="3"/>
        <charset val="134"/>
      </rPr>
      <t>建筑面积（平方米）</t>
    </r>
    <phoneticPr fontId="10" type="noConversion"/>
  </si>
  <si>
    <r>
      <t>1.</t>
    </r>
    <r>
      <rPr>
        <b/>
        <sz val="10"/>
        <color indexed="8"/>
        <rFont val="宋体"/>
        <family val="3"/>
        <charset val="134"/>
      </rPr>
      <t>房地产价值</t>
    </r>
    <phoneticPr fontId="1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</si>
  <si>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</si>
  <si>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</si>
  <si>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</si>
  <si>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</si>
  <si>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</si>
  <si>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</si>
  <si>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t>1</t>
    </r>
    <r>
      <rPr>
        <b/>
        <sz val="10"/>
        <color indexed="8"/>
        <rFont val="宋体"/>
        <family val="3"/>
        <charset val="134"/>
      </rPr>
      <t>房地产价值</t>
    </r>
    <phoneticPr fontId="8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</si>
  <si>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</si>
  <si>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</si>
  <si>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</si>
  <si>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</si>
  <si>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indexed="8"/>
        <rFont val="宋体"/>
        <family val="3"/>
        <charset val="134"/>
      </rPr>
      <t>抵押物名称</t>
    </r>
  </si>
  <si>
    <r>
      <rPr>
        <sz val="10"/>
        <color indexed="8"/>
        <rFont val="宋体"/>
        <family val="3"/>
        <charset val="134"/>
      </rPr>
      <t>建筑面积</t>
    </r>
    <phoneticPr fontId="10"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</si>
  <si>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</si>
  <si>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</si>
  <si>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</si>
  <si>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</si>
  <si>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</si>
  <si>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10" type="noConversion"/>
  </si>
  <si>
    <r>
      <rPr>
        <sz val="10"/>
        <color indexed="8"/>
        <rFont val="宋体"/>
        <family val="3"/>
        <charset val="134"/>
      </rPr>
      <t>建筑物价值</t>
    </r>
    <phoneticPr fontId="10" type="noConversion"/>
  </si>
  <si>
    <r>
      <rPr>
        <sz val="10"/>
        <color indexed="8"/>
        <rFont val="宋体"/>
        <family val="3"/>
        <charset val="134"/>
      </rPr>
      <t>楼面单价</t>
    </r>
    <phoneticPr fontId="10" type="noConversion"/>
  </si>
  <si>
    <r>
      <rPr>
        <sz val="10"/>
        <color indexed="8"/>
        <rFont val="宋体"/>
        <family val="3"/>
        <charset val="134"/>
      </rPr>
      <t>建筑面积</t>
    </r>
    <phoneticPr fontId="10"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</si>
  <si>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10" type="noConversion"/>
  </si>
  <si>
    <r>
      <rPr>
        <sz val="10"/>
        <color indexed="8"/>
        <rFont val="宋体"/>
        <family val="3"/>
        <charset val="134"/>
      </rPr>
      <t>建筑物价值</t>
    </r>
    <phoneticPr fontId="10" type="noConversion"/>
  </si>
  <si>
    <r>
      <t>1.</t>
    </r>
    <r>
      <rPr>
        <b/>
        <sz val="10"/>
        <color indexed="8"/>
        <rFont val="宋体"/>
        <family val="3"/>
        <charset val="134"/>
      </rPr>
      <t>房地产价值</t>
    </r>
    <phoneticPr fontId="8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</si>
  <si>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</si>
  <si>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</si>
  <si>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t>1.</t>
    </r>
    <r>
      <rPr>
        <b/>
        <sz val="10"/>
        <color indexed="8"/>
        <rFont val="宋体"/>
        <family val="3"/>
        <charset val="134"/>
      </rPr>
      <t>房地产价值</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</si>
  <si>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</si>
  <si>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</si>
  <si>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</si>
  <si>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</si>
  <si>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评估价值</t>
    </r>
  </si>
  <si>
    <t>属于免缴时请录入免缴类别</t>
    <phoneticPr fontId="10" type="noConversion"/>
  </si>
  <si>
    <t xml:space="preserve"> </t>
    <phoneticPr fontId="6" type="noConversion"/>
  </si>
  <si>
    <t>★净值计算中税收公式按照北京市现行政策设置，如为外省项目需核实当地税收政策★</t>
    <phoneticPr fontId="10" type="noConversion"/>
  </si>
  <si>
    <t>★此处仍为计算过程，权重结果非最终结果，总价和单价分别为各自权重值，无直接关联★</t>
    <phoneticPr fontId="10" type="noConversion"/>
  </si>
  <si>
    <t>★取得土地使用权所支付的金额，是指纳税人为取得土地使用权所支付的地价款和按国家统一规定交纳的有关费用★</t>
    <phoneticPr fontId="10" type="noConversion"/>
  </si>
  <si>
    <t>★土地征用及拆迁补偿费，包括土地征用费、耕地占用税、劳动力安置费及有关地上、地下附着物拆迁补偿的净支出、安置动迁用房支出等★</t>
    <phoneticPr fontId="10"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</si>
  <si>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10" type="noConversion"/>
  </si>
  <si>
    <t>★合计部分请自行录入公式，很重要，与C32结果相关★</t>
    <phoneticPr fontId="10" type="noConversion"/>
  </si>
  <si>
    <t>★此线以下显示的为最终结果★</t>
    <phoneticPr fontId="10" type="noConversion"/>
  </si>
  <si>
    <t>北京普宅标准：</t>
    <phoneticPr fontId="10" type="noConversion"/>
  </si>
  <si>
    <t>非个人房产</t>
  </si>
  <si>
    <t>北京标准</t>
    <phoneticPr fontId="10" type="noConversion"/>
  </si>
  <si>
    <t>北京标准</t>
    <phoneticPr fontId="93" type="noConversion"/>
  </si>
  <si>
    <t>★此线以上为必填项（致函链接）★</t>
    <phoneticPr fontId="9" type="noConversion"/>
  </si>
  <si>
    <r>
      <t>面积</t>
    </r>
    <r>
      <rPr>
        <sz val="8"/>
        <color rgb="FFFF0000"/>
        <rFont val="宋体"/>
        <family val="3"/>
        <charset val="134"/>
      </rPr>
      <t>（★估价对象为多套时，此处录入估价对象的全部面积★）</t>
    </r>
    <phoneticPr fontId="9" type="noConversion"/>
  </si>
  <si>
    <r>
      <rPr>
        <sz val="10"/>
        <color indexed="8"/>
        <rFont val="宋体"/>
        <family val="3"/>
        <charset val="134"/>
      </rPr>
      <t>设定用途</t>
    </r>
    <phoneticPr fontId="9" type="noConversion"/>
  </si>
  <si>
    <t>刘俊财</t>
    <phoneticPr fontId="83" type="noConversion"/>
  </si>
  <si>
    <t>备案等级：一级</t>
    <phoneticPr fontId="6" type="noConversion"/>
  </si>
  <si>
    <t>建房估备字[2013第]081号</t>
    <phoneticPr fontId="6" type="noConversion"/>
  </si>
  <si>
    <t>延期至2020年底</t>
    <phoneticPr fontId="83" type="noConversion"/>
  </si>
  <si>
    <t>赵雯</t>
    <phoneticPr fontId="8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</si>
  <si>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10"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</si>
  <si>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10"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</si>
  <si>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6" type="noConversion"/>
  </si>
  <si>
    <t>备注/参考值</t>
    <phoneticPr fontId="6" type="noConversion"/>
  </si>
  <si>
    <r>
      <rPr>
        <sz val="10"/>
        <color indexed="8"/>
        <rFont val="宋体"/>
        <family val="3"/>
        <charset val="134"/>
      </rPr>
      <t>参考值</t>
    </r>
    <r>
      <rPr>
        <sz val="10"/>
        <color indexed="8"/>
        <rFont val="Arial"/>
        <family val="2"/>
      </rPr>
      <t>4%-5%</t>
    </r>
    <phoneticPr fontId="6" type="noConversion"/>
  </si>
  <si>
    <r>
      <rPr>
        <sz val="10"/>
        <color indexed="8"/>
        <rFont val="宋体"/>
        <family val="3"/>
        <charset val="134"/>
      </rPr>
      <t>参考值</t>
    </r>
    <r>
      <rPr>
        <sz val="10"/>
        <color indexed="8"/>
        <rFont val="Arial"/>
        <family val="2"/>
      </rPr>
      <t>5%-6%</t>
    </r>
    <phoneticPr fontId="6" type="noConversion"/>
  </si>
  <si>
    <r>
      <rPr>
        <sz val="10"/>
        <color indexed="8"/>
        <rFont val="宋体"/>
        <family val="3"/>
        <charset val="134"/>
      </rPr>
      <t>参考值</t>
    </r>
    <r>
      <rPr>
        <sz val="10"/>
        <color indexed="8"/>
        <rFont val="Arial"/>
        <family val="2"/>
      </rPr>
      <t>7%-8%</t>
    </r>
    <phoneticPr fontId="6" type="noConversion"/>
  </si>
  <si>
    <r>
      <rPr>
        <sz val="10"/>
        <color indexed="8"/>
        <rFont val="宋体"/>
        <family val="3"/>
        <charset val="134"/>
      </rPr>
      <t>取值范围</t>
    </r>
    <r>
      <rPr>
        <sz val="10"/>
        <color indexed="8"/>
        <rFont val="Arial"/>
        <family val="2"/>
      </rPr>
      <t>0.15%-0.3%</t>
    </r>
    <phoneticPr fontId="6" type="noConversion"/>
  </si>
  <si>
    <r>
      <rPr>
        <sz val="10"/>
        <color indexed="8"/>
        <rFont val="宋体"/>
        <family val="3"/>
        <charset val="134"/>
      </rPr>
      <t>取值范围</t>
    </r>
    <r>
      <rPr>
        <sz val="10"/>
        <color indexed="8"/>
        <rFont val="Arial"/>
        <family val="2"/>
      </rPr>
      <t>1-3%</t>
    </r>
    <phoneticPr fontId="6" type="noConversion"/>
  </si>
  <si>
    <r>
      <rPr>
        <sz val="10"/>
        <color indexed="8"/>
        <rFont val="宋体"/>
        <family val="3"/>
        <charset val="134"/>
      </rPr>
      <t>取值范围</t>
    </r>
    <r>
      <rPr>
        <sz val="10"/>
        <color indexed="8"/>
        <rFont val="Arial"/>
        <family val="2"/>
      </rPr>
      <t>1.5%-2.5%</t>
    </r>
    <phoneticPr fontId="6" type="noConversion"/>
  </si>
  <si>
    <r>
      <rPr>
        <sz val="10"/>
        <color theme="1"/>
        <rFont val="宋体"/>
        <family val="3"/>
        <charset val="134"/>
      </rPr>
      <t>取值范围</t>
    </r>
    <r>
      <rPr>
        <sz val="10"/>
        <color theme="1"/>
        <rFont val="Arial"/>
        <family val="2"/>
      </rPr>
      <t>0-10%</t>
    </r>
    <phoneticPr fontId="6" type="noConversion"/>
  </si>
  <si>
    <r>
      <rPr>
        <sz val="10"/>
        <color theme="1"/>
        <rFont val="宋体"/>
        <family val="3"/>
        <charset val="134"/>
      </rPr>
      <t>取值范围</t>
    </r>
    <r>
      <rPr>
        <sz val="10"/>
        <color theme="1"/>
        <rFont val="Arial"/>
        <family val="2"/>
      </rPr>
      <t>1%-3%</t>
    </r>
    <phoneticPr fontId="6" type="noConversion"/>
  </si>
  <si>
    <r>
      <rPr>
        <sz val="10"/>
        <color theme="1"/>
        <rFont val="宋体"/>
        <family val="3"/>
        <charset val="134"/>
      </rPr>
      <t>取值范围</t>
    </r>
    <r>
      <rPr>
        <sz val="10"/>
        <color theme="1"/>
        <rFont val="Arial"/>
        <family val="2"/>
      </rPr>
      <t>3%-5%</t>
    </r>
    <phoneticPr fontId="6" type="noConversion"/>
  </si>
  <si>
    <r>
      <rPr>
        <sz val="10"/>
        <color theme="1"/>
        <rFont val="宋体"/>
        <family val="3"/>
        <charset val="134"/>
      </rPr>
      <t>取值范围</t>
    </r>
    <r>
      <rPr>
        <sz val="10"/>
        <color theme="1"/>
        <rFont val="Arial"/>
        <family val="2"/>
      </rPr>
      <t>1.5%</t>
    </r>
    <phoneticPr fontId="6" type="noConversion"/>
  </si>
  <si>
    <r>
      <rPr>
        <b/>
        <sz val="10"/>
        <color indexed="8"/>
        <rFont val="宋体"/>
        <family val="3"/>
        <charset val="134"/>
      </rPr>
      <t>住宅、办公及商业</t>
    </r>
    <phoneticPr fontId="25" type="noConversion"/>
  </si>
  <si>
    <r>
      <rPr>
        <b/>
        <sz val="10"/>
        <color indexed="8"/>
        <rFont val="宋体"/>
        <family val="3"/>
        <charset val="134"/>
      </rPr>
      <t>工业</t>
    </r>
    <phoneticPr fontId="25" type="noConversion"/>
  </si>
  <si>
    <r>
      <rPr>
        <b/>
        <sz val="10"/>
        <color indexed="8"/>
        <rFont val="宋体"/>
        <family val="3"/>
        <charset val="134"/>
      </rPr>
      <t>区位状况</t>
    </r>
    <phoneticPr fontId="22"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</si>
  <si>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</si>
  <si>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</si>
  <si>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6" type="noConversion"/>
  </si>
  <si>
    <r>
      <rPr>
        <sz val="10"/>
        <color indexed="8"/>
        <rFont val="宋体"/>
        <family val="3"/>
        <charset val="134"/>
      </rPr>
      <t>商业繁华度</t>
    </r>
    <phoneticPr fontId="26" type="noConversion"/>
  </si>
  <si>
    <r>
      <rPr>
        <sz val="10"/>
        <color indexed="8"/>
        <rFont val="宋体"/>
        <family val="3"/>
        <charset val="134"/>
      </rPr>
      <t>交通便捷度</t>
    </r>
    <phoneticPr fontId="26" type="noConversion"/>
  </si>
  <si>
    <r>
      <rPr>
        <sz val="10"/>
        <color theme="9" tint="-0.249977111117893"/>
        <rFont val="宋体"/>
        <family val="3"/>
        <charset val="134"/>
      </rPr>
      <t>估价对象周边道路状况、公共交通通达情况、停车便捷程度，综合评价交通便捷度较好</t>
    </r>
    <phoneticPr fontId="37" type="noConversion"/>
  </si>
  <si>
    <r>
      <rPr>
        <sz val="10"/>
        <color indexed="8"/>
        <rFont val="宋体"/>
        <family val="3"/>
        <charset val="134"/>
      </rPr>
      <t>办公集聚程度</t>
    </r>
    <phoneticPr fontId="26" type="noConversion"/>
  </si>
  <si>
    <r>
      <rPr>
        <sz val="10"/>
        <color indexed="8"/>
        <rFont val="宋体"/>
        <family val="3"/>
        <charset val="134"/>
      </rPr>
      <t>公共配套设施</t>
    </r>
    <phoneticPr fontId="22" type="noConversion"/>
  </si>
  <si>
    <r>
      <rPr>
        <sz val="10"/>
        <color theme="9" tint="-0.249977111117893"/>
        <rFont val="宋体"/>
        <family val="3"/>
        <charset val="134"/>
      </rPr>
      <t>估价对象所在区域公共配套设施齐备情况</t>
    </r>
    <phoneticPr fontId="37" type="noConversion"/>
  </si>
  <si>
    <r>
      <rPr>
        <sz val="10"/>
        <color indexed="8"/>
        <rFont val="宋体"/>
        <family val="3"/>
        <charset val="134"/>
      </rPr>
      <t>交通便捷度</t>
    </r>
  </si>
  <si>
    <r>
      <rPr>
        <sz val="10"/>
        <color indexed="8"/>
        <rFont val="宋体"/>
        <family val="3"/>
        <charset val="134"/>
      </rPr>
      <t>基础设施水平</t>
    </r>
    <phoneticPr fontId="22" type="noConversion"/>
  </si>
  <si>
    <r>
      <rPr>
        <sz val="10"/>
        <color theme="9" tint="-0.249977111117893"/>
        <rFont val="宋体"/>
        <family val="3"/>
        <charset val="134"/>
      </rPr>
      <t>估价对象所在区域基础设施水平</t>
    </r>
    <phoneticPr fontId="22" type="noConversion"/>
  </si>
  <si>
    <r>
      <rPr>
        <sz val="10"/>
        <color indexed="8"/>
        <rFont val="宋体"/>
        <family val="3"/>
        <charset val="134"/>
      </rPr>
      <t>环境状况</t>
    </r>
    <phoneticPr fontId="26" type="noConversion"/>
  </si>
  <si>
    <r>
      <rPr>
        <sz val="10"/>
        <color theme="9" tint="-0.249977111117893"/>
        <rFont val="宋体"/>
        <family val="3"/>
        <charset val="134"/>
      </rPr>
      <t>该园区内是否有污染型企业，绿化情况，卫生条件，整体环境状况判断</t>
    </r>
    <phoneticPr fontId="6" type="noConversion"/>
  </si>
  <si>
    <r>
      <rPr>
        <sz val="10"/>
        <color indexed="8"/>
        <rFont val="宋体"/>
        <family val="3"/>
        <charset val="134"/>
      </rPr>
      <t>自然及人文环境</t>
    </r>
  </si>
  <si>
    <r>
      <rPr>
        <sz val="10"/>
        <color indexed="8"/>
        <rFont val="宋体"/>
        <family val="3"/>
        <charset val="134"/>
      </rPr>
      <t>毗邻道路的类型与等级</t>
    </r>
    <phoneticPr fontId="26" type="noConversion"/>
  </si>
  <si>
    <r>
      <rPr>
        <b/>
        <sz val="10"/>
        <color indexed="8"/>
        <rFont val="宋体"/>
        <family val="3"/>
        <charset val="134"/>
      </rPr>
      <t>住宅、办公及商业</t>
    </r>
    <phoneticPr fontId="25" type="noConversion"/>
  </si>
  <si>
    <r>
      <rPr>
        <b/>
        <sz val="10"/>
        <color indexed="8"/>
        <rFont val="宋体"/>
        <family val="3"/>
        <charset val="134"/>
      </rPr>
      <t>工业</t>
    </r>
    <phoneticPr fontId="25" type="noConversion"/>
  </si>
  <si>
    <r>
      <rPr>
        <b/>
        <sz val="10"/>
        <color indexed="8"/>
        <rFont val="宋体"/>
        <family val="3"/>
        <charset val="134"/>
      </rPr>
      <t>区位状况</t>
    </r>
    <phoneticPr fontId="26" type="noConversion"/>
  </si>
  <si>
    <r>
      <rPr>
        <b/>
        <sz val="10"/>
        <color indexed="8"/>
        <rFont val="宋体"/>
        <family val="3"/>
        <charset val="134"/>
      </rPr>
      <t>区位状况</t>
    </r>
    <phoneticPr fontId="22" type="noConversion"/>
  </si>
  <si>
    <r>
      <rPr>
        <sz val="10"/>
        <color indexed="8"/>
        <rFont val="宋体"/>
        <family val="3"/>
        <charset val="134"/>
      </rPr>
      <t>产业集聚程度</t>
    </r>
    <phoneticPr fontId="26" type="noConversion"/>
  </si>
  <si>
    <r>
      <rPr>
        <sz val="10"/>
        <color indexed="8"/>
        <rFont val="宋体"/>
        <family val="3"/>
        <charset val="134"/>
      </rPr>
      <t>区域土地利用方向</t>
    </r>
    <phoneticPr fontId="26"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</si>
  <si>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</si>
  <si>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</si>
  <si>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</si>
  <si>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6" type="noConversion"/>
  </si>
  <si>
    <r>
      <rPr>
        <sz val="10"/>
        <color indexed="8"/>
        <rFont val="宋体"/>
        <family val="3"/>
        <charset val="134"/>
      </rPr>
      <t>毗邻道路的类型与等级</t>
    </r>
  </si>
  <si>
    <t>正常</t>
  </si>
  <si>
    <t>2020-3</t>
    <phoneticPr fontId="6" type="noConversion"/>
  </si>
  <si>
    <t>2020-4</t>
    <phoneticPr fontId="6" type="noConversion"/>
  </si>
  <si>
    <t>LPR</t>
    <phoneticPr fontId="148" type="noConversion"/>
  </si>
  <si>
    <t>住宅</t>
  </si>
  <si>
    <t>按租金收入计税</t>
  </si>
  <si>
    <t>2021-1</t>
    <phoneticPr fontId="6" type="noConversion"/>
  </si>
  <si>
    <t>2021-2</t>
    <phoneticPr fontId="148" type="noConversion"/>
  </si>
  <si>
    <t>房地产市场价值</t>
  </si>
  <si>
    <t>陈颖</t>
  </si>
  <si>
    <t>核定资产</t>
  </si>
  <si>
    <t>北京市</t>
  </si>
  <si>
    <t>自然人</t>
  </si>
  <si>
    <t>元</t>
  </si>
  <si>
    <t>楼面单价</t>
  </si>
  <si>
    <t>无租约</t>
  </si>
  <si>
    <t>单位：元</t>
    <phoneticPr fontId="6" type="noConversion"/>
  </si>
  <si>
    <t>容积率修正</t>
  </si>
  <si>
    <t>不临58条商业街</t>
  </si>
  <si>
    <t>未包含在土地购买价格中</t>
  </si>
  <si>
    <t>已包含在土地取得成本中</t>
  </si>
  <si>
    <t>钢混</t>
  </si>
  <si>
    <t>非生产用房</t>
  </si>
  <si>
    <t>是</t>
  </si>
  <si>
    <t>精装修</t>
  </si>
  <si>
    <t>精装修</t>
    <phoneticPr fontId="28" type="noConversion"/>
  </si>
  <si>
    <t>普通装修</t>
  </si>
  <si>
    <t>普通装修</t>
    <phoneticPr fontId="28" type="noConversion"/>
  </si>
  <si>
    <t>简单装修</t>
    <phoneticPr fontId="28" type="noConversion"/>
  </si>
  <si>
    <t>毛坯</t>
    <phoneticPr fontId="28" type="noConversion"/>
  </si>
  <si>
    <t>南北</t>
    <phoneticPr fontId="28" type="noConversion"/>
  </si>
  <si>
    <t>南</t>
    <phoneticPr fontId="28" type="noConversion"/>
  </si>
  <si>
    <t>东</t>
    <phoneticPr fontId="28" type="noConversion"/>
  </si>
  <si>
    <t>西</t>
    <phoneticPr fontId="28" type="noConversion"/>
  </si>
  <si>
    <t>北</t>
    <phoneticPr fontId="28" type="noConversion"/>
  </si>
  <si>
    <t>%</t>
    <phoneticPr fontId="28" type="noConversion"/>
  </si>
  <si>
    <t>高区</t>
  </si>
  <si>
    <t>高区</t>
    <phoneticPr fontId="28" type="noConversion"/>
  </si>
  <si>
    <t>中区</t>
  </si>
  <si>
    <t>中区</t>
    <phoneticPr fontId="28" type="noConversion"/>
  </si>
  <si>
    <t>低区</t>
    <phoneticPr fontId="28" type="noConversion"/>
  </si>
  <si>
    <t>车库</t>
  </si>
  <si>
    <t>成本法</t>
  </si>
  <si>
    <t>人济山庄</t>
    <phoneticPr fontId="6" type="noConversion"/>
  </si>
  <si>
    <t>人济山庄</t>
    <phoneticPr fontId="6" type="noConversion"/>
  </si>
  <si>
    <t>车位</t>
  </si>
  <si>
    <t>车位</t>
    <phoneticPr fontId="28" type="noConversion"/>
  </si>
  <si>
    <t>20-30（含）</t>
  </si>
  <si>
    <t>精装修</t>
    <phoneticPr fontId="28" type="noConversion"/>
  </si>
  <si>
    <t>专业物业管理</t>
  </si>
  <si>
    <t>专业物业管理</t>
    <phoneticPr fontId="28" type="noConversion"/>
  </si>
  <si>
    <t>平面车位</t>
  </si>
  <si>
    <t>平面车位</t>
    <phoneticPr fontId="28" type="noConversion"/>
  </si>
  <si>
    <t>是</t>
    <phoneticPr fontId="28" type="noConversion"/>
  </si>
  <si>
    <t>否</t>
  </si>
  <si>
    <t>否</t>
    <phoneticPr fontId="28" type="noConversion"/>
  </si>
  <si>
    <t>500-1000米</t>
  </si>
  <si>
    <t>七通</t>
  </si>
  <si>
    <t>住宅</t>
    <phoneticPr fontId="28" type="noConversion"/>
  </si>
  <si>
    <t>离出入口距离</t>
    <phoneticPr fontId="28" type="noConversion"/>
  </si>
  <si>
    <t>较远</t>
    <phoneticPr fontId="28" type="noConversion"/>
  </si>
  <si>
    <t>较近</t>
    <phoneticPr fontId="28" type="noConversion"/>
  </si>
  <si>
    <t>较近</t>
    <phoneticPr fontId="28" type="noConversion"/>
  </si>
  <si>
    <t>估价对象1（结果表）</t>
  </si>
  <si>
    <t>收益法</t>
  </si>
  <si>
    <t>办公</t>
  </si>
  <si>
    <t>商业</t>
  </si>
  <si>
    <t>商务金融用地（办公类）</t>
  </si>
  <si>
    <t>通路</t>
  </si>
  <si>
    <t>通电</t>
  </si>
  <si>
    <t>通讯</t>
  </si>
  <si>
    <t>通上水</t>
  </si>
  <si>
    <t>通下水</t>
  </si>
  <si>
    <t>平整</t>
  </si>
  <si>
    <t>与级别开发程度不一致</t>
  </si>
  <si>
    <t>无</t>
  </si>
  <si>
    <t>利息：取LPR</t>
  </si>
  <si>
    <t>收益法</t>
    <phoneticPr fontId="6" type="noConversion"/>
  </si>
  <si>
    <t>直线法成新度</t>
    <phoneticPr fontId="6" type="noConversion"/>
  </si>
  <si>
    <t>结构残值率（%）</t>
    <phoneticPr fontId="6" type="noConversion"/>
  </si>
  <si>
    <t>项目</t>
    <phoneticPr fontId="6" type="noConversion"/>
  </si>
  <si>
    <t>数额（元）</t>
    <phoneticPr fontId="6" type="noConversion"/>
  </si>
  <si>
    <t>计算公式</t>
    <phoneticPr fontId="6" type="noConversion"/>
  </si>
  <si>
    <t>已经使用年限（年）</t>
    <phoneticPr fontId="6" type="noConversion"/>
  </si>
  <si>
    <t>一</t>
    <phoneticPr fontId="6" type="noConversion"/>
  </si>
  <si>
    <t>房地产价值</t>
    <phoneticPr fontId="6" type="noConversion"/>
  </si>
  <si>
    <t>依据市场比较法得出</t>
    <phoneticPr fontId="6" type="noConversion"/>
  </si>
  <si>
    <t>建筑面积（㎡）</t>
    <phoneticPr fontId="6" type="noConversion"/>
  </si>
  <si>
    <t>经济耐用年限（年）</t>
    <phoneticPr fontId="6" type="noConversion"/>
  </si>
  <si>
    <t>60</t>
    <phoneticPr fontId="6" type="noConversion"/>
  </si>
  <si>
    <t>二</t>
    <phoneticPr fontId="6" type="noConversion"/>
  </si>
  <si>
    <t>房地产未来第一年净收益</t>
    <phoneticPr fontId="6"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</si>
  <si>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6" type="noConversion"/>
  </si>
  <si>
    <t>资本化率（Y）</t>
    <phoneticPr fontId="6" type="noConversion"/>
  </si>
  <si>
    <t>收益年期(n)</t>
    <phoneticPr fontId="6" type="noConversion"/>
  </si>
  <si>
    <t>权重</t>
    <phoneticPr fontId="6" type="noConversion"/>
  </si>
  <si>
    <t>年增长比率(g)</t>
    <phoneticPr fontId="6" type="noConversion"/>
  </si>
  <si>
    <t>综合观察法成新度</t>
    <phoneticPr fontId="6" type="noConversion"/>
  </si>
  <si>
    <t>项目名称</t>
    <phoneticPr fontId="6" type="noConversion"/>
  </si>
  <si>
    <t>标准分</t>
    <phoneticPr fontId="6" type="noConversion"/>
  </si>
  <si>
    <t>基本情况</t>
    <phoneticPr fontId="6" type="noConversion"/>
  </si>
  <si>
    <t>评分</t>
  </si>
  <si>
    <t>权重</t>
  </si>
  <si>
    <t>三</t>
    <phoneticPr fontId="6" type="noConversion"/>
  </si>
  <si>
    <t>建筑物现值</t>
    <phoneticPr fontId="6" type="noConversion"/>
  </si>
  <si>
    <t>V×成新度</t>
    <phoneticPr fontId="6" type="noConversion"/>
  </si>
  <si>
    <t>成新度（%）</t>
    <phoneticPr fontId="6" type="noConversion"/>
  </si>
  <si>
    <t>基础工程</t>
  </si>
  <si>
    <t>完好</t>
    <phoneticPr fontId="6" type="noConversion"/>
  </si>
  <si>
    <t>1.1</t>
    <phoneticPr fontId="6" type="noConversion"/>
  </si>
  <si>
    <t>建安费用</t>
  </si>
  <si>
    <t>建安单价×面积指标</t>
    <phoneticPr fontId="6" type="noConversion"/>
  </si>
  <si>
    <t>建安单价（元/建筑㎡）</t>
    <phoneticPr fontId="6" type="noConversion"/>
  </si>
  <si>
    <t>结构工程</t>
  </si>
  <si>
    <t>1.2</t>
    <phoneticPr fontId="6" type="noConversion"/>
  </si>
  <si>
    <t>勘察设计和前期工程费</t>
    <phoneticPr fontId="6" type="noConversion"/>
  </si>
  <si>
    <t>1.1×费率</t>
    <phoneticPr fontId="6" type="noConversion"/>
  </si>
  <si>
    <t>设备及装饰</t>
    <phoneticPr fontId="6" type="noConversion"/>
  </si>
  <si>
    <t>1.3</t>
    <phoneticPr fontId="6" type="noConversion"/>
  </si>
  <si>
    <t>公共配套设施建设费</t>
    <phoneticPr fontId="6" type="noConversion"/>
  </si>
  <si>
    <t>1.4</t>
    <phoneticPr fontId="6" type="noConversion"/>
  </si>
  <si>
    <t>基础设施建设费</t>
    <phoneticPr fontId="6" type="noConversion"/>
  </si>
  <si>
    <t>面积指标×取费标准</t>
    <phoneticPr fontId="6" type="noConversion"/>
  </si>
  <si>
    <t>取费标准（元/建筑㎡）</t>
    <phoneticPr fontId="6" type="noConversion"/>
  </si>
  <si>
    <t>1.5</t>
    <phoneticPr fontId="6" type="noConversion"/>
  </si>
  <si>
    <t>相关税费</t>
    <phoneticPr fontId="6" type="noConversion"/>
  </si>
  <si>
    <t>按建安费用3%-5%计取</t>
    <phoneticPr fontId="6" type="noConversion"/>
  </si>
  <si>
    <t>建造成本</t>
  </si>
  <si>
    <t>1.1～1.5项之和</t>
    <phoneticPr fontId="6" type="noConversion"/>
  </si>
  <si>
    <t>按建安费用的0%-10%计取</t>
  </si>
  <si>
    <t>2</t>
    <phoneticPr fontId="6" type="noConversion"/>
  </si>
  <si>
    <t>管理费用</t>
    <phoneticPr fontId="6" type="noConversion"/>
  </si>
  <si>
    <t>1×费率</t>
    <phoneticPr fontId="6" type="noConversion"/>
  </si>
  <si>
    <t>销售费用</t>
    <phoneticPr fontId="6" type="noConversion"/>
  </si>
  <si>
    <t>V×费率</t>
    <phoneticPr fontId="6" type="noConversion"/>
  </si>
  <si>
    <t>贷款利息</t>
  </si>
  <si>
    <t>+</t>
    <phoneticPr fontId="6" type="noConversion"/>
  </si>
  <si>
    <t>（1+2+3）×利率×（建设周期÷2）</t>
    <phoneticPr fontId="6" type="noConversion"/>
  </si>
  <si>
    <t>4.1</t>
    <phoneticPr fontId="6" type="noConversion"/>
  </si>
  <si>
    <t>1-2项产生的利息</t>
    <phoneticPr fontId="6" type="noConversion"/>
  </si>
  <si>
    <t>（1+2)×利率×（建设周期÷2）</t>
    <phoneticPr fontId="6" type="noConversion"/>
  </si>
  <si>
    <t>建设周期（年）</t>
    <phoneticPr fontId="6" type="noConversion"/>
  </si>
  <si>
    <t>按建造成本的1%-3%计取</t>
    <phoneticPr fontId="6" type="noConversion"/>
  </si>
  <si>
    <t>4.2</t>
    <phoneticPr fontId="6" type="noConversion"/>
  </si>
  <si>
    <t>销售费用产生的利息</t>
    <phoneticPr fontId="6" type="noConversion"/>
  </si>
  <si>
    <t>V</t>
    <phoneticPr fontId="6" type="noConversion"/>
  </si>
  <si>
    <t>V×3×利率×（建设周期÷2）</t>
    <phoneticPr fontId="6" type="noConversion"/>
  </si>
  <si>
    <t>利息（1-3年期）</t>
    <phoneticPr fontId="6" type="noConversion"/>
  </si>
  <si>
    <t>按在建建筑物或建筑物价值的1%-3%</t>
    <phoneticPr fontId="6" type="noConversion"/>
  </si>
  <si>
    <t>利润</t>
  </si>
  <si>
    <t>（1+2+3）×投资利润率</t>
    <phoneticPr fontId="6" type="noConversion"/>
  </si>
  <si>
    <t>5.1</t>
    <phoneticPr fontId="6" type="noConversion"/>
  </si>
  <si>
    <t>1-2项产生的利润</t>
    <phoneticPr fontId="6" type="noConversion"/>
  </si>
  <si>
    <t>（1+2)×利润率</t>
    <phoneticPr fontId="6" type="noConversion"/>
  </si>
  <si>
    <t>投资利润率（%）</t>
    <phoneticPr fontId="6" type="noConversion"/>
  </si>
  <si>
    <t>（1+2）×年利率×建设期÷2</t>
    <phoneticPr fontId="6" type="noConversion"/>
  </si>
  <si>
    <t>销售费用产生的利润</t>
    <phoneticPr fontId="6" type="noConversion"/>
  </si>
  <si>
    <t>3×利润率</t>
    <phoneticPr fontId="6" type="noConversion"/>
  </si>
  <si>
    <t>销售税费</t>
    <phoneticPr fontId="6" type="noConversion"/>
  </si>
  <si>
    <t>V×费率÷（1+5%）</t>
    <phoneticPr fontId="6" type="noConversion"/>
  </si>
  <si>
    <t>7</t>
    <phoneticPr fontId="6" type="noConversion"/>
  </si>
  <si>
    <t>房屋重置价格（V）</t>
    <phoneticPr fontId="6" type="noConversion"/>
  </si>
  <si>
    <t>1-6项之和</t>
    <phoneticPr fontId="6" type="noConversion"/>
  </si>
  <si>
    <t>四</t>
    <phoneticPr fontId="6" type="noConversion"/>
  </si>
  <si>
    <t>年经营费用</t>
    <phoneticPr fontId="6" type="noConversion"/>
  </si>
  <si>
    <t>+X×</t>
    <phoneticPr fontId="6" type="noConversion"/>
  </si>
  <si>
    <t>税费+维修费+保险费+管理费</t>
    <phoneticPr fontId="6" type="noConversion"/>
  </si>
  <si>
    <t>税  费</t>
  </si>
  <si>
    <t>X×</t>
    <phoneticPr fontId="6" type="noConversion"/>
  </si>
  <si>
    <t>年总收益×税率</t>
    <phoneticPr fontId="6" type="noConversion"/>
  </si>
  <si>
    <t>V×维修费率</t>
    <phoneticPr fontId="6" type="noConversion"/>
  </si>
  <si>
    <t>保险费</t>
  </si>
  <si>
    <t>建筑物现值×保险费率</t>
    <phoneticPr fontId="6" type="noConversion"/>
  </si>
  <si>
    <t>管理费用</t>
  </si>
  <si>
    <t>年总收益×费率</t>
    <phoneticPr fontId="6" type="noConversion"/>
  </si>
  <si>
    <t>五</t>
    <phoneticPr fontId="6" type="noConversion"/>
  </si>
  <si>
    <t>未来第一年年总收益(X)</t>
    <phoneticPr fontId="6" type="noConversion"/>
  </si>
  <si>
    <t>房地产未来第一年净收益+年经营费用</t>
    <phoneticPr fontId="6" type="noConversion"/>
  </si>
  <si>
    <t>0.2%-0.3%</t>
    <phoneticPr fontId="6" type="noConversion"/>
  </si>
  <si>
    <t>六</t>
    <phoneticPr fontId="6" type="noConversion"/>
  </si>
  <si>
    <r>
      <t>市场租金（元/</t>
    </r>
    <r>
      <rPr>
        <sz val="10"/>
        <color indexed="10"/>
        <rFont val="仿宋_GB2312"/>
        <family val="3"/>
        <charset val="134"/>
      </rPr>
      <t>建筑</t>
    </r>
    <r>
      <rPr>
        <sz val="10"/>
        <color indexed="8"/>
        <rFont val="仿宋_GB2312"/>
        <family val="3"/>
        <charset val="134"/>
      </rPr>
      <t>㎡·天）</t>
    </r>
    <phoneticPr fontId="6" type="noConversion"/>
  </si>
  <si>
    <t>未来第一年年总收益租金÷天数÷面积指标÷出租率</t>
    <phoneticPr fontId="6" type="noConversion"/>
  </si>
  <si>
    <t>天数（天）</t>
    <phoneticPr fontId="6" type="noConversion"/>
  </si>
  <si>
    <t>出租率（%）</t>
    <phoneticPr fontId="6" type="noConversion"/>
  </si>
  <si>
    <r>
      <t>估价对象</t>
    </r>
    <r>
      <rPr>
        <b/>
        <sz val="9"/>
        <color indexed="10"/>
        <rFont val="宋体"/>
        <family val="3"/>
        <charset val="134"/>
      </rPr>
      <t>1层商业用房</t>
    </r>
    <r>
      <rPr>
        <b/>
        <sz val="9"/>
        <rFont val="宋体"/>
        <family val="3"/>
        <charset val="134"/>
      </rPr>
      <t>结果一览表</t>
    </r>
    <phoneticPr fontId="6" type="noConversion"/>
  </si>
  <si>
    <t>估价方法</t>
  </si>
  <si>
    <t>租金（元/㎡·天）</t>
    <phoneticPr fontId="6" type="noConversion"/>
  </si>
  <si>
    <t>比较法</t>
    <phoneticPr fontId="6" type="noConversion"/>
  </si>
  <si>
    <t>权重单价</t>
    <phoneticPr fontId="6" type="noConversion"/>
  </si>
  <si>
    <t>市场租金水平</t>
    <phoneticPr fontId="6" type="noConversion"/>
  </si>
  <si>
    <t>~</t>
    <phoneticPr fontId="6" type="noConversion"/>
  </si>
  <si>
    <t>拟签净租金</t>
    <phoneticPr fontId="6" type="noConversion"/>
  </si>
  <si>
    <t>包含物业费的租金</t>
    <phoneticPr fontId="6" type="noConversion"/>
  </si>
  <si>
    <t>物业费</t>
    <phoneticPr fontId="6" type="noConversion"/>
  </si>
  <si>
    <t>测算：</t>
    <phoneticPr fontId="6" type="noConversion"/>
  </si>
  <si>
    <t>一审：</t>
    <phoneticPr fontId="6" type="noConversion"/>
  </si>
  <si>
    <t>二审：</t>
    <phoneticPr fontId="6" type="noConversion"/>
  </si>
  <si>
    <t>交接面积及租金明细表</t>
    <phoneticPr fontId="6" type="noConversion"/>
  </si>
  <si>
    <t>楼层</t>
    <phoneticPr fontId="6" type="noConversion"/>
  </si>
  <si>
    <t>交接日期</t>
    <phoneticPr fontId="6" type="noConversion"/>
  </si>
  <si>
    <t>核定后移交总建筑面积（平米）</t>
    <phoneticPr fontId="6" type="noConversion"/>
  </si>
  <si>
    <t>核定后移交的产权建筑面积（平米）及租金</t>
    <phoneticPr fontId="6" type="noConversion"/>
  </si>
  <si>
    <t>核定后移交的loft建筑面积（平米）</t>
    <phoneticPr fontId="6" type="noConversion"/>
  </si>
  <si>
    <t>产权建筑面积（平米）</t>
    <phoneticPr fontId="6" type="noConversion"/>
  </si>
  <si>
    <r>
      <t>2014.3.1-201</t>
    </r>
    <r>
      <rPr>
        <sz val="9"/>
        <rFont val="宋体"/>
        <family val="3"/>
        <charset val="134"/>
      </rPr>
      <t>7</t>
    </r>
    <r>
      <rPr>
        <sz val="9"/>
        <rFont val="宋体"/>
        <family val="3"/>
        <charset val="134"/>
      </rPr>
      <t>.2.28租金</t>
    </r>
    <phoneticPr fontId="6" type="noConversion"/>
  </si>
  <si>
    <r>
      <t>2017.3.1-2020</t>
    </r>
    <r>
      <rPr>
        <sz val="9"/>
        <rFont val="宋体"/>
        <family val="3"/>
        <charset val="134"/>
      </rPr>
      <t>.2.28租金</t>
    </r>
    <phoneticPr fontId="6" type="noConversion"/>
  </si>
  <si>
    <t>loft建筑面积（平米）</t>
    <phoneticPr fontId="6" type="noConversion"/>
  </si>
  <si>
    <t>单价(元/平米*天)</t>
    <phoneticPr fontId="6" type="noConversion"/>
  </si>
  <si>
    <t>B1层</t>
    <phoneticPr fontId="6" type="noConversion"/>
  </si>
  <si>
    <t>2014.3.1</t>
    <phoneticPr fontId="6" type="noConversion"/>
  </si>
  <si>
    <t>一层</t>
    <phoneticPr fontId="6" type="noConversion"/>
  </si>
  <si>
    <t>二层</t>
    <phoneticPr fontId="6" type="noConversion"/>
  </si>
  <si>
    <t>三层</t>
    <phoneticPr fontId="6" type="noConversion"/>
  </si>
  <si>
    <t>四层</t>
    <phoneticPr fontId="6" type="noConversion"/>
  </si>
  <si>
    <t>五层</t>
    <phoneticPr fontId="6" type="noConversion"/>
  </si>
  <si>
    <t>六层</t>
    <phoneticPr fontId="6" type="noConversion"/>
  </si>
  <si>
    <t>2014.4.1</t>
    <phoneticPr fontId="6" type="noConversion"/>
  </si>
  <si>
    <t>2014.5.1</t>
    <phoneticPr fontId="6" type="noConversion"/>
  </si>
  <si>
    <t>2014.9.1</t>
    <phoneticPr fontId="6" type="noConversion"/>
  </si>
  <si>
    <t>2016.6.1</t>
    <phoneticPr fontId="6" type="noConversion"/>
  </si>
  <si>
    <t>七层</t>
    <phoneticPr fontId="6" type="noConversion"/>
  </si>
  <si>
    <t>2014.6.1</t>
    <phoneticPr fontId="6" type="noConversion"/>
  </si>
  <si>
    <t>2014.7.1</t>
    <phoneticPr fontId="6" type="noConversion"/>
  </si>
  <si>
    <t>八层</t>
    <phoneticPr fontId="6" type="noConversion"/>
  </si>
  <si>
    <t>九层</t>
    <phoneticPr fontId="6" type="noConversion"/>
  </si>
  <si>
    <t>十层</t>
    <phoneticPr fontId="6" type="noConversion"/>
  </si>
  <si>
    <t>十一层</t>
    <phoneticPr fontId="6" type="noConversion"/>
  </si>
  <si>
    <t>十二层</t>
    <phoneticPr fontId="6" type="noConversion"/>
  </si>
  <si>
    <t>2014.8.1</t>
    <phoneticPr fontId="6" type="noConversion"/>
  </si>
  <si>
    <t>十三层</t>
    <phoneticPr fontId="6" type="noConversion"/>
  </si>
  <si>
    <t>2015.4.1</t>
    <phoneticPr fontId="6" type="noConversion"/>
  </si>
  <si>
    <t>2015.8.1</t>
    <phoneticPr fontId="6" type="noConversion"/>
  </si>
  <si>
    <t>十四层</t>
    <phoneticPr fontId="6" type="noConversion"/>
  </si>
  <si>
    <t>十四A2层</t>
    <phoneticPr fontId="6" type="noConversion"/>
  </si>
  <si>
    <t>十四A3层</t>
    <phoneticPr fontId="6" type="noConversion"/>
  </si>
  <si>
    <t>注：2020年3月1日起按上年CPI指数;loft按产权面积租金的70%.</t>
    <phoneticPr fontId="6" type="noConversion"/>
  </si>
  <si>
    <t>应收租金明细表</t>
    <phoneticPr fontId="6" type="noConversion"/>
  </si>
  <si>
    <t>单位：元</t>
  </si>
  <si>
    <r>
      <t xml:space="preserve">楼层      </t>
    </r>
    <r>
      <rPr>
        <vertAlign val="subscript"/>
        <sz val="12"/>
        <rFont val="仿宋_GB2312"/>
        <family val="3"/>
        <charset val="134"/>
      </rPr>
      <t>承租人</t>
    </r>
  </si>
  <si>
    <t>房产证号</t>
    <phoneticPr fontId="6" type="noConversion"/>
  </si>
  <si>
    <t>房间号</t>
  </si>
  <si>
    <r>
      <t>出租面积(</t>
    </r>
    <r>
      <rPr>
        <sz val="9"/>
        <rFont val="宋体"/>
        <family val="3"/>
        <charset val="134"/>
      </rPr>
      <t>㎡</t>
    </r>
    <r>
      <rPr>
        <sz val="9"/>
        <rFont val="仿宋_GB2312"/>
        <family val="3"/>
        <charset val="134"/>
      </rPr>
      <t>)</t>
    </r>
  </si>
  <si>
    <t>收取方式</t>
  </si>
  <si>
    <t>递增率</t>
    <phoneticPr fontId="6" type="noConversion"/>
  </si>
  <si>
    <t>租赁期限</t>
  </si>
  <si>
    <t>2017年租金</t>
    <phoneticPr fontId="6" type="noConversion"/>
  </si>
  <si>
    <t>备注</t>
  </si>
  <si>
    <t>一层</t>
  </si>
  <si>
    <t>农商行</t>
  </si>
  <si>
    <t>海其更字第00195号</t>
    <phoneticPr fontId="6" type="noConversion"/>
  </si>
  <si>
    <r>
      <t>108/</t>
    </r>
    <r>
      <rPr>
        <sz val="9"/>
        <rFont val="宋体"/>
        <family val="3"/>
        <charset val="134"/>
      </rPr>
      <t>大堂</t>
    </r>
    <r>
      <rPr>
        <sz val="9"/>
        <rFont val="Times New Roman"/>
        <family val="1"/>
        <charset val="134"/>
      </rPr>
      <t>/209/211部分</t>
    </r>
    <phoneticPr fontId="6" type="noConversion"/>
  </si>
  <si>
    <t>年</t>
  </si>
  <si>
    <t>按年支付</t>
  </si>
  <si>
    <t>2016.12.15-2017.12.14</t>
  </si>
  <si>
    <t>二层</t>
  </si>
  <si>
    <t>学而思</t>
  </si>
  <si>
    <t>211\213\215\217\219\223\225\229</t>
  </si>
  <si>
    <t>季</t>
  </si>
  <si>
    <t>押二付三</t>
  </si>
  <si>
    <t>2016.1.1-2018.12.31</t>
  </si>
  <si>
    <t>龙壁贸易</t>
  </si>
  <si>
    <t>222-1</t>
  </si>
  <si>
    <t>押三付三</t>
  </si>
  <si>
    <t>太康广告</t>
  </si>
  <si>
    <t>222-2</t>
  </si>
  <si>
    <t>2015.12.01-2018.11.30</t>
  </si>
  <si>
    <r>
      <t>221\415</t>
    </r>
    <r>
      <rPr>
        <sz val="9"/>
        <color indexed="8"/>
        <rFont val="仿宋_GB2312"/>
        <family val="3"/>
        <charset val="134"/>
      </rPr>
      <t>、</t>
    </r>
    <r>
      <rPr>
        <sz val="9"/>
        <color indexed="8"/>
        <rFont val="Times New Roman"/>
        <family val="1"/>
        <charset val="134"/>
      </rPr>
      <t>413A</t>
    </r>
  </si>
  <si>
    <t>2016.6.1-2018.12.31</t>
  </si>
  <si>
    <t>三层</t>
  </si>
  <si>
    <t>海其更字第00195号、海联移字第0069645号</t>
    <phoneticPr fontId="6" type="noConversion"/>
  </si>
  <si>
    <r>
      <t>301</t>
    </r>
    <r>
      <rPr>
        <sz val="9"/>
        <rFont val="宋体"/>
        <family val="3"/>
        <charset val="134"/>
      </rPr>
      <t>、</t>
    </r>
    <r>
      <rPr>
        <sz val="9"/>
        <rFont val="Times New Roman"/>
        <family val="1"/>
        <charset val="134"/>
      </rPr>
      <t>302</t>
    </r>
    <r>
      <rPr>
        <sz val="9"/>
        <rFont val="宋体"/>
        <family val="3"/>
        <charset val="134"/>
      </rPr>
      <t>、</t>
    </r>
    <r>
      <rPr>
        <sz val="9"/>
        <rFont val="Times New Roman"/>
        <family val="1"/>
        <charset val="134"/>
      </rPr>
      <t>309</t>
    </r>
    <r>
      <rPr>
        <sz val="9"/>
        <rFont val="宋体"/>
        <family val="3"/>
        <charset val="134"/>
      </rPr>
      <t>、</t>
    </r>
    <r>
      <rPr>
        <sz val="9"/>
        <rFont val="Times New Roman"/>
        <family val="1"/>
        <charset val="134"/>
      </rPr>
      <t>311</t>
    </r>
    <r>
      <rPr>
        <sz val="9"/>
        <rFont val="宋体"/>
        <family val="3"/>
        <charset val="134"/>
      </rPr>
      <t>、</t>
    </r>
    <r>
      <rPr>
        <sz val="9"/>
        <rFont val="Times New Roman"/>
        <family val="1"/>
        <charset val="134"/>
      </rPr>
      <t>327</t>
    </r>
    <phoneticPr fontId="6" type="noConversion"/>
  </si>
  <si>
    <t>达内科技</t>
  </si>
  <si>
    <r>
      <t>303</t>
    </r>
    <r>
      <rPr>
        <sz val="9"/>
        <rFont val="仿宋_GB2312"/>
        <family val="3"/>
        <charset val="134"/>
      </rPr>
      <t>、</t>
    </r>
    <r>
      <rPr>
        <sz val="9"/>
        <rFont val="Times New Roman"/>
        <family val="1"/>
        <charset val="134"/>
      </rPr>
      <t>305</t>
    </r>
  </si>
  <si>
    <t>押一付一</t>
  </si>
  <si>
    <t>2016.04.01-2017.03.31</t>
  </si>
  <si>
    <t>桂华文化</t>
  </si>
  <si>
    <t>2016.6.6-2017.6.5</t>
  </si>
  <si>
    <t>2016.12.09-2018.12.08</t>
  </si>
  <si>
    <t>赛威讯通</t>
  </si>
  <si>
    <r>
      <t>310</t>
    </r>
    <r>
      <rPr>
        <sz val="9"/>
        <rFont val="宋体"/>
        <family val="3"/>
        <charset val="134"/>
      </rPr>
      <t>（三层中厅</t>
    </r>
    <r>
      <rPr>
        <sz val="9"/>
        <rFont val="Times New Roman"/>
        <family val="1"/>
        <charset val="134"/>
      </rPr>
      <t>-1</t>
    </r>
    <r>
      <rPr>
        <sz val="9"/>
        <rFont val="宋体"/>
        <family val="3"/>
        <charset val="134"/>
      </rPr>
      <t>）</t>
    </r>
  </si>
  <si>
    <t>押二付年</t>
  </si>
  <si>
    <t>2016.1.23-2017.1.22</t>
  </si>
  <si>
    <t>313\315\317\319</t>
  </si>
  <si>
    <t>2016.11.10-2017.11.9</t>
  </si>
  <si>
    <t>2016.10.03-2018.12.31</t>
  </si>
  <si>
    <t>北京慧师明德教育科技发展中心</t>
  </si>
  <si>
    <t>海联移字第0069645号</t>
  </si>
  <si>
    <t>押一付三</t>
  </si>
  <si>
    <t>2016.10.17-2017.10.16</t>
  </si>
  <si>
    <t>联森科技</t>
  </si>
  <si>
    <t>海联移字第0069630号</t>
    <phoneticPr fontId="6" type="noConversion"/>
  </si>
  <si>
    <t>2016.09.10-20017.09.09</t>
  </si>
  <si>
    <t>四层</t>
  </si>
  <si>
    <t>华禹中恒</t>
  </si>
  <si>
    <t>2016.08.1-2017.07.31</t>
  </si>
  <si>
    <t>海其更字第00195号、海联移字第00010号</t>
    <phoneticPr fontId="6" type="noConversion"/>
  </si>
  <si>
    <r>
      <t>402</t>
    </r>
    <r>
      <rPr>
        <sz val="9"/>
        <rFont val="仿宋_GB2312"/>
        <family val="3"/>
        <charset val="134"/>
      </rPr>
      <t>\</t>
    </r>
    <r>
      <rPr>
        <sz val="9"/>
        <rFont val="Times New Roman"/>
        <family val="1"/>
        <charset val="134"/>
      </rPr>
      <t>406</t>
    </r>
    <r>
      <rPr>
        <sz val="9"/>
        <rFont val="仿宋_GB2312"/>
        <family val="3"/>
        <charset val="134"/>
      </rPr>
      <t>\</t>
    </r>
    <r>
      <rPr>
        <sz val="9"/>
        <rFont val="Times New Roman"/>
        <family val="1"/>
        <charset val="134"/>
      </rPr>
      <t>412</t>
    </r>
    <r>
      <rPr>
        <sz val="9"/>
        <rFont val="仿宋_GB2312"/>
        <family val="3"/>
        <charset val="134"/>
      </rPr>
      <t>\</t>
    </r>
    <r>
      <rPr>
        <sz val="9"/>
        <rFont val="Times New Roman"/>
        <family val="1"/>
        <charset val="134"/>
      </rPr>
      <t>414</t>
    </r>
    <r>
      <rPr>
        <sz val="9"/>
        <rFont val="仿宋_GB2312"/>
        <family val="3"/>
        <charset val="134"/>
      </rPr>
      <t>\</t>
    </r>
    <r>
      <rPr>
        <sz val="9"/>
        <rFont val="Times New Roman"/>
        <family val="1"/>
        <charset val="134"/>
      </rPr>
      <t>416</t>
    </r>
  </si>
  <si>
    <t>2016.01.04-2019.01.03</t>
  </si>
  <si>
    <t>世纪中为</t>
  </si>
  <si>
    <t>月</t>
  </si>
  <si>
    <t>昭熠教育</t>
  </si>
  <si>
    <t>2016.4.11-2017.4.10</t>
  </si>
  <si>
    <t>海其更字第00195号</t>
  </si>
  <si>
    <t>410/417</t>
  </si>
  <si>
    <t>2017.1.1-2017.12.31</t>
  </si>
  <si>
    <t>北京千人易得教育咨询有限公司</t>
  </si>
  <si>
    <t>2016.07.01-2018-06.30</t>
  </si>
  <si>
    <t>2016.06.09-2019.06.08</t>
  </si>
  <si>
    <t>传帮商务</t>
  </si>
  <si>
    <t>2016.4.28-2017.4.27</t>
  </si>
  <si>
    <t>高思博乐</t>
  </si>
  <si>
    <t>海联移字第00010号</t>
    <phoneticPr fontId="6" type="noConversion"/>
  </si>
  <si>
    <t>2016.05.04-2017.05.03</t>
  </si>
  <si>
    <t>半年</t>
  </si>
  <si>
    <t>押一付六</t>
  </si>
  <si>
    <t>2016.03.01-2017.02.28</t>
  </si>
  <si>
    <t>爱彼德/童程童美</t>
  </si>
  <si>
    <t>2016.09.15-2017.09.14</t>
  </si>
  <si>
    <r>
      <t>510</t>
    </r>
    <r>
      <rPr>
        <sz val="9"/>
        <rFont val="宋体"/>
        <family val="3"/>
        <charset val="134"/>
      </rPr>
      <t>、</t>
    </r>
    <r>
      <rPr>
        <sz val="9"/>
        <rFont val="Times New Roman"/>
        <family val="1"/>
        <charset val="134"/>
      </rPr>
      <t>510-1</t>
    </r>
  </si>
  <si>
    <t>2016.01.01-2018.12.31</t>
  </si>
  <si>
    <t>红袖添香/爱彼德/童程童美</t>
  </si>
  <si>
    <t>北京中联北视影视策划中心</t>
  </si>
  <si>
    <t>513A</t>
  </si>
  <si>
    <t>押一付二</t>
  </si>
  <si>
    <t>2016.08.21-2017.08.20</t>
  </si>
  <si>
    <t>中视裕龙</t>
  </si>
  <si>
    <t>513B</t>
  </si>
  <si>
    <t xml:space="preserve">网文欣阅/王伟 </t>
  </si>
  <si>
    <t>515/517/519</t>
  </si>
  <si>
    <t>2016.06.01-2017.02.15</t>
  </si>
  <si>
    <t>七层</t>
  </si>
  <si>
    <r>
      <t>3701</t>
    </r>
    <r>
      <rPr>
        <sz val="9"/>
        <color indexed="8"/>
        <rFont val="仿宋_GB2312"/>
        <family val="3"/>
        <charset val="134"/>
      </rPr>
      <t>、</t>
    </r>
    <r>
      <rPr>
        <sz val="9"/>
        <color indexed="8"/>
        <rFont val="Times New Roman"/>
        <family val="1"/>
        <charset val="134"/>
      </rPr>
      <t>3712</t>
    </r>
  </si>
  <si>
    <t>2017.03.23-2018.03.22</t>
  </si>
  <si>
    <t>2017.4.8-2018.4.7</t>
  </si>
  <si>
    <t>2017.12.1-2018.11.30</t>
  </si>
  <si>
    <t>2017.11.6-2018.11.5</t>
  </si>
  <si>
    <t>2017.5.17-2018.5.16</t>
  </si>
  <si>
    <t>2017.12.29-2018.12.28</t>
  </si>
  <si>
    <t>2017.07.23-2018.7.22</t>
  </si>
  <si>
    <t>2017.4.17-2018.4.16</t>
  </si>
  <si>
    <t>达内杭州</t>
  </si>
  <si>
    <t>2017.03.18-2018.03.17</t>
  </si>
  <si>
    <t>2017.7.21-2018.7.20</t>
  </si>
  <si>
    <t>2016.4.22-2018.10.11</t>
  </si>
  <si>
    <t>2016.4.24-2018.10.11</t>
  </si>
  <si>
    <t>2016.03.12-2019.03.11</t>
  </si>
  <si>
    <t>2016.6.1-2018.10.11</t>
  </si>
  <si>
    <t>2016.7.3-2018.10.11</t>
  </si>
  <si>
    <r>
      <t>3725</t>
    </r>
    <r>
      <rPr>
        <sz val="9"/>
        <color indexed="8"/>
        <rFont val="仿宋_GB2312"/>
        <family val="3"/>
        <charset val="134"/>
      </rPr>
      <t>、</t>
    </r>
    <r>
      <rPr>
        <sz val="9"/>
        <color indexed="8"/>
        <rFont val="Times New Roman"/>
        <family val="1"/>
        <charset val="134"/>
      </rPr>
      <t>3727</t>
    </r>
  </si>
  <si>
    <t>2016.9.1-2018.10.11</t>
  </si>
  <si>
    <t>2016.4.16-2018.10.11</t>
  </si>
  <si>
    <t>2016.02.09-2019.02.08</t>
  </si>
  <si>
    <t>八层</t>
  </si>
  <si>
    <r>
      <t>5809</t>
    </r>
    <r>
      <rPr>
        <sz val="9"/>
        <color indexed="8"/>
        <rFont val="仿宋_GB2312"/>
        <family val="3"/>
        <charset val="134"/>
      </rPr>
      <t>、</t>
    </r>
    <r>
      <rPr>
        <sz val="9"/>
        <color indexed="8"/>
        <rFont val="Times New Roman"/>
        <family val="1"/>
        <charset val="134"/>
      </rPr>
      <t>11</t>
    </r>
    <r>
      <rPr>
        <sz val="9"/>
        <color indexed="8"/>
        <rFont val="仿宋_GB2312"/>
        <family val="3"/>
        <charset val="134"/>
      </rPr>
      <t>、</t>
    </r>
    <r>
      <rPr>
        <sz val="9"/>
        <color indexed="8"/>
        <rFont val="Times New Roman"/>
        <family val="1"/>
        <charset val="134"/>
      </rPr>
      <t>13</t>
    </r>
    <r>
      <rPr>
        <sz val="9"/>
        <color indexed="8"/>
        <rFont val="仿宋_GB2312"/>
        <family val="3"/>
        <charset val="134"/>
      </rPr>
      <t>、</t>
    </r>
    <r>
      <rPr>
        <sz val="9"/>
        <color indexed="8"/>
        <rFont val="Times New Roman"/>
        <family val="1"/>
        <charset val="134"/>
      </rPr>
      <t>15</t>
    </r>
  </si>
  <si>
    <t>2016.6.1-2018.12.30</t>
  </si>
  <si>
    <r>
      <t>5800</t>
    </r>
    <r>
      <rPr>
        <sz val="9"/>
        <rFont val="仿宋_GB2312"/>
        <family val="3"/>
        <charset val="134"/>
      </rPr>
      <t>、</t>
    </r>
    <r>
      <rPr>
        <sz val="9"/>
        <rFont val="Times New Roman"/>
        <family val="1"/>
        <charset val="134"/>
      </rPr>
      <t>5801</t>
    </r>
    <r>
      <rPr>
        <sz val="9"/>
        <rFont val="仿宋_GB2312"/>
        <family val="3"/>
        <charset val="134"/>
      </rPr>
      <t>、</t>
    </r>
    <r>
      <rPr>
        <sz val="9"/>
        <rFont val="Times New Roman"/>
        <family val="1"/>
        <charset val="134"/>
      </rPr>
      <t>5802</t>
    </r>
    <r>
      <rPr>
        <sz val="9"/>
        <rFont val="宋体"/>
        <family val="3"/>
        <charset val="134"/>
      </rPr>
      <t>、</t>
    </r>
    <r>
      <rPr>
        <sz val="9"/>
        <rFont val="Times New Roman"/>
        <family val="1"/>
        <charset val="134"/>
      </rPr>
      <t>5803</t>
    </r>
    <r>
      <rPr>
        <sz val="9"/>
        <rFont val="仿宋_GB2312"/>
        <family val="3"/>
        <charset val="134"/>
      </rPr>
      <t>、</t>
    </r>
    <r>
      <rPr>
        <sz val="9"/>
        <rFont val="Times New Roman"/>
        <family val="1"/>
        <charset val="134"/>
      </rPr>
      <t>5806</t>
    </r>
    <r>
      <rPr>
        <sz val="9"/>
        <rFont val="宋体"/>
        <family val="3"/>
        <charset val="134"/>
      </rPr>
      <t>、</t>
    </r>
    <r>
      <rPr>
        <sz val="9"/>
        <rFont val="Times New Roman"/>
        <family val="1"/>
        <charset val="134"/>
      </rPr>
      <t>5808</t>
    </r>
    <r>
      <rPr>
        <sz val="9"/>
        <rFont val="宋体"/>
        <family val="3"/>
        <charset val="134"/>
      </rPr>
      <t>、</t>
    </r>
    <r>
      <rPr>
        <sz val="9"/>
        <rFont val="Times New Roman"/>
        <family val="1"/>
        <charset val="134"/>
      </rPr>
      <t>5810</t>
    </r>
    <r>
      <rPr>
        <sz val="9"/>
        <rFont val="宋体"/>
        <family val="3"/>
        <charset val="134"/>
      </rPr>
      <t>、</t>
    </r>
    <r>
      <rPr>
        <sz val="9"/>
        <rFont val="Times New Roman"/>
        <family val="1"/>
        <charset val="134"/>
      </rPr>
      <t>5812</t>
    </r>
    <r>
      <rPr>
        <sz val="9"/>
        <rFont val="宋体"/>
        <family val="3"/>
        <charset val="134"/>
      </rPr>
      <t>、</t>
    </r>
    <r>
      <rPr>
        <sz val="9"/>
        <rFont val="Times New Roman"/>
        <family val="1"/>
        <charset val="134"/>
      </rPr>
      <t>5816</t>
    </r>
    <r>
      <rPr>
        <sz val="9"/>
        <rFont val="宋体"/>
        <family val="3"/>
        <charset val="134"/>
      </rPr>
      <t>、</t>
    </r>
    <r>
      <rPr>
        <sz val="9"/>
        <rFont val="Times New Roman"/>
        <family val="1"/>
        <charset val="134"/>
      </rPr>
      <t>5821</t>
    </r>
    <r>
      <rPr>
        <sz val="9"/>
        <rFont val="宋体"/>
        <family val="3"/>
        <charset val="134"/>
      </rPr>
      <t>、</t>
    </r>
    <r>
      <rPr>
        <sz val="9"/>
        <rFont val="Times New Roman"/>
        <family val="1"/>
        <charset val="134"/>
      </rPr>
      <t>5823</t>
    </r>
    <r>
      <rPr>
        <sz val="9"/>
        <rFont val="宋体"/>
        <family val="3"/>
        <charset val="134"/>
      </rPr>
      <t>、</t>
    </r>
    <r>
      <rPr>
        <sz val="9"/>
        <rFont val="Times New Roman"/>
        <family val="1"/>
        <charset val="134"/>
      </rPr>
      <t>5825</t>
    </r>
    <r>
      <rPr>
        <sz val="9"/>
        <rFont val="宋体"/>
        <family val="3"/>
        <charset val="134"/>
      </rPr>
      <t>、</t>
    </r>
    <r>
      <rPr>
        <sz val="9"/>
        <rFont val="Times New Roman"/>
        <family val="1"/>
        <charset val="134"/>
      </rPr>
      <t>5826</t>
    </r>
    <r>
      <rPr>
        <sz val="9"/>
        <rFont val="宋体"/>
        <family val="3"/>
        <charset val="134"/>
      </rPr>
      <t>、</t>
    </r>
    <r>
      <rPr>
        <sz val="9"/>
        <rFont val="Times New Roman"/>
        <family val="1"/>
        <charset val="134"/>
      </rPr>
      <t>5827</t>
    </r>
    <r>
      <rPr>
        <sz val="9"/>
        <rFont val="宋体"/>
        <family val="3"/>
        <charset val="134"/>
      </rPr>
      <t>、</t>
    </r>
    <r>
      <rPr>
        <sz val="9"/>
        <rFont val="Times New Roman"/>
        <family val="1"/>
        <charset val="134"/>
      </rPr>
      <t>5828</t>
    </r>
  </si>
  <si>
    <t>2016.07.01-2018.10.11</t>
  </si>
  <si>
    <r>
      <t>5817</t>
    </r>
    <r>
      <rPr>
        <sz val="9"/>
        <rFont val="仿宋_GB2312"/>
        <family val="3"/>
        <charset val="134"/>
      </rPr>
      <t>、</t>
    </r>
    <r>
      <rPr>
        <sz val="9"/>
        <rFont val="Times New Roman"/>
        <family val="1"/>
        <charset val="134"/>
      </rPr>
      <t>5819</t>
    </r>
  </si>
  <si>
    <t>2016.03.06-2019.03.05</t>
  </si>
  <si>
    <t>写字间租金合计</t>
  </si>
  <si>
    <t>高思教育/高思博乐</t>
  </si>
  <si>
    <t>B座二层</t>
  </si>
  <si>
    <t>2016.06.01-2018.09.03</t>
  </si>
  <si>
    <t>天兰</t>
  </si>
  <si>
    <t>B座一层部分</t>
  </si>
  <si>
    <t>2016.4.10-2019.3.9</t>
  </si>
  <si>
    <t>一层/二层部分</t>
  </si>
  <si>
    <t>世纪金柜</t>
  </si>
  <si>
    <t>地下一层</t>
  </si>
  <si>
    <t>2016.4.10-2020.6.19</t>
  </si>
  <si>
    <t>商业租金合计</t>
  </si>
  <si>
    <t>写字间、商业租金总计</t>
  </si>
  <si>
    <t>北京邦维商业管理中心</t>
    <phoneticPr fontId="6" type="noConversion"/>
  </si>
  <si>
    <r>
      <t>产权面积
(</t>
    </r>
    <r>
      <rPr>
        <sz val="9"/>
        <color rgb="FFFF0000"/>
        <rFont val="宋体"/>
        <family val="3"/>
        <charset val="134"/>
      </rPr>
      <t>㎡</t>
    </r>
    <r>
      <rPr>
        <sz val="9"/>
        <color rgb="FFFF0000"/>
        <rFont val="仿宋_GB2312"/>
        <family val="3"/>
        <charset val="134"/>
      </rPr>
      <t>)</t>
    </r>
  </si>
  <si>
    <r>
      <t>单价/天</t>
    </r>
    <r>
      <rPr>
        <sz val="9"/>
        <color rgb="FFFF0000"/>
        <rFont val="宋体"/>
        <family val="3"/>
        <charset val="134"/>
      </rPr>
      <t>·</t>
    </r>
    <r>
      <rPr>
        <sz val="9"/>
        <color rgb="FFFF0000"/>
        <rFont val="仿宋_GB2312"/>
        <family val="3"/>
        <charset val="134"/>
      </rPr>
      <t>平米</t>
    </r>
    <phoneticPr fontId="6" type="noConversion"/>
  </si>
  <si>
    <r>
      <t>411</t>
    </r>
    <r>
      <rPr>
        <sz val="9"/>
        <color rgb="FFFF0000"/>
        <rFont val="仿宋_GB2312"/>
        <family val="3"/>
        <charset val="134"/>
      </rPr>
      <t>、</t>
    </r>
    <r>
      <rPr>
        <sz val="9"/>
        <color rgb="FFFF0000"/>
        <rFont val="Times New Roman"/>
        <family val="1"/>
        <charset val="134"/>
      </rPr>
      <t>413B</t>
    </r>
  </si>
  <si>
    <r>
      <t>428</t>
    </r>
    <r>
      <rPr>
        <sz val="9"/>
        <color rgb="FFFF0000"/>
        <rFont val="宋体"/>
        <family val="3"/>
        <charset val="134"/>
      </rPr>
      <t>、</t>
    </r>
    <r>
      <rPr>
        <sz val="9"/>
        <color rgb="FFFF0000"/>
        <rFont val="Times New Roman"/>
        <family val="1"/>
        <charset val="134"/>
      </rPr>
      <t>429</t>
    </r>
  </si>
  <si>
    <t>e世界中心</t>
    <phoneticPr fontId="6" type="noConversion"/>
  </si>
  <si>
    <t>中鼎大厦</t>
    <phoneticPr fontId="6" type="noConversion"/>
  </si>
  <si>
    <r>
      <rPr>
        <sz val="10"/>
        <color theme="9" tint="-0.249977111117893"/>
        <rFont val="宋体"/>
        <family val="3"/>
        <charset val="134"/>
      </rPr>
      <t>估价对象周边居住用地比例、居住小区规模和社区发展完善程度，综合评价居住社区成熟度一般</t>
    </r>
    <phoneticPr fontId="6"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</si>
  <si>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6" type="noConversion"/>
  </si>
  <si>
    <t>估价对象位于知春路商圈，周边办公楼项目有希格玛大厦、资金数码园、厦门大厦、卫星大厦、金仪科技大厦，入驻率高，办公集聚程度较好</t>
    <phoneticPr fontId="6" type="noConversion"/>
  </si>
  <si>
    <t>估价对象临近知春路，距离地铁10、13号线知春路站约100米，周边有专168路、311路、319路、630路等公交车通达，停车便捷程度较好，综合评价交通便捷度好</t>
    <phoneticPr fontId="6" type="noConversion"/>
  </si>
  <si>
    <t>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t>
    <phoneticPr fontId="6" type="noConversion"/>
  </si>
  <si>
    <t>估价对象所在区域基础设施水平-七通</t>
    <phoneticPr fontId="6" type="noConversion"/>
  </si>
  <si>
    <t>区域自然环境：知春公园、双榆树公园；人文环境；首体足球场、大运村网球场；
综合评价环境状况较好</t>
    <phoneticPr fontId="6" type="noConversion"/>
  </si>
  <si>
    <r>
      <rPr>
        <sz val="10"/>
        <color theme="9" tint="-0.249977111117893"/>
        <rFont val="宋体"/>
        <family val="3"/>
        <charset val="134"/>
      </rPr>
      <t>城市主干道</t>
    </r>
    <r>
      <rPr>
        <sz val="10"/>
        <color theme="9" tint="-0.249977111117893"/>
        <rFont val="Arial"/>
        <family val="2"/>
      </rPr>
      <t>-</t>
    </r>
    <r>
      <rPr>
        <sz val="10"/>
        <color theme="9" tint="-0.249977111117893"/>
        <rFont val="宋体"/>
        <family val="3"/>
        <charset val="134"/>
      </rPr>
      <t>知春路</t>
    </r>
    <phoneticPr fontId="6" type="noConversion"/>
  </si>
  <si>
    <t>海淀管理中心2016年商业店铺租金统计表（黄庄）</t>
    <phoneticPr fontId="6" type="noConversion"/>
  </si>
  <si>
    <t>房产信息</t>
  </si>
  <si>
    <t>物业信息</t>
  </si>
  <si>
    <t>年租金收缴明细</t>
  </si>
  <si>
    <t>承租方</t>
  </si>
  <si>
    <t>铺位地址</t>
  </si>
  <si>
    <t>经营用途</t>
  </si>
  <si>
    <t>承租面积</t>
  </si>
  <si>
    <t>租期</t>
  </si>
  <si>
    <t>起租日</t>
  </si>
  <si>
    <t>终止日</t>
  </si>
  <si>
    <t>合同年租金</t>
  </si>
  <si>
    <t>日平米租金</t>
  </si>
  <si>
    <t>缴费方式</t>
  </si>
  <si>
    <t>物业费
元/日/平</t>
  </si>
  <si>
    <t>缴费金额
元/年</t>
  </si>
  <si>
    <t>每期支付金额</t>
  </si>
  <si>
    <t>物业押金</t>
  </si>
  <si>
    <t>供暖费
元/平/季</t>
  </si>
  <si>
    <t>缴费金额</t>
  </si>
  <si>
    <t>水费</t>
  </si>
  <si>
    <t>电费</t>
  </si>
  <si>
    <t>水电费押金</t>
  </si>
  <si>
    <t>查表日</t>
  </si>
  <si>
    <t>1月</t>
  </si>
  <si>
    <t>2月</t>
  </si>
  <si>
    <t>3月</t>
  </si>
  <si>
    <t>4月</t>
  </si>
  <si>
    <t>5月</t>
  </si>
  <si>
    <t>6月</t>
  </si>
  <si>
    <t>累计</t>
  </si>
  <si>
    <t>7月</t>
  </si>
  <si>
    <t>8月</t>
  </si>
  <si>
    <t>9月</t>
  </si>
  <si>
    <t>10月</t>
  </si>
  <si>
    <t>11月</t>
  </si>
  <si>
    <t>12月</t>
  </si>
  <si>
    <t>中国人民大学出版社有限公司</t>
  </si>
  <si>
    <t>北京市海淀区海淀南路甲2号东润商厦写字楼四层</t>
  </si>
  <si>
    <t>办公用房</t>
  </si>
  <si>
    <t>3年</t>
  </si>
  <si>
    <t>2012.03.16</t>
  </si>
  <si>
    <t>2018.03.15</t>
  </si>
  <si>
    <t>半年付</t>
  </si>
  <si>
    <t>每年11.15前</t>
  </si>
  <si>
    <t>市政
代缴6.5元</t>
  </si>
  <si>
    <t>市政48KW
插卡1.2元</t>
  </si>
  <si>
    <t>北京卓越优才教育科技有限公司</t>
  </si>
  <si>
    <t>北京市海淀区海淀南路甲2号东润商厦写字楼五、六层</t>
  </si>
  <si>
    <t>培训、教育</t>
  </si>
  <si>
    <t>5年</t>
  </si>
  <si>
    <t>2015.01.05</t>
  </si>
  <si>
    <t>2020.01.04</t>
  </si>
  <si>
    <t>北京市海淀区海淀南路甲2号东润商厦写字楼五、六层北立面墙外，六层顶部女儿墙依楼体走势</t>
  </si>
  <si>
    <t>广告</t>
  </si>
  <si>
    <t>北京麦当劳食品有限公司</t>
  </si>
  <si>
    <t>海淀区海淀南路甲2号一层101及地下一层B101</t>
  </si>
  <si>
    <t>快餐经营</t>
  </si>
  <si>
    <t>8年</t>
  </si>
  <si>
    <t>2016.09.27</t>
  </si>
  <si>
    <t>2024.09.26</t>
  </si>
  <si>
    <t xml:space="preserve">2016.09.27-2019.09.26，350万/年
2019.09.27-2022.09.26,378万/年2022.09.27-2024.09.26，408.24万/年
</t>
  </si>
  <si>
    <t>/</t>
  </si>
  <si>
    <t>市政供DN65，排DN100
按国家标准</t>
  </si>
  <si>
    <t>市政300KW
按国家标准</t>
  </si>
  <si>
    <t>北京市海淀区海淀南路甲2号东润商厦写字楼七层</t>
  </si>
  <si>
    <t>5年11个月15天</t>
  </si>
  <si>
    <t>2012.03.15</t>
  </si>
  <si>
    <t>2018.03.01</t>
  </si>
  <si>
    <t>季付</t>
  </si>
  <si>
    <t>合同内免费</t>
  </si>
  <si>
    <t>代缴，按国家标准收费</t>
  </si>
  <si>
    <t>北京圣恩文化传媒有限公司</t>
  </si>
  <si>
    <t>北京市海淀区海淀南路甲2号东润商厦写字楼七、八层（七层转租给人民大学）</t>
  </si>
  <si>
    <t>10年</t>
  </si>
  <si>
    <t>2008.03.01</t>
  </si>
  <si>
    <t>其中七层20万元由人民大学出版社支付，详见2012.6.4补充协议，协议截止到2018.3.1，七层的任何委约由此承租户负责（七层面积212平，八层面积212）</t>
  </si>
  <si>
    <t>北京市海淀区海淀南路甲2号东润商厦六层顶部女儿墙依楼体走势</t>
  </si>
  <si>
    <t>广告宣传</t>
  </si>
  <si>
    <t>10年零45天</t>
  </si>
  <si>
    <t>2014.06.01</t>
  </si>
  <si>
    <t>2024.07.15</t>
  </si>
  <si>
    <t>免租期14.06.01-14.07.15
14.07.16-18.07.15,80万/年
18.07.16-21.07.15,120万/年
21.07.16-24.07.15,150万/年</t>
  </si>
  <si>
    <t>代缴，按国家商业标准收费</t>
  </si>
  <si>
    <t>北京李先生餐饮管理股份有限公司</t>
  </si>
  <si>
    <t>北京市海淀区海淀南路甲2号东润商厦写字楼二层</t>
  </si>
  <si>
    <t>餐饮</t>
  </si>
  <si>
    <t>6年2个月</t>
  </si>
  <si>
    <t>2013.07.09</t>
  </si>
  <si>
    <t>2019.07.08</t>
  </si>
  <si>
    <t>免租期61天，13.5.9-13.7.8
13.07.09-16.07.08，160万/年
16.07.09-19.07.08，168万/年</t>
  </si>
  <si>
    <t>市政供DN32，排DN100，
6.5元/吨</t>
  </si>
  <si>
    <t>市政120KW
1.2元/度</t>
  </si>
  <si>
    <t>其他费用押金100元</t>
  </si>
  <si>
    <t>北京泰峰阁广告有限责任公司</t>
  </si>
  <si>
    <t>海淀区海淀南路甲2号四至六层外立面位置</t>
  </si>
  <si>
    <t>2013.03.20</t>
  </si>
  <si>
    <t>2023.03.19</t>
  </si>
  <si>
    <t>免租期3个月：2012.12.20-2013.3.19
2013.3.20-2016.3.19，80万/年
2016.3.20-2019.3.19，86.4万/年
2019.3.20-2023.3.19，95.04万/年
租赁年半年收益分成＝[当期广告发布收入*（1-15%营销费-8.6%营业税）-当期电费]*30%-半年租金；营业税根据国家调整；每年3、9月10日前提交收益分成表，5日内甲方确认；
补充协议16.03.20-16.09.19减免122739.73元，实收309260.27元。</t>
  </si>
  <si>
    <t>市政40KVA
代缴，1.2元/度（含公摊损耗）</t>
  </si>
  <si>
    <t>每月10前支付电费</t>
  </si>
  <si>
    <t>北京华尔街英语培训中心有限公司</t>
  </si>
  <si>
    <t>北京市海淀区海淀南路甲2号东润商厦三层</t>
  </si>
  <si>
    <t>6年1个月</t>
  </si>
  <si>
    <t>2014.01.01</t>
  </si>
  <si>
    <t>2020.01.31</t>
  </si>
  <si>
    <t>(广告位费用合计414167元，首期支付11667元，其余每期支付17500元，与租金一同支付）
2014.02.01-2016.01.31，1396125元；
2016.02.01-2017.01.31，1479893元；
2017.02.01-2018.01.31，1568686元；
2018.02.01-2019.01.31，1662807元；
2019.02.01-2020.01.31，1762576元；</t>
    <phoneticPr fontId="148" type="noConversion"/>
  </si>
  <si>
    <t>6.5元/吨代缴</t>
  </si>
  <si>
    <t>1.2元/度插卡，到甲方购电</t>
  </si>
  <si>
    <t>每月25日</t>
  </si>
  <si>
    <t>同意窗户遮挡</t>
    <phoneticPr fontId="148" type="noConversion"/>
  </si>
  <si>
    <t>东润大厦</t>
    <phoneticPr fontId="6" type="noConversion"/>
  </si>
  <si>
    <t>办公</t>
    <phoneticPr fontId="28" type="noConversion"/>
  </si>
  <si>
    <t>高层塔楼</t>
    <phoneticPr fontId="28" type="noConversion"/>
  </si>
  <si>
    <t>板楼</t>
    <phoneticPr fontId="28" type="noConversion"/>
  </si>
  <si>
    <t>钢混</t>
    <phoneticPr fontId="28" type="noConversion"/>
  </si>
  <si>
    <r>
      <rPr>
        <sz val="11"/>
        <color indexed="8"/>
        <rFont val="宋体"/>
        <family val="3"/>
        <charset val="134"/>
      </rPr>
      <t>高速路</t>
    </r>
    <r>
      <rPr>
        <sz val="11"/>
        <color indexed="8"/>
        <rFont val="Arial"/>
        <family val="2"/>
      </rPr>
      <t>/</t>
    </r>
    <r>
      <rPr>
        <sz val="11"/>
        <color indexed="8"/>
        <rFont val="宋体"/>
        <family val="3"/>
        <charset val="134"/>
      </rPr>
      <t>快速路</t>
    </r>
    <phoneticPr fontId="28" type="noConversion"/>
  </si>
  <si>
    <t>主干道</t>
    <phoneticPr fontId="28" type="noConversion"/>
  </si>
  <si>
    <t>次干道</t>
    <phoneticPr fontId="28" type="noConversion"/>
  </si>
  <si>
    <t>戴德</t>
    <phoneticPr fontId="293" type="noConversion"/>
  </si>
  <si>
    <t>仲量</t>
    <phoneticPr fontId="293" type="noConversion"/>
  </si>
  <si>
    <t>第一太平</t>
    <phoneticPr fontId="293" type="noConversion"/>
  </si>
  <si>
    <t>全市</t>
    <phoneticPr fontId="293" type="noConversion"/>
  </si>
  <si>
    <t>全市甲级以上办公</t>
    <phoneticPr fontId="293" type="noConversion"/>
  </si>
  <si>
    <t>平均有效租金</t>
    <phoneticPr fontId="293" type="noConversion"/>
  </si>
  <si>
    <t>空置率</t>
    <phoneticPr fontId="293" type="noConversion"/>
  </si>
  <si>
    <t>租金增长率（环比）</t>
    <phoneticPr fontId="293" type="noConversion"/>
  </si>
  <si>
    <t>新增供应</t>
    <phoneticPr fontId="293" type="noConversion"/>
  </si>
  <si>
    <t>库存（万㎡）</t>
    <phoneticPr fontId="293" type="noConversion"/>
  </si>
  <si>
    <t>CPI增长</t>
    <phoneticPr fontId="293" type="noConversion"/>
  </si>
  <si>
    <t>租金增长率</t>
    <phoneticPr fontId="293" type="noConversion"/>
  </si>
  <si>
    <t>存量（万㎡）</t>
    <phoneticPr fontId="293" type="noConversion"/>
  </si>
  <si>
    <t>租金增长率</t>
    <phoneticPr fontId="148" type="noConversion"/>
  </si>
  <si>
    <t>存量（㎡）</t>
    <phoneticPr fontId="293" type="noConversion"/>
  </si>
  <si>
    <r>
      <t>2</t>
    </r>
    <r>
      <rPr>
        <sz val="11"/>
        <color theme="1"/>
        <rFont val="宋体"/>
        <family val="3"/>
        <charset val="134"/>
        <scheme val="minor"/>
      </rPr>
      <t>016Q1</t>
    </r>
    <phoneticPr fontId="148" type="noConversion"/>
  </si>
  <si>
    <r>
      <t>2</t>
    </r>
    <r>
      <rPr>
        <sz val="11"/>
        <color theme="1"/>
        <rFont val="宋体"/>
        <family val="3"/>
        <charset val="134"/>
        <scheme val="minor"/>
      </rPr>
      <t>016Q2</t>
    </r>
    <r>
      <rPr>
        <sz val="11"/>
        <color theme="1"/>
        <rFont val="宋体"/>
        <family val="2"/>
        <scheme val="minor"/>
      </rPr>
      <t/>
    </r>
  </si>
  <si>
    <r>
      <t>2</t>
    </r>
    <r>
      <rPr>
        <sz val="11"/>
        <color theme="1"/>
        <rFont val="宋体"/>
        <family val="3"/>
        <charset val="134"/>
        <scheme val="minor"/>
      </rPr>
      <t>016Q3</t>
    </r>
    <r>
      <rPr>
        <sz val="11"/>
        <color theme="1"/>
        <rFont val="宋体"/>
        <family val="2"/>
        <scheme val="minor"/>
      </rPr>
      <t/>
    </r>
  </si>
  <si>
    <r>
      <t>2</t>
    </r>
    <r>
      <rPr>
        <sz val="11"/>
        <color theme="1"/>
        <rFont val="宋体"/>
        <family val="3"/>
        <charset val="134"/>
        <scheme val="minor"/>
      </rPr>
      <t>016Q4</t>
    </r>
    <r>
      <rPr>
        <sz val="11"/>
        <color theme="1"/>
        <rFont val="宋体"/>
        <family val="2"/>
        <scheme val="minor"/>
      </rPr>
      <t/>
    </r>
  </si>
  <si>
    <r>
      <t>2</t>
    </r>
    <r>
      <rPr>
        <sz val="11"/>
        <color theme="1"/>
        <rFont val="宋体"/>
        <family val="3"/>
        <charset val="134"/>
        <scheme val="minor"/>
      </rPr>
      <t>017Q1</t>
    </r>
    <phoneticPr fontId="148" type="noConversion"/>
  </si>
  <si>
    <r>
      <t>2</t>
    </r>
    <r>
      <rPr>
        <sz val="11"/>
        <color theme="1"/>
        <rFont val="宋体"/>
        <family val="3"/>
        <charset val="134"/>
        <scheme val="minor"/>
      </rPr>
      <t>017Q2</t>
    </r>
    <r>
      <rPr>
        <sz val="11"/>
        <color theme="1"/>
        <rFont val="宋体"/>
        <family val="2"/>
        <scheme val="minor"/>
      </rPr>
      <t/>
    </r>
  </si>
  <si>
    <r>
      <t>2</t>
    </r>
    <r>
      <rPr>
        <sz val="11"/>
        <color theme="1"/>
        <rFont val="宋体"/>
        <family val="3"/>
        <charset val="134"/>
        <scheme val="minor"/>
      </rPr>
      <t>017Q3</t>
    </r>
    <r>
      <rPr>
        <sz val="11"/>
        <color theme="1"/>
        <rFont val="宋体"/>
        <family val="2"/>
        <scheme val="minor"/>
      </rPr>
      <t/>
    </r>
  </si>
  <si>
    <r>
      <t>2</t>
    </r>
    <r>
      <rPr>
        <sz val="11"/>
        <color theme="1"/>
        <rFont val="宋体"/>
        <family val="3"/>
        <charset val="134"/>
        <scheme val="minor"/>
      </rPr>
      <t>017Q4</t>
    </r>
    <r>
      <rPr>
        <sz val="11"/>
        <color theme="1"/>
        <rFont val="宋体"/>
        <family val="2"/>
        <scheme val="minor"/>
      </rPr>
      <t/>
    </r>
  </si>
  <si>
    <r>
      <t>2</t>
    </r>
    <r>
      <rPr>
        <sz val="11"/>
        <color theme="1"/>
        <rFont val="宋体"/>
        <family val="3"/>
        <charset val="134"/>
        <scheme val="minor"/>
      </rPr>
      <t>018Q1</t>
    </r>
    <phoneticPr fontId="148" type="noConversion"/>
  </si>
  <si>
    <t>小区名</t>
  </si>
  <si>
    <t>均价（元/月/㎡）</t>
  </si>
  <si>
    <t>环比上月</t>
  </si>
  <si>
    <r>
      <t>2</t>
    </r>
    <r>
      <rPr>
        <sz val="11"/>
        <color theme="1"/>
        <rFont val="宋体"/>
        <family val="3"/>
        <charset val="134"/>
        <scheme val="minor"/>
      </rPr>
      <t>018Q2</t>
    </r>
    <r>
      <rPr>
        <sz val="11"/>
        <color theme="1"/>
        <rFont val="宋体"/>
        <family val="2"/>
        <scheme val="minor"/>
      </rPr>
      <t/>
    </r>
  </si>
  <si>
    <t>东方广场</t>
  </si>
  <si>
    <r>
      <t>2</t>
    </r>
    <r>
      <rPr>
        <sz val="11"/>
        <color theme="1"/>
        <rFont val="宋体"/>
        <family val="3"/>
        <charset val="134"/>
        <scheme val="minor"/>
      </rPr>
      <t>018Q3</t>
    </r>
    <r>
      <rPr>
        <sz val="11"/>
        <color theme="1"/>
        <rFont val="宋体"/>
        <family val="2"/>
        <scheme val="minor"/>
      </rPr>
      <t/>
    </r>
  </si>
  <si>
    <t>东方银座</t>
  </si>
  <si>
    <r>
      <t>2</t>
    </r>
    <r>
      <rPr>
        <sz val="11"/>
        <color theme="1"/>
        <rFont val="宋体"/>
        <family val="3"/>
        <charset val="134"/>
        <scheme val="minor"/>
      </rPr>
      <t>018Q4</t>
    </r>
    <r>
      <rPr>
        <sz val="11"/>
        <color theme="1"/>
        <rFont val="宋体"/>
        <family val="2"/>
        <scheme val="minor"/>
      </rPr>
      <t/>
    </r>
  </si>
  <si>
    <t>光华长安大厦</t>
  </si>
  <si>
    <r>
      <t>2</t>
    </r>
    <r>
      <rPr>
        <sz val="11"/>
        <color theme="1"/>
        <rFont val="宋体"/>
        <family val="3"/>
        <charset val="134"/>
        <scheme val="minor"/>
      </rPr>
      <t>019Q1</t>
    </r>
    <phoneticPr fontId="148" type="noConversion"/>
  </si>
  <si>
    <t>雍和大厦</t>
  </si>
  <si>
    <r>
      <t>2</t>
    </r>
    <r>
      <rPr>
        <sz val="11"/>
        <color theme="1"/>
        <rFont val="宋体"/>
        <family val="3"/>
        <charset val="134"/>
        <scheme val="minor"/>
      </rPr>
      <t>019Q2</t>
    </r>
    <r>
      <rPr>
        <sz val="11"/>
        <color theme="1"/>
        <rFont val="宋体"/>
        <family val="2"/>
        <scheme val="minor"/>
      </rPr>
      <t/>
    </r>
  </si>
  <si>
    <t>银河SOHO</t>
  </si>
  <si>
    <r>
      <t>2</t>
    </r>
    <r>
      <rPr>
        <sz val="11"/>
        <color theme="1"/>
        <rFont val="宋体"/>
        <family val="3"/>
        <charset val="134"/>
        <scheme val="minor"/>
      </rPr>
      <t>019Q3</t>
    </r>
    <r>
      <rPr>
        <sz val="11"/>
        <color theme="1"/>
        <rFont val="宋体"/>
        <family val="2"/>
        <scheme val="minor"/>
      </rPr>
      <t/>
    </r>
  </si>
  <si>
    <t>来福士中心</t>
  </si>
  <si>
    <r>
      <t>2</t>
    </r>
    <r>
      <rPr>
        <sz val="11"/>
        <color theme="1"/>
        <rFont val="宋体"/>
        <family val="3"/>
        <charset val="134"/>
        <scheme val="minor"/>
      </rPr>
      <t>019Q4</t>
    </r>
    <r>
      <rPr>
        <sz val="11"/>
        <color theme="1"/>
        <rFont val="宋体"/>
        <family val="2"/>
        <scheme val="minor"/>
      </rPr>
      <t/>
    </r>
  </si>
  <si>
    <t>北京恒基中心</t>
  </si>
  <si>
    <t>2020Q1</t>
    <phoneticPr fontId="148" type="noConversion"/>
  </si>
  <si>
    <t>歌华大厦</t>
  </si>
  <si>
    <t>2020Q2</t>
  </si>
  <si>
    <t>中汇广场</t>
  </si>
  <si>
    <t>2020Q3</t>
  </si>
  <si>
    <t>天恒大厦</t>
  </si>
  <si>
    <t>2020Q4</t>
  </si>
  <si>
    <t>2021Q1</t>
    <phoneticPr fontId="148" type="noConversion"/>
  </si>
  <si>
    <t>2021Q2</t>
    <phoneticPr fontId="148" type="noConversion"/>
  </si>
  <si>
    <t>2021Q3</t>
    <phoneticPr fontId="148" type="noConversion"/>
  </si>
  <si>
    <t>2021Q4</t>
    <phoneticPr fontId="148" type="noConversion"/>
  </si>
  <si>
    <t>2022Q1</t>
    <phoneticPr fontId="148" type="noConversion"/>
  </si>
  <si>
    <t>2022Q2</t>
    <phoneticPr fontId="148" type="noConversion"/>
  </si>
  <si>
    <t>2022Q3</t>
    <phoneticPr fontId="148" type="noConversion"/>
  </si>
  <si>
    <t>2022Q4</t>
    <phoneticPr fontId="148" type="noConversion"/>
  </si>
  <si>
    <t>库存（㎡）</t>
    <phoneticPr fontId="293" type="noConversion"/>
  </si>
  <si>
    <t>——</t>
    <phoneticPr fontId="148" type="noConversion"/>
  </si>
  <si>
    <t>全市平均（戴德、仲量、第一太平）</t>
    <phoneticPr fontId="293" type="noConversion"/>
  </si>
  <si>
    <t>3方数据</t>
    <phoneticPr fontId="148" type="noConversion"/>
  </si>
  <si>
    <t>2方数据</t>
    <phoneticPr fontId="148" type="noConversion"/>
  </si>
  <si>
    <t>全市平均（戴德、仲量）</t>
    <phoneticPr fontId="293" type="noConversion"/>
  </si>
  <si>
    <t>1方数据</t>
    <phoneticPr fontId="148" type="noConversion"/>
  </si>
  <si>
    <t>商业</t>
    <phoneticPr fontId="148" type="noConversion"/>
  </si>
  <si>
    <t>写字楼</t>
    <phoneticPr fontId="148" type="noConversion"/>
  </si>
  <si>
    <t>供应量</t>
    <phoneticPr fontId="148" type="noConversion"/>
  </si>
  <si>
    <t>需求量
（销售面积）</t>
    <phoneticPr fontId="148" type="noConversion"/>
  </si>
  <si>
    <t>空置率</t>
    <phoneticPr fontId="148" type="noConversion"/>
  </si>
  <si>
    <t>租金-优质物业
（元/平方米/月）</t>
    <phoneticPr fontId="148" type="noConversion"/>
  </si>
  <si>
    <t>供应量
（上市）</t>
    <phoneticPr fontId="148" type="noConversion"/>
  </si>
  <si>
    <t>空置率-甲级</t>
    <phoneticPr fontId="148" type="noConversion"/>
  </si>
  <si>
    <t>租金-甲级
元/平方米/月</t>
    <phoneticPr fontId="148" type="noConversion"/>
  </si>
  <si>
    <t>2008年北京市房地产市场形势分析及展望</t>
    <phoneticPr fontId="148" type="noConversion"/>
  </si>
  <si>
    <t>超过30%</t>
    <phoneticPr fontId="148" type="noConversion"/>
  </si>
  <si>
    <t>中指</t>
    <phoneticPr fontId="148" type="noConversion"/>
  </si>
  <si>
    <t>savills</t>
    <phoneticPr fontId="148" type="noConversion"/>
  </si>
  <si>
    <t>平均（dtz+jll+savills）</t>
    <phoneticPr fontId="148" type="noConversion"/>
  </si>
  <si>
    <t>dtz</t>
    <phoneticPr fontId="148" type="noConversion"/>
  </si>
  <si>
    <t>年度</t>
    <phoneticPr fontId="148" type="noConversion"/>
  </si>
  <si>
    <t>租金</t>
    <phoneticPr fontId="148" type="noConversion"/>
  </si>
  <si>
    <t>增长率</t>
    <phoneticPr fontId="148" type="noConversion"/>
  </si>
  <si>
    <t>中关村</t>
    <phoneticPr fontId="293" type="noConversion"/>
  </si>
  <si>
    <t>全市平均（戴德、第一太平）</t>
    <phoneticPr fontId="148" type="noConversion"/>
  </si>
  <si>
    <t>时间</t>
    <phoneticPr fontId="148" type="noConversion"/>
  </si>
  <si>
    <t>存量</t>
    <phoneticPr fontId="148" type="noConversion"/>
  </si>
  <si>
    <t>16年</t>
    <phoneticPr fontId="148" type="noConversion"/>
  </si>
  <si>
    <t>17年</t>
    <phoneticPr fontId="148" type="noConversion"/>
  </si>
  <si>
    <t>18年</t>
    <phoneticPr fontId="148" type="noConversion"/>
  </si>
  <si>
    <t>19年</t>
    <phoneticPr fontId="148" type="noConversion"/>
  </si>
  <si>
    <t>20年</t>
    <phoneticPr fontId="148" type="noConversion"/>
  </si>
  <si>
    <t>21年</t>
    <phoneticPr fontId="148" type="noConversion"/>
  </si>
  <si>
    <t>22年</t>
    <phoneticPr fontId="148" type="noConversion"/>
  </si>
  <si>
    <t>租金</t>
    <phoneticPr fontId="148" type="noConversion"/>
  </si>
  <si>
    <t>增长率</t>
    <phoneticPr fontId="148" type="noConversion"/>
  </si>
  <si>
    <t>2016.7.7-2017.7.6</t>
    <phoneticPr fontId="148" type="noConversion"/>
  </si>
  <si>
    <t>2017.7.7-2018.7.6</t>
    <phoneticPr fontId="148" type="noConversion"/>
  </si>
  <si>
    <t>2018.7.7-2019.7.6</t>
    <phoneticPr fontId="148" type="noConversion"/>
  </si>
  <si>
    <t>2020.7.7-2021.7.6</t>
    <phoneticPr fontId="148" type="noConversion"/>
  </si>
  <si>
    <t>2019.7.7-2020.7.6</t>
    <phoneticPr fontId="148" type="noConversion"/>
  </si>
  <si>
    <t>天数</t>
    <phoneticPr fontId="148" type="noConversion"/>
  </si>
  <si>
    <t>总租金</t>
    <phoneticPr fontId="148" type="noConversion"/>
  </si>
  <si>
    <t>2021.7.7-2022.10.11</t>
    <phoneticPr fontId="148" type="noConversion"/>
  </si>
  <si>
    <t>16-17年</t>
    <phoneticPr fontId="148" type="noConversion"/>
  </si>
  <si>
    <t>17-18年</t>
    <phoneticPr fontId="148" type="noConversion"/>
  </si>
  <si>
    <t>18-19年</t>
    <phoneticPr fontId="148" type="noConversion"/>
  </si>
  <si>
    <t>19-20年</t>
    <phoneticPr fontId="148" type="noConversion"/>
  </si>
  <si>
    <t>20-21年</t>
    <phoneticPr fontId="148" type="noConversion"/>
  </si>
  <si>
    <t>21-22年</t>
    <phoneticPr fontId="148" type="noConversion"/>
  </si>
  <si>
    <t>——</t>
    <phoneticPr fontId="148" type="noConversion"/>
  </si>
  <si>
    <r>
      <rPr>
        <b/>
        <sz val="11"/>
        <color indexed="8"/>
        <rFont val="宋体"/>
        <family val="3"/>
        <charset val="134"/>
      </rPr>
      <t>综合取费</t>
    </r>
    <phoneticPr fontId="6" type="noConversion"/>
  </si>
  <si>
    <r>
      <rPr>
        <sz val="11"/>
        <color indexed="8"/>
        <rFont val="宋体"/>
        <family val="3"/>
        <charset val="134"/>
      </rPr>
      <t>土地使用年期</t>
    </r>
    <phoneticPr fontId="6" type="noConversion"/>
  </si>
  <si>
    <r>
      <rPr>
        <sz val="11"/>
        <color indexed="8"/>
        <rFont val="宋体"/>
        <family val="3"/>
        <charset val="134"/>
      </rPr>
      <t>建安费用</t>
    </r>
    <phoneticPr fontId="6"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</si>
  <si>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6" type="noConversion"/>
  </si>
  <si>
    <r>
      <rPr>
        <sz val="11"/>
        <color indexed="8"/>
        <rFont val="宋体"/>
        <family val="3"/>
        <charset val="134"/>
      </rPr>
      <t>租期外</t>
    </r>
    <phoneticPr fontId="6" type="noConversion"/>
  </si>
  <si>
    <r>
      <rPr>
        <sz val="11"/>
        <color indexed="8"/>
        <rFont val="宋体"/>
        <family val="3"/>
        <charset val="134"/>
      </rPr>
      <t>收益期</t>
    </r>
    <phoneticPr fontId="6" type="noConversion"/>
  </si>
  <si>
    <r>
      <rPr>
        <sz val="11"/>
        <color indexed="8"/>
        <rFont val="宋体"/>
        <family val="3"/>
        <charset val="134"/>
      </rPr>
      <t>项目类型</t>
    </r>
    <phoneticPr fontId="6" type="noConversion"/>
  </si>
  <si>
    <r>
      <rPr>
        <sz val="11"/>
        <color indexed="8"/>
        <rFont val="宋体"/>
        <family val="3"/>
        <charset val="134"/>
      </rPr>
      <t>类别</t>
    </r>
    <phoneticPr fontId="6" type="noConversion"/>
  </si>
  <si>
    <r>
      <rPr>
        <sz val="11"/>
        <color indexed="8"/>
        <rFont val="宋体"/>
        <family val="3"/>
        <charset val="134"/>
      </rPr>
      <t>建筑面积</t>
    </r>
    <phoneticPr fontId="6" type="noConversion"/>
  </si>
  <si>
    <r>
      <rPr>
        <sz val="11"/>
        <color indexed="8"/>
        <rFont val="宋体"/>
        <family val="3"/>
        <charset val="134"/>
      </rPr>
      <t>单方造价</t>
    </r>
    <phoneticPr fontId="6" type="noConversion"/>
  </si>
  <si>
    <r>
      <rPr>
        <sz val="11"/>
        <color indexed="8"/>
        <rFont val="宋体"/>
        <family val="3"/>
        <charset val="134"/>
      </rPr>
      <t>建安总额</t>
    </r>
    <phoneticPr fontId="6" type="noConversion"/>
  </si>
  <si>
    <t>成新度</t>
  </si>
  <si>
    <r>
      <rPr>
        <sz val="11"/>
        <color indexed="8"/>
        <rFont val="宋体"/>
        <family val="3"/>
        <charset val="134"/>
      </rPr>
      <t>在建建安</t>
    </r>
    <phoneticPr fontId="6" type="noConversion"/>
  </si>
  <si>
    <r>
      <rPr>
        <sz val="11"/>
        <color indexed="8"/>
        <rFont val="宋体"/>
        <family val="3"/>
        <charset val="134"/>
      </rPr>
      <t>续建建安</t>
    </r>
    <phoneticPr fontId="6" type="noConversion"/>
  </si>
  <si>
    <r>
      <rPr>
        <sz val="11"/>
        <color indexed="8"/>
        <rFont val="宋体"/>
        <family val="3"/>
        <charset val="134"/>
      </rPr>
      <t>分摊土地面积（经营性）</t>
    </r>
    <phoneticPr fontId="6" type="noConversion"/>
  </si>
  <si>
    <r>
      <rPr>
        <sz val="11"/>
        <color indexed="8"/>
        <rFont val="宋体"/>
        <family val="3"/>
        <charset val="134"/>
      </rPr>
      <t>建筑面积（分摊设备）</t>
    </r>
    <phoneticPr fontId="6" type="noConversion"/>
  </si>
  <si>
    <r>
      <rPr>
        <sz val="11"/>
        <color indexed="8"/>
        <rFont val="宋体"/>
        <family val="3"/>
        <charset val="134"/>
      </rPr>
      <t>总建安（分摊非经营）</t>
    </r>
    <phoneticPr fontId="6" type="noConversion"/>
  </si>
  <si>
    <r>
      <rPr>
        <sz val="11"/>
        <color indexed="8"/>
        <rFont val="宋体"/>
        <family val="3"/>
        <charset val="134"/>
      </rPr>
      <t>租金</t>
    </r>
    <phoneticPr fontId="6" type="noConversion"/>
  </si>
  <si>
    <r>
      <rPr>
        <sz val="11"/>
        <color indexed="8"/>
        <rFont val="宋体"/>
        <family val="3"/>
        <charset val="134"/>
      </rPr>
      <t>剩余租赁期</t>
    </r>
    <phoneticPr fontId="6" type="noConversion"/>
  </si>
  <si>
    <r>
      <rPr>
        <sz val="11"/>
        <color indexed="8"/>
        <rFont val="宋体"/>
        <family val="3"/>
        <charset val="134"/>
      </rPr>
      <t>租赁期外收益期</t>
    </r>
    <phoneticPr fontId="6"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</si>
  <si>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6" type="noConversion"/>
  </si>
  <si>
    <r>
      <rPr>
        <sz val="11"/>
        <color indexed="8"/>
        <rFont val="宋体"/>
        <family val="3"/>
        <charset val="134"/>
      </rPr>
      <t>请选择所对应的收益法</t>
    </r>
    <phoneticPr fontId="6" type="noConversion"/>
  </si>
  <si>
    <r>
      <rPr>
        <sz val="11"/>
        <color indexed="8"/>
        <rFont val="宋体"/>
        <family val="3"/>
        <charset val="134"/>
      </rPr>
      <t>收益法结果</t>
    </r>
    <phoneticPr fontId="6" type="noConversion"/>
  </si>
  <si>
    <r>
      <rPr>
        <sz val="11"/>
        <color indexed="8"/>
        <rFont val="宋体"/>
        <family val="3"/>
        <charset val="134"/>
      </rPr>
      <t>辅助计算</t>
    </r>
    <phoneticPr fontId="6" type="noConversion"/>
  </si>
  <si>
    <r>
      <rPr>
        <sz val="11"/>
        <color indexed="8"/>
        <rFont val="宋体"/>
        <family val="3"/>
        <charset val="134"/>
      </rPr>
      <t>在建建安（分摊非经营）</t>
    </r>
    <phoneticPr fontId="6" type="noConversion"/>
  </si>
  <si>
    <r>
      <rPr>
        <sz val="11"/>
        <color indexed="8"/>
        <rFont val="宋体"/>
        <family val="3"/>
        <charset val="134"/>
      </rPr>
      <t>续建建安（分摊非经营）</t>
    </r>
    <phoneticPr fontId="6" type="noConversion"/>
  </si>
  <si>
    <t>收益法 (元)</t>
  </si>
  <si>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</si>
  <si>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</si>
  <si>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6" type="noConversion"/>
  </si>
  <si>
    <r>
      <rPr>
        <sz val="11"/>
        <color indexed="8"/>
        <rFont val="宋体"/>
        <family val="3"/>
        <charset val="134"/>
      </rPr>
      <t>公共配套</t>
    </r>
  </si>
  <si>
    <r>
      <rPr>
        <b/>
        <sz val="11"/>
        <color indexed="8"/>
        <rFont val="宋体"/>
        <family val="3"/>
        <charset val="134"/>
      </rPr>
      <t>合计</t>
    </r>
    <phoneticPr fontId="6" type="noConversion"/>
  </si>
  <si>
    <t>★默认为已完成的土地开发期★</t>
    <phoneticPr fontId="6" type="noConversion"/>
  </si>
  <si>
    <r>
      <rPr>
        <sz val="11"/>
        <rFont val="宋体"/>
        <family val="3"/>
        <charset val="134"/>
      </rPr>
      <t>建设期</t>
    </r>
    <phoneticPr fontId="6" type="noConversion"/>
  </si>
  <si>
    <r>
      <rPr>
        <sz val="11"/>
        <color rgb="FFFF0000"/>
        <rFont val="宋体"/>
        <family val="3"/>
        <charset val="134"/>
      </rPr>
      <t>包含未完成的红线外市政工程时间（如现状三通，开发完成后七通）</t>
    </r>
    <phoneticPr fontId="6" type="noConversion"/>
  </si>
  <si>
    <r>
      <rPr>
        <sz val="11"/>
        <color indexed="8"/>
        <rFont val="宋体"/>
        <family val="3"/>
        <charset val="134"/>
      </rPr>
      <t>已建工期</t>
    </r>
    <phoneticPr fontId="6" type="noConversion"/>
  </si>
  <si>
    <r>
      <rPr>
        <sz val="11"/>
        <rFont val="宋体"/>
        <family val="3"/>
        <charset val="134"/>
      </rPr>
      <t>项目开发期</t>
    </r>
    <phoneticPr fontId="6" type="noConversion"/>
  </si>
  <si>
    <r>
      <rPr>
        <sz val="11"/>
        <color indexed="8"/>
        <rFont val="宋体"/>
        <family val="3"/>
        <charset val="134"/>
      </rPr>
      <t>备注</t>
    </r>
    <phoneticPr fontId="6" type="noConversion"/>
  </si>
  <si>
    <t>★外省请录依据文件名称★：</t>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</si>
  <si>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6" type="noConversion"/>
  </si>
  <si>
    <r>
      <rPr>
        <sz val="11"/>
        <color rgb="FFFF0000"/>
        <rFont val="宋体"/>
        <family val="3"/>
        <charset val="134"/>
      </rPr>
      <t>凭票据或默认已缴纳</t>
    </r>
    <phoneticPr fontId="6" type="noConversion"/>
  </si>
  <si>
    <r>
      <rPr>
        <sz val="10"/>
        <color rgb="FFFF0000"/>
        <rFont val="宋体"/>
        <family val="3"/>
        <charset val="134"/>
      </rPr>
      <t>范围：</t>
    </r>
    <r>
      <rPr>
        <sz val="10"/>
        <color rgb="FFFF0000"/>
        <rFont val="Arial"/>
        <family val="2"/>
      </rPr>
      <t>3%-5%</t>
    </r>
    <phoneticPr fontId="6" type="noConversion"/>
  </si>
  <si>
    <r>
      <rPr>
        <sz val="10"/>
        <color rgb="FFFF0000"/>
        <rFont val="宋体"/>
        <family val="3"/>
        <charset val="134"/>
      </rPr>
      <t>范围：</t>
    </r>
    <r>
      <rPr>
        <sz val="10"/>
        <color rgb="FFFF0000"/>
        <rFont val="Arial"/>
        <family val="2"/>
      </rPr>
      <t>0-10%</t>
    </r>
    <phoneticPr fontId="6"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</si>
  <si>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6" type="noConversion"/>
  </si>
  <si>
    <r>
      <rPr>
        <sz val="10"/>
        <color rgb="FFFF0000"/>
        <rFont val="宋体"/>
        <family val="3"/>
        <charset val="134"/>
      </rPr>
      <t>变化</t>
    </r>
    <phoneticPr fontId="6" type="noConversion"/>
  </si>
  <si>
    <r>
      <rPr>
        <sz val="10"/>
        <color rgb="FFFF0000"/>
        <rFont val="宋体"/>
        <family val="3"/>
        <charset val="134"/>
      </rPr>
      <t>定值：</t>
    </r>
    <r>
      <rPr>
        <sz val="10"/>
        <color rgb="FFFF0000"/>
        <rFont val="Arial"/>
        <family val="2"/>
      </rPr>
      <t>1.5%</t>
    </r>
    <phoneticPr fontId="6" type="noConversion"/>
  </si>
  <si>
    <r>
      <rPr>
        <sz val="10"/>
        <color rgb="FFFF0000"/>
        <rFont val="宋体"/>
        <family val="3"/>
        <charset val="134"/>
      </rPr>
      <t>范围：</t>
    </r>
    <r>
      <rPr>
        <sz val="10"/>
        <color rgb="FFFF0000"/>
        <rFont val="Arial"/>
        <family val="2"/>
      </rPr>
      <t>1%-3%</t>
    </r>
    <phoneticPr fontId="6" type="noConversion"/>
  </si>
  <si>
    <t>利息：取LPR加浮动点数</t>
  </si>
  <si>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6" type="noConversion"/>
  </si>
  <si>
    <r>
      <rPr>
        <sz val="11"/>
        <color rgb="FFFF0000"/>
        <rFont val="宋体"/>
        <family val="3"/>
        <charset val="134"/>
      </rPr>
      <t>北京：</t>
    </r>
    <r>
      <rPr>
        <sz val="11"/>
        <color rgb="FFFF0000"/>
        <rFont val="Arial"/>
        <family val="2"/>
      </rPr>
      <t>3%</t>
    </r>
    <phoneticPr fontId="6" type="noConversion"/>
  </si>
  <si>
    <r>
      <rPr>
        <sz val="11"/>
        <color rgb="FFFF0000"/>
        <rFont val="宋体"/>
        <family val="3"/>
        <charset val="134"/>
      </rPr>
      <t>北京：</t>
    </r>
    <r>
      <rPr>
        <sz val="11"/>
        <color rgb="FFFF0000"/>
        <rFont val="Arial"/>
        <family val="2"/>
      </rPr>
      <t>2%</t>
    </r>
    <phoneticPr fontId="6" type="noConversion"/>
  </si>
  <si>
    <t>★请录依据文件名称★：</t>
    <phoneticPr fontId="6" type="noConversion"/>
  </si>
  <si>
    <r>
      <rPr>
        <sz val="11"/>
        <color rgb="FFFF0000"/>
        <rFont val="宋体"/>
        <family val="3"/>
        <charset val="134"/>
      </rPr>
      <t>北京：</t>
    </r>
    <r>
      <rPr>
        <sz val="11"/>
        <color rgb="FFFF0000"/>
        <rFont val="Arial"/>
        <family val="2"/>
      </rPr>
      <t>0.05%</t>
    </r>
    <phoneticPr fontId="6" type="noConversion"/>
  </si>
  <si>
    <r>
      <rPr>
        <sz val="11"/>
        <color indexed="10"/>
        <rFont val="宋体"/>
        <family val="3"/>
        <charset val="134"/>
      </rPr>
      <t>★</t>
    </r>
    <r>
      <rPr>
        <sz val="11"/>
        <color indexed="10"/>
        <rFont val="楷体_GB2312"/>
        <family val="3"/>
        <charset val="134"/>
      </rPr>
      <t>其他省市请录依据文件名称★：</t>
    </r>
    <phoneticPr fontId="6" type="noConversion"/>
  </si>
  <si>
    <t>全市</t>
    <phoneticPr fontId="148" type="noConversion"/>
  </si>
  <si>
    <t>中关村</t>
    <phoneticPr fontId="148" type="noConversion"/>
  </si>
  <si>
    <t>免租期1个月：15.01.05-15.02.04
15.01.05-18.01.04:1304875元/年；
18.01.05-20.01.04:1435362.5元/年</t>
    <phoneticPr fontId="148" type="noConversion"/>
  </si>
  <si>
    <t>精装修</t>
    <phoneticPr fontId="28" type="noConversion"/>
  </si>
  <si>
    <t>普通装修</t>
    <phoneticPr fontId="28" type="noConversion"/>
  </si>
  <si>
    <t>甲级</t>
  </si>
  <si>
    <t>甲级</t>
    <phoneticPr fontId="28" type="noConversion"/>
  </si>
  <si>
    <t>乙级</t>
  </si>
  <si>
    <t>乙级</t>
    <phoneticPr fontId="28" type="noConversion"/>
  </si>
  <si>
    <t>物业公司管理</t>
    <phoneticPr fontId="28" type="noConversion"/>
  </si>
  <si>
    <t>五通</t>
    <phoneticPr fontId="28" type="noConversion"/>
  </si>
  <si>
    <t>塔楼</t>
  </si>
  <si>
    <t>塔楼</t>
    <phoneticPr fontId="28" type="noConversion"/>
  </si>
  <si>
    <t>主干道——中关村大街</t>
    <phoneticPr fontId="28" type="noConversion"/>
  </si>
  <si>
    <t>区域自然环境：中关村广场公园；人文环境；北京大学、海淀剧院；
综合评价环境状况较好</t>
    <phoneticPr fontId="28" type="noConversion"/>
  </si>
  <si>
    <t>银行：邮政储蓄银行、宁波银行、中国工商银行；
商业设施：领展购物广场、中关村广场、物美超市、华联超市；
教育机构：北京大学、北京大学附属中学、中国人民大学附属中学、八一学校、中关村第二小学；
医疗机构：北京市海淀医院、北京大学医院、圣安医院；
估价对象所在区域公共配套设施齐备情况较好</t>
    <phoneticPr fontId="28" type="noConversion"/>
  </si>
  <si>
    <t>位于中关村商圈，周边办公楼项目有中科大厦、中钢国际广场、新东方大厦、中国电子大厦、海龙大厦，入驻率高，办公集聚程度好</t>
    <phoneticPr fontId="28" type="noConversion"/>
  </si>
  <si>
    <r>
      <rPr>
        <sz val="11"/>
        <rFont val="宋体"/>
        <family val="3"/>
        <charset val="134"/>
      </rPr>
      <t>紧临中关村大街，距离地铁</t>
    </r>
    <r>
      <rPr>
        <sz val="11"/>
        <rFont val="Arial"/>
        <family val="2"/>
      </rPr>
      <t>4</t>
    </r>
    <r>
      <rPr>
        <sz val="11"/>
        <rFont val="宋体"/>
        <family val="3"/>
        <charset val="134"/>
      </rPr>
      <t>号线中关村站约</t>
    </r>
    <r>
      <rPr>
        <sz val="11"/>
        <rFont val="Arial"/>
        <family val="2"/>
      </rPr>
      <t>200</t>
    </r>
    <r>
      <rPr>
        <sz val="11"/>
        <rFont val="宋体"/>
        <family val="3"/>
        <charset val="134"/>
      </rPr>
      <t>米，周边有</t>
    </r>
    <r>
      <rPr>
        <sz val="11"/>
        <rFont val="Arial"/>
        <family val="2"/>
      </rPr>
      <t>145</t>
    </r>
    <r>
      <rPr>
        <sz val="11"/>
        <rFont val="宋体"/>
        <family val="3"/>
        <charset val="134"/>
      </rPr>
      <t>路、</t>
    </r>
    <r>
      <rPr>
        <sz val="11"/>
        <rFont val="Arial"/>
        <family val="2"/>
      </rPr>
      <t>302</t>
    </r>
    <r>
      <rPr>
        <sz val="11"/>
        <rFont val="宋体"/>
        <family val="3"/>
        <charset val="134"/>
      </rPr>
      <t>路、</t>
    </r>
    <r>
      <rPr>
        <sz val="11"/>
        <rFont val="Arial"/>
        <family val="2"/>
      </rPr>
      <t>307</t>
    </r>
    <r>
      <rPr>
        <sz val="11"/>
        <rFont val="宋体"/>
        <family val="3"/>
        <charset val="134"/>
      </rPr>
      <t>路、</t>
    </r>
    <r>
      <rPr>
        <sz val="11"/>
        <rFont val="Arial"/>
        <family val="2"/>
      </rPr>
      <t>355</t>
    </r>
    <r>
      <rPr>
        <sz val="11"/>
        <rFont val="宋体"/>
        <family val="3"/>
        <charset val="134"/>
      </rPr>
      <t>路、</t>
    </r>
    <r>
      <rPr>
        <sz val="11"/>
        <rFont val="Arial"/>
        <family val="2"/>
      </rPr>
      <t>365</t>
    </r>
    <r>
      <rPr>
        <sz val="11"/>
        <rFont val="宋体"/>
        <family val="3"/>
        <charset val="134"/>
      </rPr>
      <t>路、</t>
    </r>
    <r>
      <rPr>
        <sz val="11"/>
        <rFont val="Arial"/>
        <family val="2"/>
      </rPr>
      <t>584</t>
    </r>
    <r>
      <rPr>
        <sz val="11"/>
        <rFont val="宋体"/>
        <family val="3"/>
        <charset val="134"/>
      </rPr>
      <t>路、</t>
    </r>
    <r>
      <rPr>
        <sz val="11"/>
        <rFont val="Arial"/>
        <family val="2"/>
      </rPr>
      <t>614</t>
    </r>
    <r>
      <rPr>
        <sz val="11"/>
        <rFont val="宋体"/>
        <family val="3"/>
        <charset val="134"/>
      </rPr>
      <t>路、</t>
    </r>
    <r>
      <rPr>
        <sz val="11"/>
        <rFont val="Arial"/>
        <family val="2"/>
      </rPr>
      <t>681</t>
    </r>
    <r>
      <rPr>
        <sz val="11"/>
        <rFont val="宋体"/>
        <family val="3"/>
        <charset val="134"/>
      </rPr>
      <t>路等公交车通达，停车便捷程度较好，综合评价交通便捷度好</t>
    </r>
    <phoneticPr fontId="28" type="noConversion"/>
  </si>
  <si>
    <r>
      <rPr>
        <sz val="11"/>
        <rFont val="宋体"/>
        <family val="3"/>
        <charset val="134"/>
      </rPr>
      <t>所在区域基础设施水平</t>
    </r>
    <r>
      <rPr>
        <sz val="11"/>
        <rFont val="Arial"/>
        <family val="2"/>
      </rPr>
      <t>-</t>
    </r>
    <r>
      <rPr>
        <sz val="11"/>
        <rFont val="宋体"/>
        <family val="3"/>
        <charset val="134"/>
      </rPr>
      <t>七通</t>
    </r>
    <phoneticPr fontId="28" type="noConversion"/>
  </si>
  <si>
    <t>周边办公楼项目有中坤广场、方恒时尚中心，办公集聚程度一般</t>
    <phoneticPr fontId="28" type="noConversion"/>
  </si>
  <si>
    <r>
      <rPr>
        <sz val="11"/>
        <rFont val="宋体"/>
        <family val="3"/>
        <charset val="134"/>
      </rPr>
      <t>紧临北三环西路，距离地铁</t>
    </r>
    <r>
      <rPr>
        <sz val="11"/>
        <rFont val="Arial"/>
        <family val="2"/>
      </rPr>
      <t>13</t>
    </r>
    <r>
      <rPr>
        <sz val="11"/>
        <rFont val="宋体"/>
        <family val="3"/>
        <charset val="134"/>
      </rPr>
      <t>号线大钟寺站约</t>
    </r>
    <r>
      <rPr>
        <sz val="11"/>
        <rFont val="Arial"/>
        <family val="2"/>
      </rPr>
      <t>400</t>
    </r>
    <r>
      <rPr>
        <sz val="11"/>
        <rFont val="宋体"/>
        <family val="3"/>
        <charset val="134"/>
      </rPr>
      <t>米，周边有</t>
    </r>
    <r>
      <rPr>
        <sz val="11"/>
        <rFont val="Arial"/>
        <family val="2"/>
      </rPr>
      <t>87</t>
    </r>
    <r>
      <rPr>
        <sz val="11"/>
        <rFont val="宋体"/>
        <family val="3"/>
        <charset val="134"/>
      </rPr>
      <t>路、</t>
    </r>
    <r>
      <rPr>
        <sz val="11"/>
        <rFont val="Arial"/>
        <family val="2"/>
      </rPr>
      <t>88</t>
    </r>
    <r>
      <rPr>
        <sz val="11"/>
        <rFont val="宋体"/>
        <family val="3"/>
        <charset val="134"/>
      </rPr>
      <t>路、</t>
    </r>
    <r>
      <rPr>
        <sz val="11"/>
        <rFont val="Arial"/>
        <family val="2"/>
      </rPr>
      <t>94</t>
    </r>
    <r>
      <rPr>
        <sz val="11"/>
        <rFont val="宋体"/>
        <family val="3"/>
        <charset val="134"/>
      </rPr>
      <t>路、</t>
    </r>
    <r>
      <rPr>
        <sz val="11"/>
        <rFont val="Arial"/>
        <family val="2"/>
      </rPr>
      <t>300</t>
    </r>
    <r>
      <rPr>
        <sz val="11"/>
        <rFont val="宋体"/>
        <family val="3"/>
        <charset val="134"/>
      </rPr>
      <t>路、</t>
    </r>
    <r>
      <rPr>
        <sz val="11"/>
        <rFont val="Arial"/>
        <family val="2"/>
      </rPr>
      <t>315</t>
    </r>
    <r>
      <rPr>
        <sz val="11"/>
        <rFont val="宋体"/>
        <family val="3"/>
        <charset val="134"/>
      </rPr>
      <t>路、</t>
    </r>
    <r>
      <rPr>
        <sz val="11"/>
        <rFont val="Arial"/>
        <family val="2"/>
      </rPr>
      <t>361</t>
    </r>
    <r>
      <rPr>
        <sz val="11"/>
        <rFont val="宋体"/>
        <family val="3"/>
        <charset val="134"/>
      </rPr>
      <t>路、</t>
    </r>
    <r>
      <rPr>
        <sz val="11"/>
        <rFont val="Arial"/>
        <family val="2"/>
      </rPr>
      <t>425</t>
    </r>
    <r>
      <rPr>
        <sz val="11"/>
        <rFont val="宋体"/>
        <family val="3"/>
        <charset val="134"/>
      </rPr>
      <t>路等公交车通达，停车便捷程度较好，综合评价交通便捷度好</t>
    </r>
    <phoneticPr fontId="28" type="noConversion"/>
  </si>
  <si>
    <t>银行：北京农商银行、招商银行、邮储银行；
商业设施：北京双安商场、京客隆、物美超市；
教育机构：中关村第四小学、首都体育学院、北京交通大学附属中学；
医疗机构：北京家恩德运医院、海淀区蓟门里社区卫生服务中心；
估价对象所在区域公共配套设施齐备情况较好</t>
    <phoneticPr fontId="28" type="noConversion"/>
  </si>
  <si>
    <t>区域自然环境：顺馨园、知春公园；人文环境；北京大学生体育馆；
综合评价环境状况较好</t>
    <phoneticPr fontId="28" type="noConversion"/>
  </si>
  <si>
    <t>快速路——北三环西路</t>
    <phoneticPr fontId="28" type="noConversion"/>
  </si>
  <si>
    <t>主干道——知春路</t>
    <phoneticPr fontId="28" type="noConversion"/>
  </si>
  <si>
    <t>区域自然环境：双榆树公园、知春公园；人文环境；中国人民大学；
综合评价环境状况较好</t>
    <phoneticPr fontId="28" type="noConversion"/>
  </si>
  <si>
    <t>银行：中国民生银行、兴业银行、广发银行、建设银行；
商业设施：领展购物广场、中关村广场、物美超市、华联超市；
教育机构：中国人民、北京大学附属中学、中国人民大学附属中学、中关村中学、人大附中实验小学；
医疗机构：北京市海淀医院、海淀区妇幼保健院；
估价对象所在区域公共配套设施齐备情况较好</t>
    <phoneticPr fontId="28" type="noConversion"/>
  </si>
  <si>
    <r>
      <rPr>
        <sz val="11"/>
        <rFont val="宋体"/>
        <family val="3"/>
        <charset val="134"/>
      </rPr>
      <t>紧临中关村大街，紧临地铁</t>
    </r>
    <r>
      <rPr>
        <sz val="11"/>
        <rFont val="Arial"/>
        <family val="2"/>
      </rPr>
      <t>4</t>
    </r>
    <r>
      <rPr>
        <sz val="11"/>
        <rFont val="宋体"/>
        <family val="3"/>
        <charset val="134"/>
      </rPr>
      <t>、</t>
    </r>
    <r>
      <rPr>
        <sz val="11"/>
        <rFont val="Arial"/>
        <family val="2"/>
      </rPr>
      <t>10</t>
    </r>
    <r>
      <rPr>
        <sz val="11"/>
        <rFont val="宋体"/>
        <family val="3"/>
        <charset val="134"/>
      </rPr>
      <t>号线海淀黄庄站约</t>
    </r>
    <r>
      <rPr>
        <sz val="11"/>
        <rFont val="Arial"/>
        <family val="2"/>
      </rPr>
      <t>200</t>
    </r>
    <r>
      <rPr>
        <sz val="11"/>
        <rFont val="宋体"/>
        <family val="3"/>
        <charset val="134"/>
      </rPr>
      <t>米，周边有</t>
    </r>
    <r>
      <rPr>
        <sz val="11"/>
        <rFont val="Arial"/>
        <family val="2"/>
      </rPr>
      <t>304</t>
    </r>
    <r>
      <rPr>
        <sz val="11"/>
        <rFont val="宋体"/>
        <family val="3"/>
        <charset val="134"/>
      </rPr>
      <t>路、</t>
    </r>
    <r>
      <rPr>
        <sz val="11"/>
        <rFont val="Arial"/>
        <family val="2"/>
      </rPr>
      <t>20</t>
    </r>
    <r>
      <rPr>
        <sz val="11"/>
        <rFont val="宋体"/>
        <family val="3"/>
        <charset val="134"/>
      </rPr>
      <t>路、</t>
    </r>
    <r>
      <rPr>
        <sz val="11"/>
        <rFont val="Arial"/>
        <family val="2"/>
      </rPr>
      <t>355</t>
    </r>
    <r>
      <rPr>
        <sz val="11"/>
        <rFont val="宋体"/>
        <family val="3"/>
        <charset val="134"/>
      </rPr>
      <t>路、</t>
    </r>
    <r>
      <rPr>
        <sz val="11"/>
        <rFont val="Arial"/>
        <family val="2"/>
      </rPr>
      <t>386</t>
    </r>
    <r>
      <rPr>
        <sz val="11"/>
        <rFont val="宋体"/>
        <family val="3"/>
        <charset val="134"/>
      </rPr>
      <t>路、</t>
    </r>
    <r>
      <rPr>
        <sz val="11"/>
        <rFont val="Arial"/>
        <family val="2"/>
      </rPr>
      <t>630</t>
    </r>
    <r>
      <rPr>
        <sz val="11"/>
        <rFont val="宋体"/>
        <family val="3"/>
        <charset val="134"/>
      </rPr>
      <t>路、</t>
    </r>
    <r>
      <rPr>
        <sz val="11"/>
        <rFont val="Arial"/>
        <family val="2"/>
      </rPr>
      <t>653</t>
    </r>
    <r>
      <rPr>
        <sz val="11"/>
        <rFont val="宋体"/>
        <family val="3"/>
        <charset val="134"/>
      </rPr>
      <t>路等公交车通达，停车便捷程度较好，综合评价交通便捷度好</t>
    </r>
    <phoneticPr fontId="28" type="noConversion"/>
  </si>
  <si>
    <t>物业公司管理</t>
  </si>
  <si>
    <t>五通</t>
  </si>
  <si>
    <t>考虑一个月空置期</t>
    <phoneticPr fontId="14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</si>
</sst>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0.00_ ;_ &quot;¥&quot;* \-#,##0.00_ ;_ &quot;¥&quot;* &quot;-&quot;??_ ;_ @_ "/>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301">
    <font>
      <sz val="11"/>
      <color theme="1"/>
      <name val="宋体"/>
      <charset val="134"/>
      <scheme val="minor"/>
    </font>
    <font>
      <sz val="11"/>
      <color theme="1"/>
      <name val="宋体"/>
      <family val="2"/>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4"/>
      <name val="仿宋_GB2312"/>
      <family val="3"/>
      <charset val="134"/>
    </font>
    <font>
      <sz val="9"/>
      <name val="仿宋_GB2312"/>
      <family val="3"/>
      <charset val="134"/>
    </font>
    <font>
      <sz val="11"/>
      <name val="仿宋_GB2312"/>
      <family val="3"/>
      <charset val="134"/>
    </font>
    <font>
      <vertAlign val="superscript"/>
      <sz val="12"/>
      <name val="仿宋_GB2312"/>
      <family val="3"/>
      <charset val="134"/>
    </font>
    <font>
      <vertAlign val="subscript"/>
      <sz val="12"/>
      <name val="仿宋_GB2312"/>
      <family val="3"/>
      <charset val="134"/>
    </font>
    <font>
      <sz val="12"/>
      <name val="仿宋_GB2312"/>
      <family val="3"/>
      <charset val="134"/>
    </font>
    <font>
      <sz val="10"/>
      <name val="MS Sans Serif"/>
      <family val="2"/>
    </font>
    <font>
      <sz val="9"/>
      <name val="Times New Roman"/>
      <family val="1"/>
      <charset val="134"/>
    </font>
    <font>
      <sz val="9"/>
      <name val="Times New Roman"/>
      <family val="1"/>
    </font>
    <font>
      <sz val="9"/>
      <color indexed="8"/>
      <name val="Times New Roman"/>
      <family val="1"/>
      <charset val="134"/>
    </font>
    <font>
      <sz val="9"/>
      <color indexed="8"/>
      <name val="仿宋_GB2312"/>
      <family val="3"/>
      <charset val="134"/>
    </font>
    <font>
      <sz val="8"/>
      <color indexed="8"/>
      <name val="Times New Roman"/>
      <family val="1"/>
    </font>
    <font>
      <sz val="8"/>
      <name val="仿宋_GB2312"/>
      <family val="3"/>
      <charset val="134"/>
    </font>
    <font>
      <sz val="8"/>
      <name val="Times New Roman"/>
      <family val="1"/>
      <charset val="134"/>
    </font>
    <font>
      <sz val="9"/>
      <color rgb="FFFF0000"/>
      <name val="宋体"/>
      <family val="3"/>
      <charset val="134"/>
    </font>
    <font>
      <sz val="9"/>
      <color rgb="FFFF0000"/>
      <name val="仿宋_GB2312"/>
      <family val="3"/>
      <charset val="134"/>
    </font>
    <font>
      <sz val="9"/>
      <color rgb="FFFF0000"/>
      <name val="Times New Roman"/>
      <family val="1"/>
      <charset val="134"/>
    </font>
    <font>
      <sz val="8"/>
      <color rgb="FFFF0000"/>
      <name val="Times New Roman"/>
      <family val="1"/>
      <charset val="134"/>
    </font>
    <font>
      <sz val="9"/>
      <color rgb="FFFF0000"/>
      <name val="Times New Roman"/>
      <family val="1"/>
    </font>
    <font>
      <sz val="8"/>
      <color rgb="FFFF0000"/>
      <name val="Times New Roman"/>
      <family val="1"/>
    </font>
    <font>
      <sz val="10"/>
      <color theme="9" tint="-0.249977111117893"/>
      <name val="Arial"/>
      <family val="3"/>
      <charset val="134"/>
    </font>
    <font>
      <b/>
      <sz val="18"/>
      <name val="宋体"/>
      <family val="3"/>
      <charset val="134"/>
    </font>
    <font>
      <sz val="11"/>
      <color indexed="8"/>
      <name val="Arial"/>
      <family val="3"/>
      <charset val="134"/>
    </font>
    <font>
      <u/>
      <sz val="11"/>
      <color theme="10"/>
      <name val="宋体"/>
      <family val="3"/>
      <charset val="134"/>
      <scheme val="minor"/>
    </font>
    <font>
      <sz val="9"/>
      <name val="宋体"/>
      <family val="2"/>
      <charset val="134"/>
      <scheme val="minor"/>
    </font>
    <font>
      <sz val="9"/>
      <color rgb="FF999999"/>
      <name val="Tahoma"/>
      <family val="2"/>
    </font>
    <font>
      <sz val="9"/>
      <color rgb="FF666666"/>
      <name val="Tahoma"/>
      <family val="2"/>
    </font>
    <font>
      <sz val="9"/>
      <color rgb="FFFF5256"/>
      <name val="Arial"/>
      <family val="2"/>
    </font>
    <font>
      <sz val="9"/>
      <color rgb="FF55A500"/>
      <name val="Arial"/>
      <family val="2"/>
    </font>
    <font>
      <sz val="11"/>
      <color rgb="FFFF0000"/>
      <name val="楷体_GB2312"/>
      <family val="3"/>
      <charset val="134"/>
    </font>
    <font>
      <sz val="11"/>
      <color indexed="10"/>
      <name val="楷体_GB2312"/>
      <family val="3"/>
      <charset val="134"/>
    </font>
    <font>
      <sz val="11"/>
      <name val="Arial"/>
      <family val="3"/>
      <charset val="134"/>
    </font>
  </fonts>
  <fills count="4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66CCFF"/>
        <bgColor indexed="64"/>
      </patternFill>
    </fill>
    <fill>
      <patternFill patternType="solid">
        <fgColor indexed="51"/>
        <bgColor indexed="64"/>
      </patternFill>
    </fill>
    <fill>
      <patternFill patternType="solid">
        <fgColor indexed="55"/>
        <bgColor indexed="64"/>
      </patternFill>
    </fill>
    <fill>
      <patternFill patternType="solid">
        <fgColor indexed="40"/>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theme="7" tint="0.59999389629810485"/>
        <bgColor indexed="64"/>
      </patternFill>
    </fill>
    <fill>
      <patternFill patternType="solid">
        <fgColor indexed="47"/>
        <bgColor indexed="64"/>
      </patternFill>
    </fill>
    <fill>
      <patternFill patternType="solid">
        <fgColor rgb="FFF8F8F8"/>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hair">
        <color auto="1"/>
      </left>
      <right style="hair">
        <color auto="1"/>
      </right>
      <top style="hair">
        <color auto="1"/>
      </top>
      <bottom style="hair">
        <color auto="1"/>
      </bottom>
      <diagonal/>
    </border>
  </borders>
  <cellStyleXfs count="23">
    <xf numFmtId="0" fontId="0" fillId="0" borderId="0">
      <alignment vertical="center"/>
    </xf>
    <xf numFmtId="0" fontId="95" fillId="0" borderId="0">
      <alignment vertical="center"/>
    </xf>
    <xf numFmtId="0" fontId="95" fillId="0" borderId="0"/>
    <xf numFmtId="0" fontId="95" fillId="0" borderId="0">
      <alignment vertical="center"/>
    </xf>
    <xf numFmtId="0" fontId="32" fillId="0" borderId="0"/>
    <xf numFmtId="0" fontId="95" fillId="0" borderId="0">
      <alignment vertical="center"/>
    </xf>
    <xf numFmtId="0" fontId="95" fillId="0" borderId="0">
      <alignment vertical="center"/>
    </xf>
    <xf numFmtId="0" fontId="5" fillId="0" borderId="0">
      <alignment vertical="center"/>
    </xf>
    <xf numFmtId="0" fontId="95" fillId="0" borderId="0">
      <alignment vertical="center"/>
    </xf>
    <xf numFmtId="0" fontId="95" fillId="0" borderId="0"/>
    <xf numFmtId="0" fontId="95" fillId="0" borderId="0">
      <alignment vertical="center"/>
    </xf>
    <xf numFmtId="0" fontId="4" fillId="0" borderId="0">
      <alignment vertical="center"/>
    </xf>
    <xf numFmtId="0" fontId="3" fillId="0" borderId="0">
      <alignment vertical="center"/>
    </xf>
    <xf numFmtId="0" fontId="172" fillId="0" borderId="0"/>
    <xf numFmtId="3" fontId="275" fillId="0" borderId="1"/>
    <xf numFmtId="3" fontId="275" fillId="0" borderId="1"/>
    <xf numFmtId="43" fontId="32" fillId="0" borderId="0" applyFont="0" applyFill="0" applyBorder="0" applyAlignment="0" applyProtection="0"/>
    <xf numFmtId="44" fontId="32" fillId="0" borderId="0" applyFont="0" applyFill="0" applyBorder="0" applyAlignment="0" applyProtection="0"/>
    <xf numFmtId="0" fontId="2" fillId="0" borderId="0"/>
    <xf numFmtId="43" fontId="2" fillId="0" borderId="0" applyFont="0" applyFill="0" applyBorder="0" applyAlignment="0" applyProtection="0">
      <alignment vertical="center"/>
    </xf>
    <xf numFmtId="43" fontId="32" fillId="0" borderId="0" applyFont="0" applyFill="0" applyBorder="0" applyAlignment="0" applyProtection="0">
      <alignment vertical="center"/>
    </xf>
    <xf numFmtId="0" fontId="292" fillId="0" borderId="0" applyNumberFormat="0" applyFill="0" applyBorder="0" applyAlignment="0" applyProtection="0">
      <alignment vertical="center"/>
    </xf>
    <xf numFmtId="9" fontId="95" fillId="0" borderId="0" applyFont="0" applyFill="0" applyBorder="0" applyAlignment="0" applyProtection="0">
      <alignment vertical="center"/>
    </xf>
  </cellStyleXfs>
  <cellXfs count="4280">
    <xf numFmtId="0" fontId="0" fillId="0" borderId="0" xfId="0">
      <alignment vertical="center"/>
    </xf>
    <xf numFmtId="0" fontId="0" fillId="0" borderId="0" xfId="0" applyAlignment="1">
      <alignment vertical="center" wrapText="1"/>
    </xf>
    <xf numFmtId="0" fontId="98" fillId="0" borderId="1" xfId="0" applyFont="1" applyBorder="1" applyAlignment="1">
      <alignment vertical="center" wrapText="1"/>
    </xf>
    <xf numFmtId="0" fontId="98" fillId="0" borderId="1" xfId="0" applyFont="1" applyBorder="1" applyAlignment="1">
      <alignment horizontal="center" vertical="center" wrapText="1"/>
    </xf>
    <xf numFmtId="0" fontId="100" fillId="5" borderId="49" xfId="0" applyFont="1" applyFill="1" applyBorder="1" applyAlignment="1" applyProtection="1">
      <alignment horizontal="center" vertical="center" wrapText="1"/>
    </xf>
    <xf numFmtId="0" fontId="100" fillId="5" borderId="0" xfId="0" applyFont="1" applyFill="1" applyAlignment="1" applyProtection="1">
      <alignment horizontal="center" vertical="center" wrapText="1"/>
    </xf>
    <xf numFmtId="0" fontId="41" fillId="5" borderId="0" xfId="0" applyNumberFormat="1" applyFont="1" applyFill="1" applyBorder="1" applyAlignment="1" applyProtection="1">
      <alignment horizontal="center" vertical="center" wrapText="1"/>
    </xf>
    <xf numFmtId="0" fontId="100" fillId="5" borderId="0" xfId="0" applyFont="1" applyFill="1" applyAlignment="1" applyProtection="1">
      <alignment horizontal="center" vertical="center"/>
    </xf>
    <xf numFmtId="0" fontId="100" fillId="5" borderId="0" xfId="0" applyFont="1" applyFill="1" applyBorder="1" applyAlignment="1" applyProtection="1">
      <alignment horizontal="center" vertical="center"/>
    </xf>
    <xf numFmtId="0" fontId="100" fillId="5" borderId="0" xfId="0" applyFont="1" applyFill="1" applyProtection="1">
      <alignment vertical="center"/>
    </xf>
    <xf numFmtId="0" fontId="44" fillId="5" borderId="1" xfId="0" applyFont="1" applyFill="1" applyBorder="1" applyAlignment="1" applyProtection="1">
      <alignment horizontal="center" vertical="center" wrapText="1"/>
    </xf>
    <xf numFmtId="0" fontId="44" fillId="0" borderId="0" xfId="0" applyFont="1" applyAlignment="1" applyProtection="1">
      <alignment horizontal="center" vertical="center" wrapText="1"/>
      <protection locked="0"/>
    </xf>
    <xf numFmtId="0" fontId="44" fillId="5" borderId="2" xfId="0" applyFont="1" applyFill="1" applyBorder="1" applyAlignment="1" applyProtection="1">
      <alignment horizontal="left" vertical="center"/>
    </xf>
    <xf numFmtId="0" fontId="44" fillId="5" borderId="1" xfId="0" applyFont="1" applyFill="1" applyBorder="1" applyAlignment="1" applyProtection="1">
      <alignment horizontal="center" vertical="center"/>
    </xf>
    <xf numFmtId="0" fontId="44" fillId="5" borderId="18" xfId="0" applyFont="1" applyFill="1" applyBorder="1" applyAlignment="1" applyProtection="1">
      <alignment horizontal="center" vertical="center"/>
    </xf>
    <xf numFmtId="0" fontId="44" fillId="5" borderId="41" xfId="0" applyFont="1" applyFill="1" applyBorder="1" applyAlignment="1" applyProtection="1">
      <alignment horizontal="center" vertical="center"/>
    </xf>
    <xf numFmtId="0" fontId="44" fillId="0" borderId="0" xfId="0" applyFont="1" applyAlignment="1" applyProtection="1">
      <alignment horizontal="center" vertical="center"/>
      <protection locked="0"/>
    </xf>
    <xf numFmtId="0" fontId="44" fillId="5" borderId="17" xfId="0" applyFont="1" applyFill="1" applyBorder="1" applyAlignment="1" applyProtection="1">
      <alignment horizontal="center" vertical="center"/>
    </xf>
    <xf numFmtId="0" fontId="41" fillId="0" borderId="0" xfId="0" applyFont="1" applyFill="1" applyBorder="1" applyAlignment="1" applyProtection="1">
      <alignment horizontal="center" vertical="center" wrapText="1"/>
      <protection locked="0"/>
    </xf>
    <xf numFmtId="0" fontId="41" fillId="5" borderId="1"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3" fillId="5" borderId="10" xfId="0" applyFont="1" applyFill="1" applyBorder="1" applyAlignment="1" applyProtection="1">
      <alignment vertical="center" wrapText="1"/>
    </xf>
    <xf numFmtId="0" fontId="41" fillId="5" borderId="12"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1" fillId="5" borderId="13" xfId="0"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1" fillId="0" borderId="0" xfId="0" applyNumberFormat="1" applyFont="1" applyFill="1" applyBorder="1" applyAlignment="1" applyProtection="1">
      <alignment horizontal="center" vertical="center" wrapText="1"/>
      <protection locked="0"/>
    </xf>
    <xf numFmtId="0" fontId="41" fillId="5" borderId="31" xfId="0" applyNumberFormat="1" applyFont="1" applyFill="1" applyBorder="1" applyAlignment="1" applyProtection="1">
      <alignment horizontal="center" vertical="center" wrapText="1"/>
    </xf>
    <xf numFmtId="0" fontId="41" fillId="5" borderId="6" xfId="0" applyNumberFormat="1" applyFont="1" applyFill="1" applyBorder="1" applyAlignment="1" applyProtection="1">
      <alignment horizontal="center" vertical="center" wrapText="1"/>
    </xf>
    <xf numFmtId="0" fontId="41" fillId="5" borderId="43" xfId="0" applyNumberFormat="1" applyFont="1" applyFill="1" applyBorder="1" applyAlignment="1" applyProtection="1">
      <alignment horizontal="center" vertical="center" wrapText="1"/>
    </xf>
    <xf numFmtId="0" fontId="44" fillId="5" borderId="0" xfId="0" applyFont="1" applyFill="1" applyProtection="1">
      <alignment vertical="center"/>
      <protection locked="0"/>
    </xf>
    <xf numFmtId="0" fontId="44" fillId="0" borderId="0" xfId="0" applyFont="1" applyProtection="1">
      <alignment vertical="center"/>
      <protection locked="0"/>
    </xf>
    <xf numFmtId="0" fontId="44" fillId="5" borderId="2" xfId="0" applyFont="1" applyFill="1" applyBorder="1" applyAlignment="1" applyProtection="1">
      <alignment vertical="center"/>
    </xf>
    <xf numFmtId="0" fontId="44" fillId="5" borderId="1" xfId="0" applyFont="1" applyFill="1" applyBorder="1" applyProtection="1">
      <alignment vertical="center"/>
    </xf>
    <xf numFmtId="0" fontId="44" fillId="0" borderId="1" xfId="0" applyFont="1" applyBorder="1" applyProtection="1">
      <alignment vertical="center"/>
      <protection locked="0"/>
    </xf>
    <xf numFmtId="0" fontId="44" fillId="5" borderId="18" xfId="0" applyFont="1" applyFill="1" applyBorder="1" applyAlignment="1" applyProtection="1">
      <alignment vertical="center"/>
    </xf>
    <xf numFmtId="0" fontId="44" fillId="5" borderId="0" xfId="0" applyFont="1" applyFill="1" applyAlignment="1" applyProtection="1">
      <alignment horizontal="center" vertical="center"/>
      <protection locked="0"/>
    </xf>
    <xf numFmtId="0" fontId="49" fillId="5" borderId="39" xfId="0" applyFont="1" applyFill="1" applyBorder="1" applyAlignment="1" applyProtection="1">
      <alignment horizontal="left" vertical="center" wrapText="1"/>
    </xf>
    <xf numFmtId="0" fontId="49" fillId="5" borderId="65" xfId="0" applyFont="1" applyFill="1" applyBorder="1" applyAlignment="1" applyProtection="1">
      <alignment horizontal="left" vertical="center" wrapText="1"/>
    </xf>
    <xf numFmtId="0" fontId="49" fillId="5" borderId="24" xfId="0"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4" fillId="5" borderId="35" xfId="0" applyFont="1" applyFill="1" applyBorder="1" applyAlignment="1" applyProtection="1">
      <alignment vertical="center"/>
    </xf>
    <xf numFmtId="0" fontId="44" fillId="5" borderId="60" xfId="0" applyFont="1" applyFill="1" applyBorder="1" applyAlignment="1" applyProtection="1">
      <alignment vertical="center"/>
    </xf>
    <xf numFmtId="0" fontId="44" fillId="5" borderId="2" xfId="0" applyFont="1" applyFill="1" applyBorder="1" applyAlignment="1" applyProtection="1">
      <alignment horizontal="right" vertical="center"/>
    </xf>
    <xf numFmtId="0" fontId="44" fillId="5" borderId="31" xfId="0" applyFont="1" applyFill="1" applyBorder="1" applyAlignment="1" applyProtection="1">
      <alignment horizontal="left" vertical="center" wrapText="1"/>
    </xf>
    <xf numFmtId="0" fontId="51" fillId="5" borderId="23" xfId="0" applyFont="1" applyFill="1" applyBorder="1" applyAlignment="1" applyProtection="1">
      <alignment horizontal="left" vertical="center" wrapText="1"/>
    </xf>
    <xf numFmtId="0" fontId="51" fillId="5" borderId="17" xfId="0" applyFont="1" applyFill="1" applyBorder="1" applyAlignment="1" applyProtection="1">
      <alignment horizontal="left" vertical="center" wrapText="1"/>
    </xf>
    <xf numFmtId="0" fontId="44" fillId="5" borderId="34" xfId="0" applyFont="1" applyFill="1" applyBorder="1" applyAlignment="1" applyProtection="1">
      <alignment horizontal="left" vertical="center" wrapText="1"/>
    </xf>
    <xf numFmtId="49" fontId="44"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5" borderId="1" xfId="0" applyFont="1" applyFill="1" applyBorder="1" applyAlignment="1" applyProtection="1">
      <alignment horizontal="center" vertical="center" wrapText="1"/>
    </xf>
    <xf numFmtId="0" fontId="44" fillId="5" borderId="6" xfId="0" applyFont="1" applyFill="1" applyBorder="1" applyAlignment="1" applyProtection="1">
      <alignment horizontal="left" vertical="center" wrapText="1"/>
    </xf>
    <xf numFmtId="49" fontId="49" fillId="5" borderId="7" xfId="0" applyNumberFormat="1" applyFont="1" applyFill="1" applyBorder="1" applyAlignment="1" applyProtection="1">
      <alignment horizontal="left" vertical="center" wrapText="1"/>
    </xf>
    <xf numFmtId="0" fontId="51" fillId="5" borderId="1" xfId="0" applyFont="1" applyFill="1" applyBorder="1" applyAlignment="1" applyProtection="1">
      <alignment horizontal="left" vertical="center" wrapText="1"/>
    </xf>
    <xf numFmtId="49" fontId="49" fillId="5" borderId="8" xfId="0" applyNumberFormat="1" applyFont="1" applyFill="1" applyBorder="1" applyAlignment="1" applyProtection="1">
      <alignment horizontal="left" vertical="center" wrapText="1"/>
    </xf>
    <xf numFmtId="0" fontId="51"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xf>
    <xf numFmtId="0" fontId="44" fillId="5" borderId="13" xfId="0" applyFont="1" applyFill="1" applyBorder="1" applyAlignment="1" applyProtection="1">
      <alignment horizontal="left" vertical="center" wrapText="1"/>
    </xf>
    <xf numFmtId="0" fontId="44" fillId="5" borderId="47" xfId="0" applyFont="1" applyFill="1" applyBorder="1" applyAlignment="1" applyProtection="1">
      <alignment horizontal="left" vertical="center" wrapText="1"/>
    </xf>
    <xf numFmtId="0" fontId="41" fillId="5" borderId="38" xfId="2" applyFont="1" applyFill="1" applyBorder="1" applyAlignment="1" applyProtection="1">
      <alignment horizontal="left" vertical="center" wrapText="1"/>
    </xf>
    <xf numFmtId="0" fontId="51" fillId="5" borderId="7" xfId="0" applyFont="1" applyFill="1" applyBorder="1" applyAlignment="1" applyProtection="1">
      <alignment horizontal="left" vertical="center" wrapText="1"/>
    </xf>
    <xf numFmtId="0" fontId="41" fillId="5" borderId="41"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41" fillId="5" borderId="1" xfId="2"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49" fontId="49" fillId="5" borderId="8" xfId="0" applyNumberFormat="1" applyFont="1" applyFill="1" applyBorder="1" applyAlignment="1" applyProtection="1">
      <alignment vertical="center" wrapText="1"/>
    </xf>
    <xf numFmtId="0" fontId="49" fillId="5" borderId="61"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44" fillId="5" borderId="44" xfId="0" applyFont="1" applyFill="1" applyBorder="1" applyAlignment="1" applyProtection="1">
      <alignment horizontal="left" vertical="center"/>
    </xf>
    <xf numFmtId="0" fontId="44" fillId="5" borderId="48" xfId="0" applyFont="1" applyFill="1" applyBorder="1" applyAlignment="1" applyProtection="1">
      <alignment horizontal="left" vertical="center" wrapText="1"/>
    </xf>
    <xf numFmtId="0" fontId="41" fillId="5" borderId="62" xfId="2" applyFont="1" applyFill="1" applyBorder="1" applyAlignment="1" applyProtection="1">
      <alignment horizontal="left" vertical="center" wrapText="1"/>
    </xf>
    <xf numFmtId="0" fontId="44" fillId="5" borderId="38" xfId="2" applyFont="1" applyFill="1" applyBorder="1" applyAlignment="1" applyProtection="1">
      <alignment horizontal="left" vertical="center" wrapText="1"/>
    </xf>
    <xf numFmtId="0" fontId="44" fillId="5" borderId="41" xfId="2"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44" fillId="5" borderId="62" xfId="2" applyFont="1" applyFill="1" applyBorder="1" applyAlignment="1" applyProtection="1">
      <alignment horizontal="left" vertical="center" wrapText="1"/>
    </xf>
    <xf numFmtId="0" fontId="102" fillId="5" borderId="46" xfId="1" applyFont="1" applyFill="1" applyBorder="1" applyAlignment="1" applyProtection="1">
      <alignment vertical="center"/>
    </xf>
    <xf numFmtId="0" fontId="54" fillId="5" borderId="37" xfId="1" applyFont="1" applyFill="1" applyBorder="1" applyAlignment="1" applyProtection="1">
      <alignment vertical="center"/>
    </xf>
    <xf numFmtId="0" fontId="54" fillId="5" borderId="0" xfId="1" applyFont="1" applyFill="1" applyBorder="1" applyAlignment="1" applyProtection="1">
      <alignment vertical="center"/>
    </xf>
    <xf numFmtId="0" fontId="55" fillId="3" borderId="0" xfId="0" applyFont="1" applyFill="1" applyAlignment="1" applyProtection="1">
      <alignment vertical="center"/>
      <protection locked="0"/>
    </xf>
    <xf numFmtId="0" fontId="54" fillId="5" borderId="1" xfId="1" applyFont="1" applyFill="1" applyBorder="1" applyAlignment="1" applyProtection="1">
      <alignment vertical="center"/>
    </xf>
    <xf numFmtId="177" fontId="54" fillId="5" borderId="1" xfId="1" applyNumberFormat="1" applyFont="1" applyFill="1" applyBorder="1" applyAlignment="1" applyProtection="1">
      <alignment horizontal="right" vertical="center"/>
    </xf>
    <xf numFmtId="0" fontId="54" fillId="5" borderId="18" xfId="1" applyFont="1" applyFill="1" applyBorder="1" applyAlignment="1" applyProtection="1">
      <alignment vertical="center"/>
    </xf>
    <xf numFmtId="0" fontId="54" fillId="5" borderId="18" xfId="1" applyFont="1" applyFill="1" applyBorder="1" applyAlignment="1" applyProtection="1">
      <alignment horizontal="right" vertical="center"/>
    </xf>
    <xf numFmtId="49" fontId="54" fillId="5" borderId="46" xfId="1" applyNumberFormat="1" applyFont="1" applyFill="1" applyBorder="1" applyAlignment="1" applyProtection="1"/>
    <xf numFmtId="49" fontId="54" fillId="5" borderId="47" xfId="1" applyNumberFormat="1" applyFont="1" applyFill="1" applyBorder="1" applyAlignment="1" applyProtection="1"/>
    <xf numFmtId="49" fontId="54" fillId="5" borderId="38" xfId="1" applyNumberFormat="1" applyFont="1" applyFill="1" applyBorder="1" applyAlignment="1" applyProtection="1"/>
    <xf numFmtId="0" fontId="54" fillId="3" borderId="0" xfId="0" applyFont="1" applyFill="1" applyAlignment="1" applyProtection="1">
      <alignment vertical="center"/>
      <protection locked="0"/>
    </xf>
    <xf numFmtId="0" fontId="51" fillId="5" borderId="2" xfId="1" applyFont="1" applyFill="1" applyBorder="1" applyAlignment="1" applyProtection="1"/>
    <xf numFmtId="0" fontId="51" fillId="5" borderId="6" xfId="1" applyFont="1" applyFill="1" applyBorder="1" applyAlignment="1" applyProtection="1">
      <alignment horizontal="left"/>
    </xf>
    <xf numFmtId="0" fontId="51" fillId="3" borderId="0" xfId="0" applyFont="1" applyFill="1" applyAlignment="1" applyProtection="1">
      <alignment vertical="center"/>
      <protection locked="0"/>
    </xf>
    <xf numFmtId="49" fontId="50" fillId="5" borderId="7" xfId="1" applyNumberFormat="1" applyFont="1" applyFill="1" applyBorder="1" applyAlignment="1" applyProtection="1">
      <alignment horizontal="left"/>
    </xf>
    <xf numFmtId="0" fontId="50" fillId="5" borderId="2" xfId="1" applyFont="1" applyFill="1" applyBorder="1" applyAlignment="1" applyProtection="1"/>
    <xf numFmtId="0" fontId="50" fillId="5" borderId="1" xfId="1" applyFont="1" applyFill="1" applyBorder="1" applyAlignment="1" applyProtection="1">
      <alignment horizontal="center"/>
    </xf>
    <xf numFmtId="0" fontId="50" fillId="5" borderId="6" xfId="1" applyFont="1" applyFill="1" applyBorder="1" applyAlignment="1" applyProtection="1">
      <alignment horizontal="left"/>
    </xf>
    <xf numFmtId="0" fontId="51" fillId="0" borderId="0" xfId="0" applyFont="1" applyFill="1" applyAlignment="1" applyProtection="1">
      <alignment vertical="center"/>
      <protection locked="0"/>
    </xf>
    <xf numFmtId="0" fontId="56" fillId="5" borderId="2" xfId="1" applyFont="1" applyFill="1" applyBorder="1" applyAlignment="1" applyProtection="1"/>
    <xf numFmtId="0" fontId="50" fillId="5" borderId="6" xfId="1" applyFont="1" applyFill="1" applyBorder="1" applyAlignment="1" applyProtection="1">
      <alignment vertical="center" wrapText="1"/>
    </xf>
    <xf numFmtId="0" fontId="51" fillId="5" borderId="1" xfId="0" applyFont="1" applyFill="1" applyBorder="1" applyAlignment="1" applyProtection="1">
      <alignment horizontal="center" vertical="center"/>
    </xf>
    <xf numFmtId="0" fontId="51" fillId="5" borderId="6" xfId="0" applyFont="1" applyFill="1" applyBorder="1" applyAlignment="1" applyProtection="1">
      <alignment vertical="center"/>
    </xf>
    <xf numFmtId="0" fontId="51" fillId="5" borderId="1" xfId="0" applyFont="1" applyFill="1" applyBorder="1" applyAlignment="1" applyProtection="1">
      <alignment horizontal="right" vertical="center"/>
    </xf>
    <xf numFmtId="0" fontId="51" fillId="5" borderId="1" xfId="0" applyFont="1" applyFill="1" applyBorder="1" applyAlignment="1" applyProtection="1">
      <alignment horizontal="left" vertical="center"/>
    </xf>
    <xf numFmtId="10" fontId="51" fillId="5" borderId="2" xfId="1" applyNumberFormat="1" applyFont="1" applyFill="1" applyBorder="1" applyAlignment="1" applyProtection="1">
      <alignment horizontal="center" vertical="center"/>
    </xf>
    <xf numFmtId="0" fontId="50" fillId="5" borderId="1" xfId="0" applyFont="1" applyFill="1" applyBorder="1" applyAlignment="1" applyProtection="1">
      <alignment horizontal="center" vertical="center"/>
    </xf>
    <xf numFmtId="17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xf>
    <xf numFmtId="0" fontId="51" fillId="5" borderId="1" xfId="0" applyFont="1" applyFill="1" applyBorder="1" applyAlignment="1" applyProtection="1">
      <alignment vertical="center"/>
    </xf>
    <xf numFmtId="0" fontId="50" fillId="5" borderId="58" xfId="0" applyFont="1" applyFill="1" applyBorder="1" applyAlignment="1" applyProtection="1">
      <alignment vertical="center" wrapText="1"/>
    </xf>
    <xf numFmtId="0" fontId="50" fillId="5" borderId="34" xfId="0" applyFont="1" applyFill="1" applyBorder="1" applyAlignment="1" applyProtection="1">
      <alignment vertical="center"/>
    </xf>
    <xf numFmtId="0" fontId="51" fillId="5" borderId="2" xfId="1" applyFont="1" applyFill="1" applyBorder="1" applyAlignment="1" applyProtection="1">
      <alignment vertical="center"/>
    </xf>
    <xf numFmtId="177" fontId="51" fillId="5" borderId="1" xfId="1" applyNumberFormat="1" applyFont="1" applyFill="1" applyBorder="1" applyAlignment="1" applyProtection="1">
      <alignment horizontal="center" vertical="center"/>
    </xf>
    <xf numFmtId="9" fontId="51" fillId="5" borderId="2" xfId="1" applyNumberFormat="1" applyFont="1" applyFill="1" applyBorder="1" applyAlignment="1" applyProtection="1">
      <alignment horizontal="center" vertical="center"/>
    </xf>
    <xf numFmtId="0" fontId="51" fillId="5" borderId="6" xfId="0" applyFont="1" applyFill="1" applyBorder="1" applyAlignment="1" applyProtection="1">
      <alignment vertical="center" wrapText="1"/>
    </xf>
    <xf numFmtId="0" fontId="50" fillId="5" borderId="2" xfId="1" applyFont="1" applyFill="1" applyBorder="1" applyAlignment="1" applyProtection="1">
      <alignment horizontal="left"/>
    </xf>
    <xf numFmtId="177" fontId="50" fillId="5" borderId="1" xfId="1" applyNumberFormat="1" applyFont="1" applyFill="1" applyBorder="1" applyAlignment="1" applyProtection="1">
      <alignment horizontal="center" vertical="center"/>
    </xf>
    <xf numFmtId="0" fontId="50" fillId="3" borderId="0" xfId="0" applyFont="1" applyFill="1" applyAlignment="1" applyProtection="1">
      <alignment vertical="center"/>
      <protection locked="0"/>
    </xf>
    <xf numFmtId="49" fontId="54" fillId="5" borderId="19" xfId="1" applyNumberFormat="1" applyFont="1" applyFill="1" applyBorder="1" applyAlignment="1" applyProtection="1"/>
    <xf numFmtId="49" fontId="54" fillId="5" borderId="51" xfId="1" applyNumberFormat="1" applyFont="1" applyFill="1" applyBorder="1" applyAlignment="1" applyProtection="1"/>
    <xf numFmtId="49" fontId="54" fillId="5" borderId="41" xfId="1" applyNumberFormat="1" applyFont="1" applyFill="1" applyBorder="1" applyAlignment="1" applyProtection="1"/>
    <xf numFmtId="49" fontId="51" fillId="5" borderId="7" xfId="1" applyNumberFormat="1" applyFont="1" applyFill="1" applyBorder="1" applyAlignment="1" applyProtection="1">
      <alignment horizontal="left"/>
    </xf>
    <xf numFmtId="177" fontId="51" fillId="5" borderId="1" xfId="0" applyNumberFormat="1" applyFont="1" applyFill="1" applyBorder="1" applyAlignment="1" applyProtection="1">
      <alignment horizontal="center" vertical="center"/>
    </xf>
    <xf numFmtId="0" fontId="50" fillId="0" borderId="0" xfId="0" applyFont="1" applyFill="1" applyAlignment="1" applyProtection="1">
      <alignment vertical="center"/>
      <protection locked="0"/>
    </xf>
    <xf numFmtId="0" fontId="50" fillId="5" borderId="6" xfId="0" applyFont="1" applyFill="1" applyBorder="1" applyAlignment="1" applyProtection="1">
      <alignment vertical="center" wrapText="1"/>
    </xf>
    <xf numFmtId="0" fontId="50" fillId="5" borderId="6" xfId="1" applyFont="1" applyFill="1" applyBorder="1" applyAlignment="1" applyProtection="1">
      <alignment horizontal="left" vertical="center"/>
    </xf>
    <xf numFmtId="185" fontId="51" fillId="5" borderId="1" xfId="0" applyNumberFormat="1" applyFont="1" applyFill="1" applyBorder="1" applyAlignment="1" applyProtection="1">
      <alignment horizontal="right" vertical="center"/>
    </xf>
    <xf numFmtId="10" fontId="51" fillId="5" borderId="1" xfId="1" applyNumberFormat="1" applyFont="1" applyFill="1" applyBorder="1" applyAlignment="1" applyProtection="1">
      <alignment horizontal="center" vertical="center"/>
    </xf>
    <xf numFmtId="49" fontId="54" fillId="5" borderId="20" xfId="1" applyNumberFormat="1" applyFont="1" applyFill="1" applyBorder="1" applyAlignment="1" applyProtection="1"/>
    <xf numFmtId="49" fontId="54" fillId="5" borderId="48" xfId="1" applyNumberFormat="1" applyFont="1" applyFill="1" applyBorder="1" applyAlignment="1" applyProtection="1"/>
    <xf numFmtId="177" fontId="51" fillId="5" borderId="61" xfId="0" applyNumberFormat="1" applyFont="1" applyFill="1" applyBorder="1" applyAlignment="1" applyProtection="1">
      <alignment horizontal="center" vertical="center"/>
    </xf>
    <xf numFmtId="49" fontId="54" fillId="5" borderId="62" xfId="1" applyNumberFormat="1" applyFont="1" applyFill="1" applyBorder="1" applyAlignment="1" applyProtection="1"/>
    <xf numFmtId="0" fontId="50" fillId="3" borderId="0" xfId="0" applyFont="1" applyFill="1" applyAlignment="1" applyProtection="1">
      <alignment horizontal="left" vertical="center"/>
      <protection locked="0"/>
    </xf>
    <xf numFmtId="0" fontId="57" fillId="5" borderId="1" xfId="0" applyFont="1" applyFill="1" applyBorder="1" applyAlignment="1" applyProtection="1">
      <alignment horizontal="left"/>
    </xf>
    <xf numFmtId="0" fontId="55" fillId="5" borderId="1" xfId="0" applyFont="1" applyFill="1" applyBorder="1" applyAlignment="1" applyProtection="1">
      <alignment horizontal="center" vertical="center"/>
    </xf>
    <xf numFmtId="0" fontId="50" fillId="3" borderId="0" xfId="0" applyFont="1" applyFill="1" applyAlignment="1" applyProtection="1">
      <alignment horizontal="center" vertical="center"/>
      <protection locked="0"/>
    </xf>
    <xf numFmtId="0" fontId="44" fillId="5" borderId="1" xfId="0" applyFont="1" applyFill="1" applyBorder="1" applyAlignment="1" applyProtection="1"/>
    <xf numFmtId="181" fontId="50" fillId="5" borderId="1" xfId="0" applyNumberFormat="1" applyFont="1" applyFill="1" applyBorder="1" applyAlignment="1" applyProtection="1">
      <alignment horizontal="center"/>
    </xf>
    <xf numFmtId="181" fontId="44" fillId="5" borderId="1" xfId="0" applyNumberFormat="1" applyFont="1" applyFill="1" applyBorder="1" applyAlignment="1" applyProtection="1">
      <alignment horizontal="center"/>
    </xf>
    <xf numFmtId="0" fontId="42" fillId="5" borderId="47" xfId="1" applyFont="1" applyFill="1" applyBorder="1" applyAlignment="1" applyProtection="1">
      <alignment vertical="center"/>
    </xf>
    <xf numFmtId="0" fontId="44" fillId="3" borderId="0" xfId="0" applyFont="1" applyFill="1" applyProtection="1">
      <alignment vertical="center"/>
      <protection locked="0"/>
    </xf>
    <xf numFmtId="0" fontId="42" fillId="5" borderId="46" xfId="0" applyFont="1" applyFill="1" applyBorder="1" applyAlignment="1" applyProtection="1"/>
    <xf numFmtId="0" fontId="42" fillId="5" borderId="47" xfId="0" applyFont="1" applyFill="1" applyBorder="1" applyAlignment="1" applyProtection="1"/>
    <xf numFmtId="0" fontId="42" fillId="5" borderId="38" xfId="0" applyFont="1" applyFill="1" applyBorder="1" applyAlignment="1" applyProtection="1"/>
    <xf numFmtId="0" fontId="58" fillId="3" borderId="0" xfId="0" applyFont="1" applyFill="1" applyAlignment="1" applyProtection="1">
      <protection locked="0"/>
    </xf>
    <xf numFmtId="0" fontId="43" fillId="5" borderId="7" xfId="0" applyFont="1" applyFill="1" applyBorder="1" applyAlignment="1" applyProtection="1">
      <alignment horizontal="center"/>
    </xf>
    <xf numFmtId="0" fontId="43" fillId="5" borderId="35" xfId="0" applyFont="1" applyFill="1" applyBorder="1" applyAlignment="1" applyProtection="1"/>
    <xf numFmtId="0" fontId="43" fillId="0" borderId="0" xfId="0" applyFont="1" applyFill="1" applyAlignment="1" applyProtection="1">
      <protection locked="0"/>
    </xf>
    <xf numFmtId="0" fontId="44" fillId="5" borderId="2" xfId="0" applyFont="1" applyFill="1" applyBorder="1" applyAlignment="1" applyProtection="1"/>
    <xf numFmtId="186" fontId="44" fillId="0" borderId="1" xfId="0" applyNumberFormat="1" applyFont="1" applyFill="1" applyBorder="1" applyAlignment="1" applyProtection="1">
      <alignment horizontal="center"/>
      <protection locked="0"/>
    </xf>
    <xf numFmtId="0" fontId="44" fillId="0" borderId="0" xfId="0" applyFont="1" applyFill="1" applyAlignment="1" applyProtection="1">
      <protection locked="0"/>
    </xf>
    <xf numFmtId="176" fontId="103" fillId="5" borderId="1" xfId="0" applyNumberFormat="1" applyFont="1" applyFill="1" applyBorder="1" applyAlignment="1" applyProtection="1">
      <alignment horizontal="center" vertical="center"/>
    </xf>
    <xf numFmtId="176" fontId="103" fillId="5" borderId="6" xfId="0" applyNumberFormat="1" applyFont="1" applyFill="1" applyBorder="1" applyAlignment="1" applyProtection="1">
      <alignment horizontal="center" vertical="center"/>
    </xf>
    <xf numFmtId="0" fontId="43" fillId="5" borderId="1" xfId="0" applyFont="1" applyFill="1" applyBorder="1" applyAlignment="1" applyProtection="1"/>
    <xf numFmtId="0" fontId="42" fillId="5" borderId="19" xfId="0"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3" fillId="5" borderId="2" xfId="0" applyFont="1" applyFill="1" applyBorder="1" applyAlignment="1" applyProtection="1"/>
    <xf numFmtId="186" fontId="43" fillId="5" borderId="1" xfId="0" applyNumberFormat="1" applyFont="1" applyFill="1" applyBorder="1" applyAlignment="1" applyProtection="1">
      <alignment horizontal="center"/>
    </xf>
    <xf numFmtId="0" fontId="43" fillId="5" borderId="1" xfId="0" applyFont="1" applyFill="1" applyBorder="1" applyAlignment="1" applyProtection="1">
      <alignment horizontal="center"/>
    </xf>
    <xf numFmtId="0" fontId="43" fillId="5" borderId="51" xfId="0" applyFont="1" applyFill="1" applyBorder="1" applyAlignment="1" applyProtection="1"/>
    <xf numFmtId="0" fontId="43" fillId="5" borderId="41" xfId="0" applyFont="1" applyFill="1" applyBorder="1" applyAlignment="1" applyProtection="1"/>
    <xf numFmtId="0" fontId="41" fillId="3" borderId="0" xfId="0" applyFont="1" applyFill="1" applyAlignment="1" applyProtection="1">
      <protection locked="0"/>
    </xf>
    <xf numFmtId="0" fontId="44" fillId="5" borderId="2" xfId="1" applyFont="1" applyFill="1" applyBorder="1" applyAlignment="1" applyProtection="1"/>
    <xf numFmtId="177" fontId="44" fillId="5" borderId="1" xfId="0" applyNumberFormat="1" applyFont="1" applyFill="1" applyBorder="1" applyAlignment="1" applyProtection="1">
      <alignment horizontal="center" vertical="center"/>
    </xf>
    <xf numFmtId="179" fontId="44" fillId="5" borderId="1" xfId="1" applyNumberFormat="1" applyFont="1" applyFill="1" applyBorder="1" applyAlignment="1" applyProtection="1">
      <alignment horizontal="center"/>
    </xf>
    <xf numFmtId="181" fontId="44" fillId="5" borderId="1" xfId="1" applyNumberFormat="1" applyFont="1" applyFill="1" applyBorder="1" applyAlignment="1" applyProtection="1">
      <alignment horizontal="center"/>
    </xf>
    <xf numFmtId="0" fontId="46" fillId="3" borderId="0" xfId="0" applyFont="1" applyFill="1" applyProtection="1">
      <alignment vertical="center"/>
      <protection locked="0"/>
    </xf>
    <xf numFmtId="9" fontId="44" fillId="5" borderId="1" xfId="1" applyNumberFormat="1" applyFont="1" applyFill="1" applyBorder="1" applyAlignment="1" applyProtection="1">
      <alignment horizontal="center"/>
    </xf>
    <xf numFmtId="0" fontId="46" fillId="0" borderId="0" xfId="0" applyFont="1" applyFill="1" applyProtection="1">
      <alignment vertical="center"/>
      <protection locked="0"/>
    </xf>
    <xf numFmtId="177" fontId="44" fillId="5" borderId="1" xfId="1" applyNumberFormat="1" applyFont="1" applyFill="1" applyBorder="1" applyAlignment="1" applyProtection="1"/>
    <xf numFmtId="0" fontId="44" fillId="5" borderId="51" xfId="0" applyFont="1" applyFill="1" applyBorder="1" applyAlignment="1" applyProtection="1"/>
    <xf numFmtId="0" fontId="44" fillId="5" borderId="41" xfId="0" applyFont="1" applyFill="1" applyBorder="1" applyAlignment="1" applyProtection="1"/>
    <xf numFmtId="0" fontId="44" fillId="5" borderId="2" xfId="0" applyFont="1" applyFill="1" applyBorder="1" applyAlignment="1" applyProtection="1">
      <alignment horizontal="left"/>
    </xf>
    <xf numFmtId="0" fontId="44" fillId="5" borderId="51" xfId="0" applyFont="1" applyFill="1" applyBorder="1" applyAlignment="1" applyProtection="1">
      <alignment horizontal="left"/>
    </xf>
    <xf numFmtId="0" fontId="44" fillId="5" borderId="41" xfId="0" applyFont="1" applyFill="1" applyBorder="1" applyAlignment="1" applyProtection="1">
      <alignment horizontal="left"/>
    </xf>
    <xf numFmtId="177" fontId="44" fillId="5" borderId="1" xfId="1" applyNumberFormat="1" applyFont="1" applyFill="1" applyBorder="1" applyAlignment="1" applyProtection="1">
      <alignment horizontal="center"/>
    </xf>
    <xf numFmtId="10" fontId="44" fillId="5" borderId="1" xfId="1" applyNumberFormat="1" applyFont="1" applyFill="1" applyBorder="1" applyAlignment="1" applyProtection="1">
      <alignment horizontal="center"/>
    </xf>
    <xf numFmtId="0" fontId="43" fillId="5" borderId="2" xfId="1" applyFont="1" applyFill="1" applyBorder="1" applyAlignment="1" applyProtection="1"/>
    <xf numFmtId="177" fontId="43" fillId="5" borderId="1" xfId="1" applyNumberFormat="1" applyFont="1" applyFill="1" applyBorder="1" applyAlignment="1" applyProtection="1">
      <alignment horizontal="center"/>
    </xf>
    <xf numFmtId="0" fontId="43" fillId="5" borderId="1" xfId="1" applyFont="1" applyFill="1" applyBorder="1" applyAlignment="1" applyProtection="1"/>
    <xf numFmtId="177" fontId="43" fillId="5" borderId="1" xfId="1" applyNumberFormat="1" applyFont="1" applyFill="1" applyBorder="1" applyAlignment="1" applyProtection="1"/>
    <xf numFmtId="10" fontId="43" fillId="5" borderId="1" xfId="1" applyNumberFormat="1" applyFont="1" applyFill="1" applyBorder="1" applyAlignment="1" applyProtection="1">
      <alignment horizontal="center"/>
    </xf>
    <xf numFmtId="0" fontId="46" fillId="3" borderId="0" xfId="0" applyFont="1" applyFill="1" applyAlignment="1" applyProtection="1">
      <protection locked="0"/>
    </xf>
    <xf numFmtId="0" fontId="43" fillId="5" borderId="1" xfId="0" applyFont="1" applyFill="1" applyBorder="1" applyAlignment="1" applyProtection="1">
      <alignment horizontal="right" vertical="center"/>
    </xf>
    <xf numFmtId="177" fontId="43" fillId="5" borderId="1" xfId="1" applyNumberFormat="1" applyFont="1" applyFill="1" applyBorder="1" applyAlignment="1" applyProtection="1">
      <alignment vertical="center"/>
    </xf>
    <xf numFmtId="0" fontId="41" fillId="5" borderId="2"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177" fontId="43" fillId="5" borderId="0" xfId="0" applyNumberFormat="1" applyFont="1" applyFill="1" applyBorder="1" applyAlignment="1" applyProtection="1">
      <alignment horizont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5" borderId="1" xfId="1" applyFont="1" applyFill="1" applyBorder="1" applyAlignment="1" applyProtection="1">
      <alignment horizontal="left"/>
    </xf>
    <xf numFmtId="187" fontId="44" fillId="5" borderId="3" xfId="0" applyNumberFormat="1" applyFont="1" applyFill="1" applyBorder="1" applyAlignment="1" applyProtection="1">
      <alignment horizontal="center"/>
    </xf>
    <xf numFmtId="187" fontId="44" fillId="5" borderId="1" xfId="0" applyNumberFormat="1" applyFont="1" applyFill="1" applyBorder="1" applyAlignment="1" applyProtection="1">
      <alignment horizontal="center" vertical="center"/>
    </xf>
    <xf numFmtId="177" fontId="44" fillId="5" borderId="51" xfId="1" applyNumberFormat="1" applyFont="1" applyFill="1" applyBorder="1" applyAlignment="1" applyProtection="1">
      <alignment vertical="center"/>
    </xf>
    <xf numFmtId="10" fontId="44" fillId="5" borderId="18" xfId="0" applyNumberFormat="1" applyFont="1" applyFill="1" applyBorder="1" applyAlignment="1" applyProtection="1">
      <alignment horizontal="center" vertical="center"/>
    </xf>
    <xf numFmtId="0" fontId="45" fillId="3" borderId="0" xfId="0" applyFont="1" applyFill="1" applyAlignment="1" applyProtection="1">
      <protection locked="0"/>
    </xf>
    <xf numFmtId="177" fontId="44" fillId="5" borderId="0" xfId="0" applyNumberFormat="1" applyFont="1" applyFill="1" applyBorder="1" applyAlignment="1" applyProtection="1">
      <alignment horizontal="center"/>
    </xf>
    <xf numFmtId="0" fontId="43" fillId="5" borderId="1" xfId="1" applyFont="1" applyFill="1" applyBorder="1" applyAlignment="1" applyProtection="1">
      <alignment vertical="center" wrapText="1"/>
    </xf>
    <xf numFmtId="177" fontId="43" fillId="5" borderId="3" xfId="0" applyNumberFormat="1" applyFont="1" applyFill="1" applyBorder="1" applyAlignment="1" applyProtection="1">
      <alignment horizontal="center" vertical="center" wrapText="1"/>
    </xf>
    <xf numFmtId="10" fontId="43" fillId="5" borderId="1" xfId="0" applyNumberFormat="1" applyFont="1" applyFill="1" applyBorder="1" applyAlignment="1" applyProtection="1">
      <alignment horizontal="center" vertical="center" wrapText="1"/>
    </xf>
    <xf numFmtId="0" fontId="46" fillId="3" borderId="0" xfId="0" applyFont="1" applyFill="1" applyAlignment="1" applyProtection="1">
      <alignment vertical="center" wrapText="1"/>
      <protection locked="0"/>
    </xf>
    <xf numFmtId="0" fontId="44" fillId="5" borderId="2" xfId="1" applyFont="1" applyFill="1" applyBorder="1" applyAlignment="1" applyProtection="1">
      <alignment horizontal="left"/>
    </xf>
    <xf numFmtId="10" fontId="44"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177" fontId="44" fillId="5" borderId="1" xfId="0" applyNumberFormat="1" applyFont="1" applyFill="1" applyBorder="1" applyAlignment="1" applyProtection="1">
      <alignment horizontal="center" vertical="center" wrapText="1"/>
    </xf>
    <xf numFmtId="177" fontId="44" fillId="5" borderId="51" xfId="1" applyNumberFormat="1" applyFont="1" applyFill="1" applyBorder="1" applyAlignment="1" applyProtection="1"/>
    <xf numFmtId="177" fontId="43" fillId="5" borderId="1" xfId="0" applyNumberFormat="1" applyFont="1" applyFill="1" applyBorder="1" applyAlignment="1" applyProtection="1">
      <alignment horizontal="center"/>
    </xf>
    <xf numFmtId="177" fontId="43" fillId="5" borderId="1" xfId="0" applyNumberFormat="1" applyFont="1" applyFill="1" applyBorder="1" applyAlignment="1" applyProtection="1"/>
    <xf numFmtId="10" fontId="43" fillId="5" borderId="1" xfId="0" applyNumberFormat="1" applyFont="1" applyFill="1" applyBorder="1" applyAlignment="1" applyProtection="1">
      <alignment horizontal="center"/>
    </xf>
    <xf numFmtId="177" fontId="43" fillId="5" borderId="2" xfId="0" applyNumberFormat="1" applyFont="1" applyFill="1" applyBorder="1" applyAlignment="1" applyProtection="1"/>
    <xf numFmtId="177" fontId="43" fillId="5" borderId="51" xfId="0" applyNumberFormat="1" applyFont="1" applyFill="1" applyBorder="1" applyAlignment="1" applyProtection="1"/>
    <xf numFmtId="177" fontId="43" fillId="5" borderId="41" xfId="0" applyNumberFormat="1" applyFont="1" applyFill="1" applyBorder="1" applyAlignment="1" applyProtection="1"/>
    <xf numFmtId="0" fontId="43" fillId="5" borderId="20" xfId="0" applyFont="1" applyFill="1" applyBorder="1" applyAlignment="1" applyProtection="1"/>
    <xf numFmtId="0" fontId="43" fillId="5" borderId="48" xfId="0" applyFont="1" applyFill="1" applyBorder="1" applyAlignment="1" applyProtection="1"/>
    <xf numFmtId="186" fontId="42" fillId="5" borderId="61" xfId="0" applyNumberFormat="1" applyFont="1" applyFill="1" applyBorder="1" applyAlignment="1" applyProtection="1">
      <alignment horizontal="center"/>
    </xf>
    <xf numFmtId="0" fontId="42" fillId="5" borderId="44" xfId="0" applyFont="1" applyFill="1" applyBorder="1" applyAlignment="1" applyProtection="1"/>
    <xf numFmtId="0" fontId="43" fillId="5" borderId="62" xfId="0" applyFont="1" applyFill="1" applyBorder="1" applyAlignment="1" applyProtection="1"/>
    <xf numFmtId="0" fontId="44" fillId="3" borderId="0" xfId="0" applyFont="1" applyFill="1" applyAlignment="1" applyProtection="1">
      <alignment horizontal="center"/>
      <protection locked="0"/>
    </xf>
    <xf numFmtId="0" fontId="44" fillId="3" borderId="0" xfId="0" applyFont="1" applyFill="1" applyAlignment="1" applyProtection="1">
      <protection locked="0"/>
    </xf>
    <xf numFmtId="186" fontId="44" fillId="3" borderId="0" xfId="0" applyNumberFormat="1" applyFont="1" applyFill="1" applyAlignment="1" applyProtection="1">
      <alignment horizontal="center"/>
      <protection locked="0"/>
    </xf>
    <xf numFmtId="49" fontId="59" fillId="5" borderId="65" xfId="0" applyNumberFormat="1" applyFont="1" applyFill="1" applyBorder="1" applyAlignment="1" applyProtection="1"/>
    <xf numFmtId="0" fontId="60" fillId="5" borderId="0" xfId="0" applyFont="1" applyFill="1" applyAlignment="1" applyProtection="1">
      <alignment horizontal="center" vertical="center"/>
    </xf>
    <xf numFmtId="0" fontId="61" fillId="0" borderId="0" xfId="0" applyFont="1" applyFill="1" applyAlignment="1" applyProtection="1">
      <alignment vertical="center"/>
      <protection locked="0"/>
    </xf>
    <xf numFmtId="0" fontId="42" fillId="5" borderId="1" xfId="0" applyFont="1" applyFill="1" applyBorder="1" applyAlignment="1" applyProtection="1">
      <alignment horizontal="center" vertical="center"/>
    </xf>
    <xf numFmtId="0" fontId="55" fillId="0" borderId="0" xfId="0" applyFont="1" applyFill="1" applyAlignment="1" applyProtection="1">
      <alignment vertical="center"/>
      <protection locked="0"/>
    </xf>
    <xf numFmtId="0" fontId="54" fillId="5" borderId="61" xfId="1" applyFont="1" applyFill="1" applyBorder="1" applyAlignment="1" applyProtection="1">
      <alignment vertical="center"/>
    </xf>
    <xf numFmtId="49" fontId="59" fillId="5" borderId="0" xfId="0" applyNumberFormat="1" applyFont="1" applyFill="1" applyBorder="1" applyAlignment="1" applyProtection="1">
      <alignment horizontal="center"/>
    </xf>
    <xf numFmtId="49" fontId="44" fillId="5" borderId="4"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13" xfId="0" applyFont="1" applyFill="1" applyBorder="1" applyAlignment="1" applyProtection="1">
      <alignment horizontal="right" vertical="center"/>
    </xf>
    <xf numFmtId="0" fontId="44" fillId="5" borderId="38" xfId="0" applyFont="1" applyFill="1" applyBorder="1" applyAlignment="1" applyProtection="1">
      <alignment horizontal="center" vertical="center"/>
    </xf>
    <xf numFmtId="49" fontId="49" fillId="5" borderId="16" xfId="0" applyNumberFormat="1" applyFont="1" applyFill="1" applyBorder="1" applyAlignment="1" applyProtection="1">
      <alignment vertical="center"/>
    </xf>
    <xf numFmtId="0" fontId="49" fillId="5" borderId="18" xfId="0" applyFont="1" applyFill="1" applyBorder="1" applyAlignment="1" applyProtection="1">
      <alignment vertical="center" wrapText="1"/>
    </xf>
    <xf numFmtId="0" fontId="49" fillId="5" borderId="18" xfId="0" applyFont="1" applyFill="1" applyBorder="1" applyAlignment="1" applyProtection="1">
      <alignment horizontal="center" vertical="center"/>
    </xf>
    <xf numFmtId="0" fontId="44" fillId="5" borderId="1" xfId="0" applyFont="1" applyFill="1" applyBorder="1" applyAlignment="1" applyProtection="1">
      <alignment horizontal="left" vertical="center"/>
    </xf>
    <xf numFmtId="0" fontId="49" fillId="5" borderId="6" xfId="0" applyFont="1" applyFill="1" applyBorder="1" applyAlignment="1" applyProtection="1">
      <alignment horizontal="center" vertical="center"/>
    </xf>
    <xf numFmtId="49" fontId="49" fillId="5" borderId="26" xfId="0" applyNumberFormat="1" applyFont="1" applyFill="1" applyBorder="1" applyAlignment="1" applyProtection="1">
      <alignment vertical="center"/>
    </xf>
    <xf numFmtId="0" fontId="49" fillId="5" borderId="49" xfId="0" applyFont="1" applyFill="1" applyBorder="1" applyAlignment="1" applyProtection="1">
      <alignment vertical="center" wrapText="1"/>
    </xf>
    <xf numFmtId="0" fontId="49" fillId="5" borderId="49" xfId="0" applyFont="1" applyFill="1" applyBorder="1" applyAlignment="1" applyProtection="1">
      <alignment horizontal="center" vertical="center"/>
    </xf>
    <xf numFmtId="0" fontId="44" fillId="5" borderId="49" xfId="0" applyFont="1" applyFill="1" applyBorder="1" applyAlignment="1" applyProtection="1">
      <alignment vertical="center"/>
    </xf>
    <xf numFmtId="49" fontId="49" fillId="5" borderId="23" xfId="0" applyNumberFormat="1" applyFont="1" applyFill="1" applyBorder="1" applyAlignment="1" applyProtection="1">
      <alignment vertical="center"/>
    </xf>
    <xf numFmtId="0" fontId="49" fillId="5" borderId="17" xfId="0" applyFont="1" applyFill="1" applyBorder="1" applyAlignment="1" applyProtection="1">
      <alignment vertical="center" wrapText="1"/>
    </xf>
    <xf numFmtId="0" fontId="49" fillId="5" borderId="17" xfId="0" applyFont="1" applyFill="1" applyBorder="1" applyAlignment="1" applyProtection="1">
      <alignment horizontal="center" vertical="center"/>
    </xf>
    <xf numFmtId="0" fontId="44" fillId="5" borderId="17" xfId="0" applyFont="1" applyFill="1" applyBorder="1" applyAlignment="1" applyProtection="1">
      <alignment vertical="center"/>
    </xf>
    <xf numFmtId="181" fontId="49" fillId="5" borderId="6" xfId="0" applyNumberFormat="1" applyFont="1" applyFill="1" applyBorder="1" applyAlignment="1" applyProtection="1">
      <alignment horizontal="center" vertical="center"/>
    </xf>
    <xf numFmtId="0" fontId="44" fillId="5" borderId="18" xfId="0" applyFont="1" applyFill="1" applyBorder="1" applyAlignment="1" applyProtection="1">
      <alignment horizontal="left" vertical="center"/>
    </xf>
    <xf numFmtId="181" fontId="49" fillId="5" borderId="58" xfId="0" applyNumberFormat="1" applyFont="1" applyFill="1" applyBorder="1" applyAlignment="1" applyProtection="1">
      <alignment horizontal="center" vertical="center"/>
    </xf>
    <xf numFmtId="49" fontId="49" fillId="5" borderId="7" xfId="0" applyNumberFormat="1" applyFont="1" applyFill="1" applyBorder="1" applyAlignment="1" applyProtection="1">
      <alignment horizontal="left" vertical="center"/>
    </xf>
    <xf numFmtId="0" fontId="49" fillId="5" borderId="1" xfId="0" applyFont="1" applyFill="1" applyBorder="1" applyAlignment="1" applyProtection="1">
      <alignment horizontal="left" vertical="center"/>
    </xf>
    <xf numFmtId="0" fontId="49" fillId="5" borderId="1" xfId="0" applyFont="1" applyFill="1" applyBorder="1" applyAlignment="1" applyProtection="1">
      <alignment horizontal="center" vertical="center"/>
    </xf>
    <xf numFmtId="0" fontId="58" fillId="5" borderId="51" xfId="0" applyFont="1" applyFill="1" applyBorder="1" applyAlignment="1" applyProtection="1">
      <alignment vertical="center"/>
    </xf>
    <xf numFmtId="0" fontId="58" fillId="5" borderId="41" xfId="0" applyFont="1" applyFill="1" applyBorder="1" applyAlignment="1" applyProtection="1">
      <alignment vertical="center"/>
    </xf>
    <xf numFmtId="49" fontId="44" fillId="5" borderId="7" xfId="0" applyNumberFormat="1" applyFont="1" applyFill="1" applyBorder="1" applyAlignment="1" applyProtection="1">
      <alignment horizontal="left" vertical="center"/>
    </xf>
    <xf numFmtId="0" fontId="103" fillId="5" borderId="2" xfId="0" applyFont="1" applyFill="1" applyBorder="1" applyAlignment="1" applyProtection="1">
      <alignment horizontal="center" vertical="center"/>
    </xf>
    <xf numFmtId="0" fontId="44" fillId="5" borderId="17" xfId="0" applyFont="1" applyFill="1" applyBorder="1" applyAlignment="1" applyProtection="1">
      <alignment horizontal="left" vertical="center"/>
    </xf>
    <xf numFmtId="181" fontId="44" fillId="5" borderId="34" xfId="0" applyNumberFormat="1" applyFont="1" applyFill="1" applyBorder="1" applyAlignment="1" applyProtection="1">
      <alignment horizontal="center" vertical="center"/>
    </xf>
    <xf numFmtId="0" fontId="62" fillId="0" borderId="0" xfId="0" applyFont="1" applyFill="1" applyAlignment="1" applyProtection="1">
      <alignment vertical="center"/>
      <protection locked="0"/>
    </xf>
    <xf numFmtId="181" fontId="44" fillId="5" borderId="6" xfId="0" applyNumberFormat="1" applyFont="1" applyFill="1" applyBorder="1" applyAlignment="1" applyProtection="1">
      <alignment horizontal="center" vertical="center"/>
    </xf>
    <xf numFmtId="0" fontId="44" fillId="5" borderId="1" xfId="0" applyFont="1" applyFill="1" applyBorder="1" applyAlignment="1" applyProtection="1">
      <alignment vertical="center" wrapText="1"/>
    </xf>
    <xf numFmtId="49" fontId="44" fillId="5" borderId="16" xfId="0" applyNumberFormat="1" applyFont="1" applyFill="1" applyBorder="1" applyAlignment="1" applyProtection="1">
      <alignment vertical="center"/>
    </xf>
    <xf numFmtId="0" fontId="44" fillId="5" borderId="18" xfId="0" applyFont="1" applyFill="1" applyBorder="1" applyAlignment="1" applyProtection="1">
      <alignment horizontal="left" vertical="center" wrapText="1"/>
    </xf>
    <xf numFmtId="0" fontId="44" fillId="5" borderId="6" xfId="0" applyFont="1" applyFill="1" applyBorder="1" applyAlignment="1" applyProtection="1">
      <alignment horizontal="center" vertical="center"/>
    </xf>
    <xf numFmtId="49" fontId="44" fillId="5" borderId="23" xfId="0" applyNumberFormat="1" applyFont="1" applyFill="1" applyBorder="1" applyAlignment="1" applyProtection="1">
      <alignment vertical="center"/>
    </xf>
    <xf numFmtId="0" fontId="44" fillId="5" borderId="17" xfId="0" applyFont="1" applyFill="1" applyBorder="1" applyAlignment="1" applyProtection="1">
      <alignment horizontal="left" vertical="center" wrapText="1"/>
    </xf>
    <xf numFmtId="10" fontId="49" fillId="5" borderId="6" xfId="0" applyNumberFormat="1" applyFont="1" applyFill="1" applyBorder="1" applyAlignment="1" applyProtection="1">
      <alignment horizontal="center" vertical="center"/>
    </xf>
    <xf numFmtId="183" fontId="49" fillId="5" borderId="6" xfId="0" applyNumberFormat="1" applyFont="1" applyFill="1" applyBorder="1" applyAlignment="1" applyProtection="1">
      <alignment horizontal="center" vertical="center"/>
    </xf>
    <xf numFmtId="10" fontId="44" fillId="5" borderId="6" xfId="0" applyNumberFormat="1" applyFont="1" applyFill="1" applyBorder="1" applyAlignment="1" applyProtection="1">
      <alignment horizontal="center" vertical="center"/>
    </xf>
    <xf numFmtId="0" fontId="44" fillId="5" borderId="41" xfId="0" applyFont="1" applyFill="1" applyBorder="1" applyAlignment="1" applyProtection="1">
      <alignment horizontal="center" vertical="center" wrapText="1"/>
    </xf>
    <xf numFmtId="0" fontId="44" fillId="5" borderId="49" xfId="0" applyFont="1" applyFill="1" applyBorder="1" applyAlignment="1" applyProtection="1">
      <alignment horizontal="left" vertical="center" wrapText="1"/>
    </xf>
    <xf numFmtId="179" fontId="49" fillId="5" borderId="6" xfId="0" applyNumberFormat="1" applyFont="1" applyFill="1" applyBorder="1" applyAlignment="1" applyProtection="1">
      <alignment horizontal="center" vertical="center"/>
    </xf>
    <xf numFmtId="49" fontId="49" fillId="5" borderId="8" xfId="0" applyNumberFormat="1" applyFont="1" applyFill="1" applyBorder="1" applyAlignment="1" applyProtection="1">
      <alignment horizontal="left" vertical="center"/>
    </xf>
    <xf numFmtId="0" fontId="49" fillId="5" borderId="61" xfId="0" applyFont="1" applyFill="1" applyBorder="1" applyAlignment="1" applyProtection="1">
      <alignment horizontal="left" vertical="center"/>
    </xf>
    <xf numFmtId="0" fontId="49" fillId="5" borderId="61" xfId="0" applyFont="1" applyFill="1" applyBorder="1" applyAlignment="1" applyProtection="1">
      <alignment horizontal="center" vertical="center"/>
    </xf>
    <xf numFmtId="0" fontId="44" fillId="5" borderId="61" xfId="0" applyFont="1" applyFill="1" applyBorder="1" applyAlignment="1" applyProtection="1">
      <alignment vertical="center"/>
    </xf>
    <xf numFmtId="0" fontId="44" fillId="5" borderId="61" xfId="0" applyFont="1" applyFill="1" applyBorder="1" applyAlignment="1" applyProtection="1">
      <alignment horizontal="left" vertical="center"/>
    </xf>
    <xf numFmtId="179" fontId="49" fillId="5" borderId="43" xfId="0" applyNumberFormat="1" applyFont="1" applyFill="1" applyBorder="1" applyAlignment="1" applyProtection="1">
      <alignment horizontal="center" vertical="center"/>
    </xf>
    <xf numFmtId="0" fontId="55" fillId="0" borderId="0" xfId="0" applyFont="1" applyFill="1" applyAlignment="1" applyProtection="1">
      <alignment horizontal="left" vertical="center"/>
      <protection locked="0"/>
    </xf>
    <xf numFmtId="0" fontId="41" fillId="5" borderId="1" xfId="0" applyFont="1" applyFill="1" applyBorder="1" applyAlignment="1" applyProtection="1"/>
    <xf numFmtId="0" fontId="41" fillId="5" borderId="1" xfId="0" applyFont="1" applyFill="1" applyBorder="1" applyAlignment="1" applyProtection="1">
      <alignment horizontal="center"/>
    </xf>
    <xf numFmtId="0" fontId="50" fillId="5" borderId="1" xfId="0" applyFont="1" applyFill="1" applyBorder="1" applyAlignment="1" applyProtection="1">
      <alignment horizontal="left"/>
    </xf>
    <xf numFmtId="186" fontId="50" fillId="5" borderId="1" xfId="0" applyNumberFormat="1" applyFont="1" applyFill="1" applyBorder="1" applyAlignment="1" applyProtection="1">
      <alignment horizontal="center"/>
    </xf>
    <xf numFmtId="0" fontId="50" fillId="5" borderId="1" xfId="0"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xf>
    <xf numFmtId="0" fontId="104" fillId="5" borderId="1" xfId="0" applyFont="1" applyFill="1" applyBorder="1" applyAlignment="1" applyProtection="1">
      <alignment horizontal="left"/>
    </xf>
    <xf numFmtId="0" fontId="104" fillId="5" borderId="1" xfId="0" applyFont="1" applyFill="1" applyBorder="1" applyAlignment="1" applyProtection="1">
      <alignment horizontal="center"/>
    </xf>
    <xf numFmtId="0" fontId="57" fillId="5" borderId="1" xfId="0" applyFont="1" applyFill="1" applyBorder="1" applyAlignment="1" applyProtection="1">
      <alignment horizontal="center"/>
    </xf>
    <xf numFmtId="0" fontId="55" fillId="0" borderId="0" xfId="0" applyFont="1" applyFill="1" applyAlignment="1" applyProtection="1">
      <alignment horizontal="center" vertical="center"/>
      <protection locked="0"/>
    </xf>
    <xf numFmtId="0" fontId="102" fillId="5" borderId="35" xfId="0" applyFont="1" applyFill="1" applyBorder="1" applyAlignment="1" applyProtection="1">
      <alignment vertical="center"/>
    </xf>
    <xf numFmtId="0" fontId="59" fillId="5" borderId="36" xfId="0" applyFont="1" applyFill="1" applyBorder="1" applyAlignment="1" applyProtection="1">
      <alignment horizontal="right" vertical="center"/>
    </xf>
    <xf numFmtId="0" fontId="59" fillId="5" borderId="0" xfId="0" applyFont="1" applyFill="1" applyAlignment="1" applyProtection="1">
      <alignment horizontal="center" vertical="center"/>
    </xf>
    <xf numFmtId="0" fontId="61" fillId="0" borderId="0" xfId="0" applyFont="1" applyFill="1" applyAlignment="1" applyProtection="1">
      <alignment horizontal="center" vertical="center"/>
      <protection locked="0"/>
    </xf>
    <xf numFmtId="0" fontId="54" fillId="5" borderId="18" xfId="0" applyFont="1" applyFill="1" applyBorder="1" applyAlignment="1" applyProtection="1">
      <alignment horizontal="right" vertical="center"/>
    </xf>
    <xf numFmtId="0" fontId="54" fillId="5" borderId="18" xfId="0" applyFont="1" applyFill="1" applyBorder="1" applyAlignment="1" applyProtection="1">
      <alignment horizontal="center" vertical="center"/>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8" fillId="0" borderId="0" xfId="0" applyFont="1" applyFill="1" applyAlignment="1" applyProtection="1">
      <alignment horizontal="center" vertical="center"/>
      <protection locked="0"/>
    </xf>
    <xf numFmtId="0" fontId="47" fillId="5" borderId="39" xfId="0" applyFont="1" applyFill="1" applyBorder="1" applyAlignment="1" applyProtection="1">
      <alignment vertical="center" wrapText="1"/>
    </xf>
    <xf numFmtId="0" fontId="47" fillId="5" borderId="0" xfId="0" applyFont="1" applyFill="1" applyBorder="1" applyAlignment="1" applyProtection="1">
      <alignment vertical="center" wrapText="1"/>
    </xf>
    <xf numFmtId="0" fontId="47" fillId="5" borderId="29" xfId="0" applyFont="1" applyFill="1" applyBorder="1" applyAlignment="1" applyProtection="1">
      <alignment vertical="center" wrapText="1"/>
    </xf>
    <xf numFmtId="0" fontId="47" fillId="5" borderId="40" xfId="0" applyFont="1" applyFill="1" applyBorder="1" applyAlignment="1" applyProtection="1">
      <alignment vertical="center" wrapText="1"/>
    </xf>
    <xf numFmtId="0" fontId="43" fillId="5" borderId="55" xfId="0" applyFont="1" applyFill="1" applyBorder="1" applyAlignment="1" applyProtection="1">
      <alignment vertical="center" wrapText="1"/>
    </xf>
    <xf numFmtId="0" fontId="43" fillId="5" borderId="66" xfId="0" applyFont="1" applyFill="1" applyBorder="1" applyAlignment="1" applyProtection="1">
      <alignment vertical="center" wrapText="1"/>
    </xf>
    <xf numFmtId="184" fontId="41" fillId="5" borderId="9" xfId="0" applyNumberFormat="1" applyFont="1" applyFill="1" applyBorder="1" applyAlignment="1" applyProtection="1">
      <alignment horizontal="center" vertical="center" wrapText="1"/>
    </xf>
    <xf numFmtId="0" fontId="41" fillId="5" borderId="15" xfId="0" applyNumberFormat="1" applyFont="1" applyFill="1" applyBorder="1" applyAlignment="1" applyProtection="1">
      <alignment horizontal="center" vertical="center" wrapText="1"/>
    </xf>
    <xf numFmtId="184" fontId="41" fillId="0" borderId="67" xfId="0" applyNumberFormat="1" applyFont="1" applyFill="1" applyBorder="1" applyAlignment="1" applyProtection="1">
      <alignment horizontal="center" vertical="center" wrapText="1"/>
      <protection locked="0"/>
    </xf>
    <xf numFmtId="0" fontId="41" fillId="5" borderId="14" xfId="0" applyNumberFormat="1" applyFont="1" applyFill="1" applyBorder="1" applyAlignment="1" applyProtection="1">
      <alignment horizontal="center" vertical="center" wrapText="1"/>
    </xf>
    <xf numFmtId="49" fontId="41" fillId="2" borderId="9" xfId="0" applyNumberFormat="1" applyFont="1" applyFill="1" applyBorder="1" applyAlignment="1" applyProtection="1">
      <alignment horizontal="center" vertical="center" wrapText="1"/>
      <protection locked="0"/>
    </xf>
    <xf numFmtId="0" fontId="43" fillId="5" borderId="22" xfId="0" applyFont="1" applyFill="1" applyBorder="1" applyAlignment="1" applyProtection="1">
      <alignment vertical="center" wrapText="1"/>
    </xf>
    <xf numFmtId="0" fontId="41" fillId="0" borderId="46" xfId="0" applyNumberFormat="1" applyFont="1" applyFill="1" applyBorder="1" applyAlignment="1" applyProtection="1">
      <alignment horizontal="center" vertical="center" wrapText="1"/>
      <protection locked="0"/>
    </xf>
    <xf numFmtId="49" fontId="41" fillId="2" borderId="28" xfId="0" applyNumberFormat="1" applyFont="1" applyFill="1" applyBorder="1" applyAlignment="1" applyProtection="1">
      <alignment horizontal="center" vertical="center" wrapText="1"/>
      <protection locked="0"/>
    </xf>
    <xf numFmtId="49" fontId="41" fillId="2" borderId="4" xfId="0" applyNumberFormat="1" applyFont="1" applyFill="1" applyBorder="1" applyAlignment="1" applyProtection="1">
      <alignment horizontal="center" vertical="center" wrapText="1"/>
      <protection locked="0"/>
    </xf>
    <xf numFmtId="0" fontId="68" fillId="5" borderId="26" xfId="0" applyFont="1" applyFill="1" applyBorder="1" applyAlignment="1" applyProtection="1">
      <alignment vertical="center" wrapText="1"/>
    </xf>
    <xf numFmtId="0" fontId="41" fillId="5" borderId="2" xfId="0" applyFont="1" applyFill="1" applyBorder="1" applyAlignment="1" applyProtection="1">
      <alignment horizontal="center" vertical="center" wrapText="1"/>
    </xf>
    <xf numFmtId="49" fontId="41" fillId="2" borderId="7" xfId="0" applyNumberFormat="1" applyFont="1" applyFill="1" applyBorder="1" applyAlignment="1" applyProtection="1">
      <alignment horizontal="center" vertical="center" wrapText="1"/>
      <protection locked="0"/>
    </xf>
    <xf numFmtId="49" fontId="41" fillId="2" borderId="3" xfId="0" applyNumberFormat="1" applyFont="1" applyFill="1" applyBorder="1" applyAlignment="1" applyProtection="1">
      <alignment horizontal="center" vertical="center" wrapText="1"/>
      <protection locked="0"/>
    </xf>
    <xf numFmtId="0" fontId="41" fillId="5" borderId="2"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5" borderId="26" xfId="0" applyFont="1" applyFill="1" applyBorder="1" applyAlignment="1" applyProtection="1">
      <alignment vertical="center" wrapText="1"/>
    </xf>
    <xf numFmtId="0" fontId="41" fillId="0" borderId="7" xfId="0" applyNumberFormat="1" applyFont="1" applyFill="1" applyBorder="1" applyAlignment="1" applyProtection="1">
      <alignment horizontal="center" vertical="center" wrapText="1"/>
      <protection locked="0"/>
    </xf>
    <xf numFmtId="0" fontId="41" fillId="0" borderId="3" xfId="0" applyNumberFormat="1" applyFont="1" applyFill="1" applyBorder="1" applyAlignment="1" applyProtection="1">
      <alignment horizontal="center" vertical="center" wrapText="1"/>
      <protection locked="0"/>
    </xf>
    <xf numFmtId="0" fontId="43" fillId="5" borderId="26" xfId="0" applyFont="1" applyFill="1" applyBorder="1" applyAlignment="1" applyProtection="1">
      <alignment vertical="center" wrapText="1"/>
    </xf>
    <xf numFmtId="0" fontId="41" fillId="0" borderId="23" xfId="0" applyNumberFormat="1" applyFont="1" applyFill="1" applyBorder="1" applyAlignment="1" applyProtection="1">
      <alignment horizontal="center" vertical="center" wrapText="1"/>
      <protection locked="0"/>
    </xf>
    <xf numFmtId="0" fontId="41" fillId="5" borderId="68" xfId="0" applyNumberFormat="1" applyFont="1" applyFill="1" applyBorder="1" applyAlignment="1" applyProtection="1">
      <alignment horizontal="center" vertical="center" wrapText="1"/>
    </xf>
    <xf numFmtId="0" fontId="48" fillId="0" borderId="19" xfId="0" applyNumberFormat="1" applyFont="1" applyFill="1" applyBorder="1" applyAlignment="1" applyProtection="1">
      <alignment horizontal="center" vertical="center" wrapText="1"/>
      <protection locked="0"/>
    </xf>
    <xf numFmtId="0" fontId="48" fillId="5" borderId="6" xfId="0" applyNumberFormat="1" applyFont="1" applyFill="1" applyBorder="1" applyAlignment="1" applyProtection="1">
      <alignment horizontal="center" vertical="center" wrapText="1"/>
    </xf>
    <xf numFmtId="0" fontId="47" fillId="5" borderId="42" xfId="0" applyFont="1" applyFill="1" applyBorder="1" applyAlignment="1" applyProtection="1">
      <alignment vertical="center" wrapText="1"/>
    </xf>
    <xf numFmtId="0" fontId="48" fillId="5" borderId="43" xfId="0" applyNumberFormat="1" applyFont="1" applyFill="1" applyBorder="1" applyAlignment="1" applyProtection="1">
      <alignment horizontal="center" vertical="center" wrapText="1"/>
    </xf>
    <xf numFmtId="0" fontId="48" fillId="5" borderId="44" xfId="0" applyNumberFormat="1" applyFont="1" applyFill="1" applyBorder="1" applyAlignment="1" applyProtection="1">
      <alignment horizontal="center" vertical="center" wrapText="1"/>
    </xf>
    <xf numFmtId="0" fontId="47" fillId="5" borderId="22" xfId="0" applyFont="1" applyFill="1" applyBorder="1" applyAlignment="1" applyProtection="1">
      <alignment vertical="center" wrapText="1"/>
    </xf>
    <xf numFmtId="0" fontId="48" fillId="5" borderId="59" xfId="0" applyNumberFormat="1" applyFont="1" applyFill="1" applyBorder="1" applyAlignment="1" applyProtection="1">
      <alignment horizontal="center" vertical="center" wrapText="1"/>
    </xf>
    <xf numFmtId="49" fontId="48" fillId="0" borderId="21" xfId="0" applyNumberFormat="1" applyFont="1" applyFill="1" applyBorder="1" applyAlignment="1" applyProtection="1">
      <alignment horizontal="center" vertical="center" wrapText="1"/>
      <protection locked="0"/>
    </xf>
    <xf numFmtId="0" fontId="48" fillId="5" borderId="12" xfId="0" applyNumberFormat="1" applyFont="1" applyFill="1" applyBorder="1" applyAlignment="1" applyProtection="1">
      <alignment horizontal="center" vertical="center" wrapText="1"/>
    </xf>
    <xf numFmtId="49" fontId="48" fillId="0" borderId="22" xfId="0" applyNumberFormat="1"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xf>
    <xf numFmtId="0" fontId="48" fillId="2" borderId="23" xfId="0" applyNumberFormat="1" applyFont="1" applyFill="1" applyBorder="1" applyAlignment="1" applyProtection="1">
      <alignment horizontal="center" vertical="center" wrapText="1"/>
      <protection locked="0"/>
    </xf>
    <xf numFmtId="0" fontId="48" fillId="5" borderId="34" xfId="0" applyNumberFormat="1" applyFont="1" applyFill="1" applyBorder="1" applyAlignment="1" applyProtection="1">
      <alignment horizontal="center" vertical="center" wrapText="1"/>
    </xf>
    <xf numFmtId="49" fontId="48" fillId="2" borderId="24" xfId="0" applyNumberFormat="1" applyFont="1" applyFill="1" applyBorder="1" applyAlignment="1" applyProtection="1">
      <alignment horizontal="center" vertical="center" wrapText="1"/>
      <protection locked="0"/>
    </xf>
    <xf numFmtId="0" fontId="48" fillId="5" borderId="64"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49" fontId="48" fillId="0" borderId="25" xfId="0" applyNumberFormat="1" applyFont="1" applyFill="1" applyBorder="1" applyAlignment="1" applyProtection="1">
      <alignment horizontal="center" vertical="center" wrapText="1"/>
      <protection locked="0"/>
    </xf>
    <xf numFmtId="0" fontId="48" fillId="5" borderId="60" xfId="0" applyNumberFormat="1" applyFont="1" applyFill="1" applyBorder="1" applyAlignment="1" applyProtection="1">
      <alignment horizontal="center" vertical="center" wrapText="1"/>
    </xf>
    <xf numFmtId="49" fontId="48" fillId="0" borderId="26" xfId="0" applyNumberFormat="1" applyFont="1" applyFill="1" applyBorder="1" applyAlignment="1" applyProtection="1">
      <alignment horizontal="center" vertical="center" wrapText="1"/>
      <protection locked="0"/>
    </xf>
    <xf numFmtId="0" fontId="48" fillId="5" borderId="58" xfId="0" applyNumberFormat="1" applyFont="1" applyFill="1" applyBorder="1" applyAlignment="1" applyProtection="1">
      <alignment horizontal="center" vertical="center" wrapText="1"/>
    </xf>
    <xf numFmtId="0" fontId="41" fillId="5" borderId="64" xfId="0" applyFont="1" applyFill="1" applyBorder="1" applyAlignment="1" applyProtection="1">
      <alignment horizontal="center" vertical="center" wrapText="1"/>
    </xf>
    <xf numFmtId="0" fontId="48" fillId="2" borderId="26" xfId="0" applyNumberFormat="1" applyFont="1" applyFill="1" applyBorder="1" applyAlignment="1" applyProtection="1">
      <alignment horizontal="center" vertical="center" wrapText="1"/>
      <protection locked="0"/>
    </xf>
    <xf numFmtId="49" fontId="48" fillId="0" borderId="27" xfId="0" applyNumberFormat="1" applyFont="1" applyFill="1" applyBorder="1" applyAlignment="1" applyProtection="1">
      <alignment horizontal="center" vertical="center" wrapText="1"/>
      <protection locked="0"/>
    </xf>
    <xf numFmtId="0" fontId="48" fillId="5" borderId="35" xfId="0" applyNumberFormat="1" applyFont="1" applyFill="1" applyBorder="1" applyAlignment="1" applyProtection="1">
      <alignment horizontal="center" vertical="center" wrapText="1"/>
    </xf>
    <xf numFmtId="49" fontId="48" fillId="0" borderId="16"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5" borderId="2" xfId="0" applyNumberFormat="1" applyFont="1" applyFill="1" applyBorder="1" applyAlignment="1" applyProtection="1">
      <alignment horizontal="center" vertical="center" wrapText="1"/>
    </xf>
    <xf numFmtId="0" fontId="41" fillId="5" borderId="34" xfId="0" applyNumberFormat="1" applyFont="1" applyFill="1" applyBorder="1" applyAlignment="1" applyProtection="1">
      <alignment horizontal="center" vertical="center" wrapText="1"/>
    </xf>
    <xf numFmtId="0" fontId="41" fillId="5" borderId="64" xfId="0" applyNumberFormat="1" applyFont="1" applyFill="1" applyBorder="1" applyAlignment="1" applyProtection="1">
      <alignment horizontal="center" vertical="center" wrapText="1"/>
    </xf>
    <xf numFmtId="0" fontId="47" fillId="5" borderId="22" xfId="0" applyFont="1" applyFill="1" applyBorder="1" applyAlignment="1" applyProtection="1">
      <alignment vertical="center" textRotation="255" wrapText="1"/>
    </xf>
    <xf numFmtId="0" fontId="48" fillId="5" borderId="31" xfId="0" applyNumberFormat="1" applyFont="1" applyFill="1" applyBorder="1" applyAlignment="1" applyProtection="1">
      <alignment horizontal="center" vertical="center" wrapText="1"/>
    </xf>
    <xf numFmtId="0" fontId="71" fillId="5" borderId="26" xfId="0" applyFont="1" applyFill="1" applyBorder="1" applyAlignment="1" applyProtection="1">
      <alignment vertical="center" textRotation="255" wrapText="1"/>
    </xf>
    <xf numFmtId="0" fontId="41" fillId="0" borderId="19"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5" borderId="26" xfId="0" applyFont="1" applyFill="1" applyBorder="1" applyAlignment="1" applyProtection="1">
      <alignment vertical="center" textRotation="255" wrapText="1"/>
    </xf>
    <xf numFmtId="0" fontId="43" fillId="5" borderId="26" xfId="0" applyFont="1" applyFill="1" applyBorder="1" applyAlignment="1" applyProtection="1">
      <alignment vertical="center" textRotation="255" wrapText="1"/>
    </xf>
    <xf numFmtId="9" fontId="41" fillId="0" borderId="19" xfId="0" applyNumberFormat="1" applyFont="1" applyFill="1" applyBorder="1" applyAlignment="1" applyProtection="1">
      <alignment horizontal="center" vertical="center" wrapText="1"/>
      <protection locked="0"/>
    </xf>
    <xf numFmtId="9" fontId="41" fillId="0" borderId="3" xfId="0" applyNumberFormat="1" applyFont="1" applyFill="1" applyBorder="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47" fillId="5" borderId="42" xfId="0" applyFont="1" applyFill="1" applyBorder="1" applyAlignment="1" applyProtection="1">
      <alignment vertical="center" textRotation="255" wrapText="1"/>
    </xf>
    <xf numFmtId="49" fontId="47" fillId="5" borderId="46" xfId="0" applyNumberFormat="1" applyFont="1" applyFill="1" applyBorder="1" applyAlignment="1" applyProtection="1">
      <alignment vertical="center"/>
    </xf>
    <xf numFmtId="49" fontId="47" fillId="5" borderId="47" xfId="0" applyNumberFormat="1" applyFont="1" applyFill="1" applyBorder="1" applyAlignment="1" applyProtection="1">
      <alignment vertical="center"/>
    </xf>
    <xf numFmtId="0" fontId="47" fillId="5" borderId="38" xfId="0" applyFont="1" applyFill="1" applyBorder="1" applyAlignment="1" applyProtection="1">
      <alignment vertical="center" wrapText="1"/>
    </xf>
    <xf numFmtId="0" fontId="72" fillId="3" borderId="47" xfId="0" applyFont="1" applyFill="1" applyBorder="1" applyAlignment="1" applyProtection="1">
      <alignment vertical="center" wrapText="1"/>
      <protection locked="0"/>
    </xf>
    <xf numFmtId="0" fontId="72" fillId="5" borderId="47" xfId="0" applyFont="1" applyFill="1" applyBorder="1" applyAlignment="1" applyProtection="1">
      <alignment vertical="center" wrapText="1"/>
    </xf>
    <xf numFmtId="0" fontId="72" fillId="3" borderId="46" xfId="0" applyFont="1" applyFill="1" applyBorder="1" applyAlignment="1" applyProtection="1">
      <alignment vertical="center" wrapText="1"/>
      <protection locked="0"/>
    </xf>
    <xf numFmtId="0" fontId="72" fillId="5" borderId="38" xfId="0" applyFont="1" applyFill="1" applyBorder="1" applyAlignment="1" applyProtection="1">
      <alignment vertical="center" wrapText="1"/>
    </xf>
    <xf numFmtId="49" fontId="47" fillId="5" borderId="20" xfId="0" applyNumberFormat="1" applyFont="1" applyFill="1" applyBorder="1" applyAlignment="1" applyProtection="1">
      <alignment vertical="center"/>
    </xf>
    <xf numFmtId="49" fontId="47" fillId="5" borderId="48" xfId="0" applyNumberFormat="1" applyFont="1" applyFill="1" applyBorder="1" applyAlignment="1" applyProtection="1">
      <alignment vertical="center"/>
    </xf>
    <xf numFmtId="186" fontId="47" fillId="5" borderId="20" xfId="0" applyNumberFormat="1" applyFont="1" applyFill="1" applyBorder="1" applyAlignment="1" applyProtection="1">
      <alignment vertical="center" wrapText="1"/>
    </xf>
    <xf numFmtId="186" fontId="47" fillId="5" borderId="48" xfId="0" applyNumberFormat="1" applyFont="1" applyFill="1" applyBorder="1" applyAlignment="1" applyProtection="1">
      <alignment vertical="center" wrapText="1"/>
    </xf>
    <xf numFmtId="49" fontId="47" fillId="0" borderId="29" xfId="0" applyNumberFormat="1" applyFont="1" applyFill="1" applyBorder="1" applyAlignment="1" applyProtection="1">
      <alignment vertical="center"/>
      <protection locked="0"/>
    </xf>
    <xf numFmtId="49" fontId="47" fillId="0" borderId="30" xfId="0" applyNumberFormat="1" applyFont="1" applyFill="1" applyBorder="1" applyAlignment="1" applyProtection="1">
      <alignment vertical="center"/>
      <protection locked="0"/>
    </xf>
    <xf numFmtId="186" fontId="47" fillId="5" borderId="40" xfId="0" applyNumberFormat="1" applyFont="1" applyFill="1" applyBorder="1" applyAlignment="1" applyProtection="1">
      <alignment vertical="center" wrapText="1"/>
    </xf>
    <xf numFmtId="189" fontId="48" fillId="0" borderId="0" xfId="0" applyNumberFormat="1" applyFont="1" applyFill="1" applyAlignment="1" applyProtection="1">
      <alignment horizontal="center" vertical="center"/>
      <protection locked="0"/>
    </xf>
    <xf numFmtId="181" fontId="48" fillId="0" borderId="0" xfId="0" applyNumberFormat="1" applyFont="1" applyFill="1" applyAlignment="1" applyProtection="1">
      <alignment horizontal="center" vertical="center"/>
      <protection locked="0"/>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wrapText="1"/>
    </xf>
    <xf numFmtId="181" fontId="48" fillId="5" borderId="2" xfId="0" applyNumberFormat="1" applyFont="1" applyFill="1" applyBorder="1" applyAlignment="1" applyProtection="1">
      <alignment horizontal="center" vertical="center"/>
    </xf>
    <xf numFmtId="181" fontId="48" fillId="5" borderId="3" xfId="0" applyNumberFormat="1" applyFont="1" applyFill="1" applyBorder="1" applyAlignment="1" applyProtection="1">
      <alignment vertical="center"/>
    </xf>
    <xf numFmtId="0" fontId="47" fillId="5"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48" fillId="0" borderId="0" xfId="0" applyFont="1" applyBorder="1" applyAlignment="1" applyProtection="1">
      <protection locked="0"/>
    </xf>
    <xf numFmtId="9" fontId="41" fillId="0" borderId="0" xfId="0" applyNumberFormat="1" applyFont="1" applyFill="1" applyBorder="1" applyAlignment="1" applyProtection="1">
      <alignment horizontal="center" vertical="center" wrapText="1"/>
      <protection locked="0"/>
    </xf>
    <xf numFmtId="0" fontId="43" fillId="5" borderId="5" xfId="0" applyNumberFormat="1" applyFont="1" applyFill="1" applyBorder="1" applyAlignment="1" applyProtection="1">
      <alignment vertical="center" wrapText="1"/>
    </xf>
    <xf numFmtId="0" fontId="43" fillId="5" borderId="21" xfId="0" applyNumberFormat="1" applyFont="1" applyFill="1" applyBorder="1" applyAlignment="1" applyProtection="1">
      <alignment vertical="center" wrapText="1"/>
    </xf>
    <xf numFmtId="49" fontId="41" fillId="0" borderId="0" xfId="0" applyNumberFormat="1" applyFont="1" applyFill="1" applyBorder="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3" fillId="5" borderId="39" xfId="0" applyNumberFormat="1" applyFont="1" applyFill="1" applyBorder="1" applyAlignment="1" applyProtection="1">
      <alignment vertical="center" wrapText="1"/>
    </xf>
    <xf numFmtId="0" fontId="43" fillId="5" borderId="25" xfId="0" applyNumberFormat="1" applyFont="1" applyFill="1" applyBorder="1" applyAlignment="1" applyProtection="1">
      <alignment vertical="center" wrapText="1"/>
    </xf>
    <xf numFmtId="0" fontId="41" fillId="0" borderId="18" xfId="0" applyNumberFormat="1" applyFont="1" applyFill="1" applyBorder="1" applyAlignment="1" applyProtection="1">
      <alignment horizontal="center" vertical="center" wrapText="1"/>
      <protection locked="0"/>
    </xf>
    <xf numFmtId="0" fontId="41" fillId="0" borderId="35" xfId="0" applyNumberFormat="1" applyFont="1" applyFill="1" applyBorder="1" applyAlignment="1" applyProtection="1">
      <alignment horizontal="center" vertical="center" wrapText="1"/>
      <protection locked="0"/>
    </xf>
    <xf numFmtId="0" fontId="41" fillId="0" borderId="58" xfId="0" applyNumberFormat="1" applyFont="1" applyFill="1" applyBorder="1" applyAlignment="1" applyProtection="1">
      <alignment horizontal="center" vertical="center" wrapText="1"/>
      <protection locked="0"/>
    </xf>
    <xf numFmtId="0" fontId="43" fillId="5" borderId="29" xfId="0" applyNumberFormat="1" applyFont="1" applyFill="1" applyBorder="1" applyAlignment="1" applyProtection="1">
      <alignment vertical="center"/>
    </xf>
    <xf numFmtId="0" fontId="43" fillId="5" borderId="70" xfId="0" applyNumberFormat="1" applyFont="1" applyFill="1" applyBorder="1" applyAlignment="1" applyProtection="1">
      <alignment vertical="center" wrapText="1"/>
    </xf>
    <xf numFmtId="0" fontId="41" fillId="0" borderId="70"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41" fillId="0" borderId="73" xfId="0" applyNumberFormat="1" applyFont="1" applyFill="1" applyBorder="1" applyAlignment="1" applyProtection="1">
      <alignment horizontal="center" vertical="center" wrapText="1"/>
      <protection locked="0"/>
    </xf>
    <xf numFmtId="0" fontId="43" fillId="5" borderId="60" xfId="0" applyNumberFormat="1" applyFont="1" applyFill="1" applyBorder="1" applyAlignment="1" applyProtection="1">
      <alignment vertical="center" wrapText="1"/>
    </xf>
    <xf numFmtId="0" fontId="41" fillId="5" borderId="24" xfId="0" applyNumberFormat="1" applyFont="1" applyFill="1" applyBorder="1" applyAlignment="1" applyProtection="1">
      <alignment horizontal="center" vertical="center" wrapText="1"/>
    </xf>
    <xf numFmtId="0" fontId="41" fillId="0" borderId="17"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left" vertical="center" wrapText="1"/>
      <protection locked="0"/>
    </xf>
    <xf numFmtId="0" fontId="41" fillId="0" borderId="34" xfId="0" applyNumberFormat="1" applyFont="1" applyFill="1" applyBorder="1" applyAlignment="1" applyProtection="1">
      <alignment horizontal="center" vertical="center" wrapText="1"/>
      <protection locked="0"/>
    </xf>
    <xf numFmtId="0" fontId="100" fillId="0" borderId="0" xfId="0" applyFont="1" applyFill="1" applyBorder="1" applyAlignment="1" applyProtection="1">
      <alignment vertical="center"/>
      <protection locked="0"/>
    </xf>
    <xf numFmtId="0" fontId="47" fillId="5" borderId="22" xfId="0" applyNumberFormat="1" applyFont="1" applyFill="1" applyBorder="1" applyAlignment="1" applyProtection="1">
      <alignment vertical="center" wrapText="1"/>
    </xf>
    <xf numFmtId="0" fontId="41" fillId="5" borderId="57"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left" vertical="center" wrapText="1"/>
      <protection locked="0"/>
    </xf>
    <xf numFmtId="0" fontId="70" fillId="0" borderId="31"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vertical="center" wrapText="1"/>
    </xf>
    <xf numFmtId="0" fontId="46" fillId="5" borderId="74"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1" fillId="5" borderId="54" xfId="0" applyNumberFormat="1" applyFont="1" applyFill="1" applyBorder="1" applyAlignment="1" applyProtection="1">
      <alignment horizontal="center" vertical="center" wrapText="1"/>
    </xf>
    <xf numFmtId="0" fontId="48"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41" fillId="5" borderId="74" xfId="0" applyNumberFormat="1" applyFont="1" applyFill="1" applyBorder="1" applyAlignment="1" applyProtection="1">
      <alignment horizontal="center" vertical="center" wrapText="1"/>
    </xf>
    <xf numFmtId="0" fontId="48" fillId="5" borderId="75" xfId="0" applyNumberFormat="1" applyFont="1" applyFill="1" applyBorder="1" applyAlignment="1" applyProtection="1">
      <alignment horizontal="center" vertical="center" wrapText="1"/>
    </xf>
    <xf numFmtId="0" fontId="48" fillId="5" borderId="76" xfId="0" applyNumberFormat="1" applyFont="1" applyFill="1" applyBorder="1" applyAlignment="1" applyProtection="1">
      <alignment horizontal="center" vertical="center" wrapText="1"/>
    </xf>
    <xf numFmtId="0" fontId="41" fillId="5" borderId="49" xfId="0" applyNumberFormat="1" applyFont="1" applyFill="1" applyBorder="1" applyAlignment="1" applyProtection="1">
      <alignment horizontal="center" vertical="center" wrapText="1"/>
    </xf>
    <xf numFmtId="0" fontId="48" fillId="5" borderId="17"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41"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41" fillId="0" borderId="75"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left" vertical="center" wrapText="1"/>
      <protection locked="0"/>
    </xf>
    <xf numFmtId="0" fontId="46" fillId="0" borderId="3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71" fillId="5" borderId="42" xfId="0" applyNumberFormat="1" applyFont="1" applyFill="1" applyBorder="1" applyAlignment="1" applyProtection="1">
      <alignment vertical="center" wrapText="1"/>
    </xf>
    <xf numFmtId="0" fontId="41" fillId="5" borderId="71" xfId="0" applyNumberFormat="1" applyFont="1" applyFill="1" applyBorder="1" applyAlignment="1" applyProtection="1">
      <alignment horizontal="center" vertical="center" wrapText="1"/>
    </xf>
    <xf numFmtId="0" fontId="41" fillId="0" borderId="61"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41" fillId="5" borderId="11" xfId="0" applyNumberFormat="1" applyFont="1" applyFill="1" applyBorder="1" applyAlignment="1" applyProtection="1">
      <alignment horizontal="center" vertical="center" wrapText="1"/>
    </xf>
    <xf numFmtId="0" fontId="70" fillId="5" borderId="11" xfId="0" applyNumberFormat="1" applyFont="1" applyFill="1" applyBorder="1" applyAlignment="1" applyProtection="1">
      <alignment horizontal="center" vertical="center" wrapText="1"/>
    </xf>
    <xf numFmtId="0" fontId="70" fillId="5" borderId="11" xfId="0" applyNumberFormat="1" applyFont="1" applyFill="1" applyBorder="1" applyAlignment="1" applyProtection="1">
      <alignment horizontal="left" vertical="center" wrapText="1"/>
    </xf>
    <xf numFmtId="0" fontId="70" fillId="5" borderId="31"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5" borderId="32" xfId="0" applyNumberFormat="1" applyFont="1" applyFill="1" applyBorder="1" applyAlignment="1" applyProtection="1">
      <alignment horizontal="center" vertical="center" wrapText="1"/>
    </xf>
    <xf numFmtId="0" fontId="43" fillId="5" borderId="26" xfId="0" applyNumberFormat="1" applyFont="1" applyFill="1" applyBorder="1" applyAlignment="1" applyProtection="1">
      <alignment vertical="center" wrapText="1"/>
    </xf>
    <xf numFmtId="0" fontId="41" fillId="0" borderId="32" xfId="0" applyNumberFormat="1" applyFont="1" applyFill="1" applyBorder="1" applyAlignment="1" applyProtection="1">
      <alignment horizontal="left" vertical="center" wrapText="1"/>
      <protection locked="0"/>
    </xf>
    <xf numFmtId="0" fontId="41" fillId="0" borderId="33" xfId="0" applyNumberFormat="1" applyFont="1" applyFill="1" applyBorder="1" applyAlignment="1" applyProtection="1">
      <alignment horizontal="center" vertical="center" wrapText="1"/>
      <protection locked="0"/>
    </xf>
    <xf numFmtId="0" fontId="41" fillId="5" borderId="75"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48"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41" fillId="5" borderId="60" xfId="0" applyNumberFormat="1" applyFont="1" applyFill="1" applyBorder="1" applyAlignment="1" applyProtection="1">
      <alignment horizontal="center" vertical="center"/>
    </xf>
    <xf numFmtId="0" fontId="41"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left" vertical="center" wrapText="1"/>
      <protection locked="0"/>
    </xf>
    <xf numFmtId="0" fontId="46" fillId="0" borderId="6"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vertical="center" textRotation="255" wrapText="1"/>
    </xf>
    <xf numFmtId="0" fontId="46" fillId="5" borderId="32"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186" fontId="54" fillId="5" borderId="18" xfId="0" applyNumberFormat="1" applyFont="1" applyFill="1" applyBorder="1" applyAlignment="1" applyProtection="1">
      <alignment horizontal="right" vertical="center"/>
    </xf>
    <xf numFmtId="189" fontId="41" fillId="5" borderId="3"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55" fillId="5" borderId="3" xfId="0" applyNumberFormat="1" applyFont="1" applyFill="1" applyBorder="1" applyAlignment="1" applyProtection="1">
      <alignment horizontal="center" vertical="center" wrapText="1"/>
    </xf>
    <xf numFmtId="0" fontId="55" fillId="0" borderId="16" xfId="0" applyNumberFormat="1" applyFont="1" applyFill="1" applyBorder="1" applyAlignment="1" applyProtection="1">
      <alignment horizontal="center" vertical="center" wrapText="1"/>
      <protection locked="0"/>
    </xf>
    <xf numFmtId="0" fontId="55" fillId="5" borderId="23" xfId="0" applyNumberFormat="1" applyFont="1" applyFill="1" applyBorder="1" applyAlignment="1" applyProtection="1">
      <alignment horizontal="center" vertical="center" wrapText="1"/>
    </xf>
    <xf numFmtId="0" fontId="48" fillId="2" borderId="19" xfId="0" applyNumberFormat="1" applyFont="1" applyFill="1" applyBorder="1" applyAlignment="1" applyProtection="1">
      <alignment horizontal="center" vertical="center" wrapText="1"/>
      <protection locked="0"/>
    </xf>
    <xf numFmtId="189" fontId="48" fillId="3" borderId="3" xfId="0" applyNumberFormat="1" applyFont="1" applyFill="1" applyBorder="1" applyAlignment="1" applyProtection="1">
      <alignment horizontal="center" vertical="center"/>
      <protection locked="0"/>
    </xf>
    <xf numFmtId="189" fontId="48" fillId="3" borderId="1" xfId="0" applyNumberFormat="1" applyFont="1" applyFill="1" applyBorder="1" applyAlignment="1" applyProtection="1">
      <alignment horizontal="center" vertical="center" wrapText="1"/>
      <protection locked="0"/>
    </xf>
    <xf numFmtId="0" fontId="41" fillId="5" borderId="33" xfId="0" applyNumberFormat="1"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70" fillId="0" borderId="49" xfId="0" applyNumberFormat="1" applyFont="1" applyFill="1" applyBorder="1" applyAlignment="1" applyProtection="1">
      <alignment horizontal="center" vertical="center" wrapText="1"/>
      <protection locked="0"/>
    </xf>
    <xf numFmtId="0" fontId="70" fillId="0" borderId="49" xfId="0" applyNumberFormat="1" applyFont="1" applyFill="1" applyBorder="1" applyAlignment="1" applyProtection="1">
      <alignment horizontal="left" vertical="center" wrapText="1"/>
      <protection locked="0"/>
    </xf>
    <xf numFmtId="0" fontId="70" fillId="0" borderId="50" xfId="0" applyNumberFormat="1" applyFont="1" applyFill="1" applyBorder="1" applyAlignment="1" applyProtection="1">
      <alignment horizontal="center" vertical="center" wrapText="1"/>
      <protection locked="0"/>
    </xf>
    <xf numFmtId="0" fontId="41" fillId="0" borderId="42" xfId="0" applyNumberFormat="1" applyFont="1" applyFill="1" applyBorder="1" applyAlignment="1" applyProtection="1">
      <alignment horizontal="center" vertical="center" wrapText="1"/>
      <protection locked="0"/>
    </xf>
    <xf numFmtId="0" fontId="41" fillId="5" borderId="59"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xf>
    <xf numFmtId="0" fontId="41" fillId="5" borderId="58" xfId="0" applyFont="1" applyFill="1" applyBorder="1" applyAlignment="1" applyProtection="1">
      <alignment horizontal="center" vertical="center" wrapText="1"/>
    </xf>
    <xf numFmtId="0" fontId="41" fillId="5" borderId="34" xfId="0" applyFont="1" applyFill="1" applyBorder="1" applyAlignment="1" applyProtection="1">
      <alignment horizontal="center" vertical="center" wrapText="1"/>
    </xf>
    <xf numFmtId="0" fontId="41" fillId="5" borderId="50" xfId="0" applyFont="1" applyFill="1" applyBorder="1" applyAlignment="1" applyProtection="1">
      <alignment horizontal="center" vertical="center" wrapText="1"/>
    </xf>
    <xf numFmtId="0" fontId="48" fillId="2" borderId="51" xfId="0" applyNumberFormat="1" applyFont="1" applyFill="1" applyBorder="1" applyAlignment="1" applyProtection="1">
      <alignment horizontal="center" vertical="center" wrapText="1"/>
      <protection locked="0"/>
    </xf>
    <xf numFmtId="0" fontId="41" fillId="0" borderId="43" xfId="0" applyFont="1" applyFill="1" applyBorder="1" applyAlignment="1" applyProtection="1">
      <alignment horizontal="center" vertical="center" wrapText="1"/>
      <protection locked="0"/>
    </xf>
    <xf numFmtId="0" fontId="48" fillId="5" borderId="54"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protection locked="0"/>
    </xf>
    <xf numFmtId="9" fontId="48" fillId="0" borderId="0" xfId="0" applyNumberFormat="1" applyFont="1" applyFill="1" applyBorder="1" applyAlignment="1" applyProtection="1">
      <alignment horizontal="center" vertical="center" wrapText="1"/>
      <protection locked="0"/>
    </xf>
    <xf numFmtId="0" fontId="41" fillId="5" borderId="27" xfId="0" applyNumberFormat="1"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68" fillId="5" borderId="77" xfId="0" applyFont="1" applyFill="1" applyBorder="1" applyAlignment="1" applyProtection="1">
      <alignment vertical="center" wrapText="1"/>
    </xf>
    <xf numFmtId="0" fontId="41" fillId="5" borderId="51" xfId="0" applyFont="1" applyFill="1" applyBorder="1" applyAlignment="1" applyProtection="1">
      <alignment horizontal="center" vertical="center" wrapText="1"/>
    </xf>
    <xf numFmtId="0" fontId="47" fillId="5" borderId="77" xfId="0" applyFont="1" applyFill="1" applyBorder="1" applyAlignment="1" applyProtection="1">
      <alignment vertical="center" wrapText="1"/>
    </xf>
    <xf numFmtId="0" fontId="41" fillId="0" borderId="36" xfId="0" applyFont="1" applyFill="1" applyBorder="1" applyAlignment="1" applyProtection="1">
      <alignment horizontal="center" vertical="center" wrapText="1"/>
      <protection locked="0"/>
    </xf>
    <xf numFmtId="0" fontId="43" fillId="5" borderId="77" xfId="0" applyFont="1" applyFill="1" applyBorder="1" applyAlignment="1" applyProtection="1">
      <alignment vertical="center" wrapText="1"/>
    </xf>
    <xf numFmtId="0" fontId="47" fillId="5" borderId="78" xfId="0" applyFont="1" applyFill="1" applyBorder="1" applyAlignment="1" applyProtection="1">
      <alignment vertical="center" wrapText="1"/>
    </xf>
    <xf numFmtId="0" fontId="48" fillId="5" borderId="50" xfId="0" applyFont="1" applyFill="1" applyBorder="1" applyAlignment="1" applyProtection="1">
      <alignment horizontal="center" vertical="center"/>
    </xf>
    <xf numFmtId="0" fontId="41" fillId="0" borderId="58" xfId="0"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wrapText="1"/>
    </xf>
    <xf numFmtId="0" fontId="41" fillId="5" borderId="73" xfId="0" applyNumberFormat="1" applyFont="1" applyFill="1" applyBorder="1" applyAlignment="1" applyProtection="1">
      <alignment horizontal="center" vertical="center" wrapText="1"/>
    </xf>
    <xf numFmtId="0" fontId="47" fillId="5" borderId="5" xfId="0" applyFont="1" applyFill="1" applyBorder="1" applyAlignment="1" applyProtection="1">
      <alignment vertical="center" textRotation="255" wrapText="1"/>
    </xf>
    <xf numFmtId="0" fontId="71" fillId="5" borderId="39" xfId="0" applyFont="1" applyFill="1" applyBorder="1" applyAlignment="1" applyProtection="1">
      <alignment vertical="center" textRotation="255" wrapText="1"/>
    </xf>
    <xf numFmtId="0" fontId="41" fillId="5" borderId="6" xfId="0" applyFont="1" applyFill="1" applyBorder="1" applyAlignment="1" applyProtection="1">
      <alignment horizontal="center" vertical="center" wrapText="1"/>
    </xf>
    <xf numFmtId="49" fontId="41" fillId="0" borderId="19"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vertical="center" textRotation="255" wrapText="1"/>
    </xf>
    <xf numFmtId="0" fontId="41" fillId="2"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47" fillId="5" borderId="29" xfId="0" applyFont="1" applyFill="1" applyBorder="1" applyAlignment="1" applyProtection="1">
      <alignment vertical="center" textRotation="255" wrapText="1"/>
    </xf>
    <xf numFmtId="0" fontId="48" fillId="5" borderId="49" xfId="0" applyNumberFormat="1" applyFont="1" applyFill="1" applyBorder="1" applyAlignment="1" applyProtection="1">
      <alignment horizontal="center" vertical="center" wrapText="1"/>
    </xf>
    <xf numFmtId="49" fontId="48" fillId="0" borderId="11"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left" vertical="center" wrapText="1"/>
      <protection locked="0"/>
    </xf>
    <xf numFmtId="49" fontId="70" fillId="0" borderId="31" xfId="0" applyNumberFormat="1" applyFont="1" applyFill="1" applyBorder="1" applyAlignment="1" applyProtection="1">
      <alignment horizontal="center" vertical="center" wrapText="1"/>
      <protection locked="0"/>
    </xf>
    <xf numFmtId="0" fontId="41" fillId="5" borderId="50" xfId="0" applyNumberFormat="1" applyFont="1" applyFill="1" applyBorder="1" applyAlignment="1" applyProtection="1">
      <alignment horizontal="center" vertical="center" wrapText="1"/>
    </xf>
    <xf numFmtId="0" fontId="41" fillId="5" borderId="60" xfId="0" applyNumberFormat="1" applyFont="1" applyFill="1" applyBorder="1" applyAlignment="1" applyProtection="1">
      <alignment horizontal="center" vertical="center" wrapText="1"/>
    </xf>
    <xf numFmtId="0" fontId="48" fillId="5" borderId="13"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left" vertical="center" wrapText="1"/>
    </xf>
    <xf numFmtId="0" fontId="70" fillId="5" borderId="50" xfId="0" applyNumberFormat="1" applyFont="1" applyFill="1" applyBorder="1" applyAlignment="1" applyProtection="1">
      <alignment horizontal="center" vertical="center" wrapText="1"/>
    </xf>
    <xf numFmtId="177" fontId="54" fillId="5" borderId="1" xfId="0" applyNumberFormat="1" applyFont="1" applyFill="1" applyBorder="1" applyAlignment="1" applyProtection="1">
      <alignment horizontal="right" vertical="center"/>
    </xf>
    <xf numFmtId="0" fontId="58" fillId="5"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48" fillId="5" borderId="39" xfId="0" applyFont="1" applyFill="1" applyBorder="1" applyAlignment="1" applyProtection="1">
      <alignment horizontal="center" vertical="center"/>
    </xf>
    <xf numFmtId="0" fontId="71" fillId="5" borderId="29" xfId="0" applyFont="1" applyFill="1" applyBorder="1" applyAlignment="1" applyProtection="1">
      <alignment vertical="center" textRotation="255" wrapText="1"/>
    </xf>
    <xf numFmtId="0" fontId="48" fillId="0" borderId="18" xfId="0" applyNumberFormat="1" applyFont="1" applyFill="1" applyBorder="1" applyAlignment="1" applyProtection="1">
      <alignment horizontal="center" vertical="center" wrapText="1"/>
      <protection locked="0"/>
    </xf>
    <xf numFmtId="0" fontId="48" fillId="0" borderId="8"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73" fillId="5" borderId="3" xfId="0" applyNumberFormat="1" applyFont="1" applyFill="1" applyBorder="1" applyAlignment="1" applyProtection="1">
      <alignment horizontal="center" vertical="center" wrapText="1"/>
    </xf>
    <xf numFmtId="0" fontId="47" fillId="5" borderId="47" xfId="0" applyFont="1" applyFill="1" applyBorder="1" applyAlignment="1" applyProtection="1">
      <alignment horizontal="right" vertical="center" wrapText="1"/>
    </xf>
    <xf numFmtId="49" fontId="47" fillId="5" borderId="62" xfId="0" applyNumberFormat="1" applyFont="1" applyFill="1" applyBorder="1" applyAlignment="1" applyProtection="1">
      <alignment vertical="center"/>
    </xf>
    <xf numFmtId="14" fontId="48" fillId="5" borderId="4" xfId="0" applyNumberFormat="1" applyFont="1" applyFill="1" applyBorder="1" applyAlignment="1" applyProtection="1">
      <alignment horizontal="left" vertical="center"/>
    </xf>
    <xf numFmtId="176" fontId="48" fillId="5" borderId="11" xfId="0" applyNumberFormat="1" applyFont="1" applyFill="1" applyBorder="1" applyAlignment="1" applyProtection="1">
      <alignment horizontal="center" vertical="center"/>
    </xf>
    <xf numFmtId="0" fontId="48" fillId="5" borderId="11" xfId="0" applyFont="1" applyFill="1" applyBorder="1" applyAlignment="1" applyProtection="1">
      <alignment horizontal="center" vertical="center"/>
    </xf>
    <xf numFmtId="0" fontId="48" fillId="5" borderId="31" xfId="0" applyFont="1" applyFill="1" applyBorder="1" applyAlignment="1" applyProtection="1">
      <alignment horizontal="center" vertical="center"/>
    </xf>
    <xf numFmtId="0" fontId="50" fillId="5" borderId="7" xfId="0" applyFont="1" applyFill="1" applyBorder="1" applyAlignment="1" applyProtection="1"/>
    <xf numFmtId="186" fontId="50" fillId="5" borderId="1" xfId="1" applyNumberFormat="1" applyFont="1" applyFill="1" applyBorder="1" applyAlignment="1" applyProtection="1">
      <alignment horizontal="center"/>
    </xf>
    <xf numFmtId="0" fontId="50" fillId="5" borderId="1" xfId="0" applyFont="1" applyFill="1" applyBorder="1" applyAlignment="1" applyProtection="1">
      <alignment horizontal="center"/>
    </xf>
    <xf numFmtId="177" fontId="50" fillId="5" borderId="6"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0" fillId="5" borderId="7" xfId="1" applyFont="1" applyFill="1" applyBorder="1" applyAlignment="1" applyProtection="1"/>
    <xf numFmtId="179" fontId="50" fillId="0" borderId="1" xfId="1" applyNumberFormat="1" applyFont="1" applyFill="1" applyBorder="1" applyAlignment="1" applyProtection="1">
      <alignment horizontal="center"/>
      <protection locked="0"/>
    </xf>
    <xf numFmtId="0" fontId="44" fillId="5" borderId="61" xfId="0" applyFont="1" applyFill="1" applyBorder="1" applyAlignment="1" applyProtection="1">
      <alignment horizontal="center" vertical="center"/>
    </xf>
    <xf numFmtId="0" fontId="51" fillId="5" borderId="8" xfId="1" applyFont="1" applyFill="1" applyBorder="1" applyAlignment="1" applyProtection="1"/>
    <xf numFmtId="0" fontId="50" fillId="5" borderId="61" xfId="0" applyFont="1" applyFill="1" applyBorder="1" applyAlignment="1" applyProtection="1">
      <alignment horizontal="center"/>
    </xf>
    <xf numFmtId="177" fontId="51" fillId="5" borderId="43" xfId="0" applyNumberFormat="1" applyFont="1" applyFill="1" applyBorder="1" applyAlignment="1" applyProtection="1">
      <alignment horizontal="center"/>
    </xf>
    <xf numFmtId="0" fontId="41" fillId="5" borderId="32" xfId="0" applyNumberFormat="1" applyFont="1" applyFill="1" applyBorder="1" applyAlignment="1" applyProtection="1">
      <alignment horizontal="left" vertical="center" wrapText="1"/>
    </xf>
    <xf numFmtId="0" fontId="48" fillId="0" borderId="58" xfId="0" applyNumberFormat="1" applyFont="1" applyFill="1" applyBorder="1" applyAlignment="1" applyProtection="1">
      <alignment horizontal="center" vertical="center" wrapText="1"/>
      <protection locked="0"/>
    </xf>
    <xf numFmtId="0" fontId="48" fillId="0" borderId="56" xfId="0" applyNumberFormat="1" applyFont="1" applyFill="1" applyBorder="1" applyAlignment="1" applyProtection="1">
      <alignment horizontal="center" vertical="center" wrapText="1"/>
      <protection locked="0"/>
    </xf>
    <xf numFmtId="0" fontId="44" fillId="0" borderId="0" xfId="0" applyNumberFormat="1" applyFont="1" applyAlignment="1" applyProtection="1">
      <alignment horizontal="center" vertical="center"/>
      <protection locked="0"/>
    </xf>
    <xf numFmtId="0" fontId="44" fillId="5" borderId="5" xfId="0" applyNumberFormat="1" applyFont="1" applyFill="1" applyBorder="1" applyAlignment="1" applyProtection="1">
      <alignment horizontal="center" vertical="center" wrapText="1"/>
    </xf>
    <xf numFmtId="0" fontId="44" fillId="5" borderId="4"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5" borderId="7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4" fillId="5" borderId="39"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5" borderId="80"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protection locked="0"/>
    </xf>
    <xf numFmtId="0" fontId="44" fillId="0" borderId="53" xfId="0" applyNumberFormat="1" applyFont="1" applyFill="1" applyBorder="1" applyAlignment="1" applyProtection="1">
      <alignment horizontal="center" vertical="center" wrapText="1"/>
      <protection locked="0"/>
    </xf>
    <xf numFmtId="0" fontId="50" fillId="5" borderId="5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5" borderId="1" xfId="0" applyFont="1" applyFill="1" applyBorder="1" applyAlignment="1" applyProtection="1">
      <alignment horizontal="center" vertical="center"/>
    </xf>
    <xf numFmtId="0" fontId="57" fillId="2" borderId="1" xfId="0" applyFont="1" applyFill="1" applyBorder="1" applyAlignment="1" applyProtection="1">
      <alignment horizontal="center" vertical="center"/>
      <protection locked="0"/>
    </xf>
    <xf numFmtId="0" fontId="57" fillId="0" borderId="0" xfId="0" applyFont="1" applyProtection="1">
      <alignment vertical="center"/>
      <protection locked="0"/>
    </xf>
    <xf numFmtId="0" fontId="105" fillId="0" borderId="0" xfId="0" applyFont="1" applyProtection="1">
      <alignment vertical="center"/>
    </xf>
    <xf numFmtId="0" fontId="100" fillId="0" borderId="0" xfId="0" applyFont="1" applyAlignment="1" applyProtection="1">
      <alignment horizontal="center" vertical="center" wrapText="1"/>
    </xf>
    <xf numFmtId="0" fontId="100" fillId="0" borderId="0" xfId="0" applyFont="1" applyProtection="1">
      <alignment vertical="center"/>
    </xf>
    <xf numFmtId="0" fontId="100" fillId="0" borderId="0" xfId="0" applyFont="1" applyBorder="1" applyAlignment="1" applyProtection="1">
      <alignment horizontal="center" vertical="center"/>
    </xf>
    <xf numFmtId="0" fontId="100" fillId="5" borderId="0" xfId="0" applyFont="1" applyFill="1" applyAlignment="1" applyProtection="1">
      <alignment vertical="center"/>
    </xf>
    <xf numFmtId="0" fontId="100" fillId="5" borderId="0" xfId="0" applyFont="1" applyFill="1" applyAlignment="1" applyProtection="1">
      <alignment horizontal="left" vertical="center"/>
    </xf>
    <xf numFmtId="0" fontId="100" fillId="5" borderId="0" xfId="2" applyFont="1" applyFill="1" applyAlignment="1" applyProtection="1">
      <alignment horizontal="left"/>
    </xf>
    <xf numFmtId="186" fontId="103" fillId="0" borderId="1" xfId="0" applyNumberFormat="1" applyFont="1" applyFill="1" applyBorder="1" applyAlignment="1" applyProtection="1">
      <alignment horizontal="center"/>
      <protection locked="0"/>
    </xf>
    <xf numFmtId="49" fontId="59" fillId="5" borderId="0" xfId="0" applyNumberFormat="1" applyFont="1" applyFill="1" applyBorder="1" applyAlignment="1" applyProtection="1"/>
    <xf numFmtId="0" fontId="54" fillId="5" borderId="0" xfId="0" applyFont="1" applyFill="1" applyBorder="1" applyAlignment="1" applyProtection="1">
      <alignment vertical="center"/>
    </xf>
    <xf numFmtId="0" fontId="67" fillId="5" borderId="36" xfId="0" applyFont="1" applyFill="1" applyBorder="1" applyAlignment="1" applyProtection="1">
      <alignment vertical="center"/>
    </xf>
    <xf numFmtId="0" fontId="59" fillId="5" borderId="36" xfId="0" applyFont="1" applyFill="1" applyBorder="1" applyAlignment="1" applyProtection="1">
      <alignment vertical="center"/>
    </xf>
    <xf numFmtId="189" fontId="59" fillId="5" borderId="36" xfId="0" applyNumberFormat="1" applyFont="1" applyFill="1" applyBorder="1" applyAlignment="1" applyProtection="1">
      <alignment horizontal="center" vertical="center"/>
    </xf>
    <xf numFmtId="181" fontId="59" fillId="5" borderId="36" xfId="0" applyNumberFormat="1" applyFont="1" applyFill="1" applyBorder="1" applyAlignment="1" applyProtection="1">
      <alignment vertical="center"/>
    </xf>
    <xf numFmtId="0" fontId="59" fillId="5" borderId="36" xfId="0" applyFont="1" applyFill="1" applyBorder="1" applyAlignment="1" applyProtection="1">
      <alignment horizontal="center" vertical="center"/>
    </xf>
    <xf numFmtId="0" fontId="48" fillId="5" borderId="0" xfId="0" applyFont="1" applyFill="1" applyAlignment="1" applyProtection="1">
      <alignment horizontal="center" vertical="center"/>
    </xf>
    <xf numFmtId="0" fontId="70" fillId="5" borderId="0" xfId="0" applyFont="1" applyFill="1" applyAlignment="1" applyProtection="1">
      <alignment horizontal="center" vertical="center"/>
    </xf>
    <xf numFmtId="0" fontId="53" fillId="5" borderId="0" xfId="0" applyFont="1" applyFill="1" applyBorder="1" applyAlignment="1" applyProtection="1"/>
    <xf numFmtId="0" fontId="48" fillId="5" borderId="0" xfId="0" applyFont="1" applyFill="1" applyBorder="1" applyAlignment="1" applyProtection="1"/>
    <xf numFmtId="0" fontId="48" fillId="5" borderId="0" xfId="0" applyFont="1" applyFill="1" applyBorder="1" applyAlignment="1" applyProtection="1">
      <alignment horizontal="center"/>
    </xf>
    <xf numFmtId="189" fontId="48" fillId="5" borderId="0" xfId="0" applyNumberFormat="1" applyFont="1" applyFill="1" applyBorder="1" applyAlignment="1" applyProtection="1">
      <alignment horizontal="center"/>
    </xf>
    <xf numFmtId="181" fontId="48" fillId="5" borderId="0" xfId="0" applyNumberFormat="1" applyFont="1" applyFill="1" applyBorder="1" applyAlignment="1" applyProtection="1"/>
    <xf numFmtId="0" fontId="59" fillId="5" borderId="0" xfId="0" applyFont="1" applyFill="1" applyBorder="1" applyAlignment="1" applyProtection="1">
      <alignment horizontal="center" vertical="center"/>
    </xf>
    <xf numFmtId="0" fontId="61" fillId="5" borderId="0" xfId="0" applyFont="1" applyFill="1" applyBorder="1" applyAlignment="1" applyProtection="1">
      <alignment horizontal="center" vertical="center"/>
    </xf>
    <xf numFmtId="188" fontId="41" fillId="5" borderId="2" xfId="0" applyNumberFormat="1" applyFont="1" applyFill="1" applyBorder="1" applyAlignment="1" applyProtection="1">
      <alignment horizontal="center" vertical="center"/>
    </xf>
    <xf numFmtId="49" fontId="41" fillId="5" borderId="3" xfId="0" applyNumberFormat="1" applyFont="1" applyFill="1" applyBorder="1" applyAlignment="1" applyProtection="1">
      <alignment horizontal="center" vertical="center"/>
    </xf>
    <xf numFmtId="0" fontId="41" fillId="5" borderId="49" xfId="0" applyFont="1" applyFill="1" applyBorder="1" applyAlignment="1" applyProtection="1">
      <alignment horizontal="center" vertical="center"/>
    </xf>
    <xf numFmtId="0" fontId="41" fillId="5" borderId="1" xfId="0" applyNumberFormat="1" applyFont="1" applyFill="1" applyBorder="1" applyAlignment="1" applyProtection="1">
      <alignment horizontal="center" vertical="center"/>
    </xf>
    <xf numFmtId="188" fontId="48" fillId="5" borderId="2" xfId="0" applyNumberFormat="1" applyFont="1" applyFill="1" applyBorder="1" applyAlignment="1" applyProtection="1">
      <alignment horizontal="center" vertical="center"/>
    </xf>
    <xf numFmtId="49" fontId="48" fillId="5" borderId="3"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8" fillId="5" borderId="17" xfId="0" applyFont="1" applyFill="1" applyBorder="1" applyAlignment="1" applyProtection="1">
      <alignment vertical="center" textRotation="255" wrapText="1"/>
    </xf>
    <xf numFmtId="0" fontId="61" fillId="5" borderId="0" xfId="0" applyFont="1" applyFill="1" applyAlignment="1" applyProtection="1">
      <alignment horizontal="center" vertical="center"/>
    </xf>
    <xf numFmtId="189" fontId="48" fillId="5" borderId="3" xfId="0" applyNumberFormat="1" applyFont="1" applyFill="1" applyBorder="1" applyAlignment="1" applyProtection="1">
      <alignment horizontal="center" vertical="center"/>
    </xf>
    <xf numFmtId="189" fontId="48" fillId="5" borderId="1" xfId="0" applyNumberFormat="1" applyFont="1" applyFill="1" applyBorder="1" applyAlignment="1" applyProtection="1">
      <alignment horizontal="center" vertical="center" wrapText="1"/>
    </xf>
    <xf numFmtId="0" fontId="42" fillId="5" borderId="1" xfId="0" applyFont="1" applyFill="1" applyBorder="1" applyAlignment="1" applyProtection="1">
      <alignment horizontal="right" vertical="center"/>
    </xf>
    <xf numFmtId="0" fontId="42" fillId="5" borderId="61" xfId="0" applyFont="1" applyFill="1" applyBorder="1" applyAlignment="1" applyProtection="1">
      <alignment horizontal="right" vertical="center"/>
    </xf>
    <xf numFmtId="0" fontId="59" fillId="5" borderId="65" xfId="0" applyFont="1" applyFill="1" applyBorder="1" applyAlignment="1" applyProtection="1">
      <alignment horizontal="center" vertical="center"/>
    </xf>
    <xf numFmtId="0" fontId="44" fillId="5" borderId="0" xfId="0" applyNumberFormat="1" applyFont="1" applyFill="1" applyAlignment="1" applyProtection="1">
      <alignment horizontal="center" vertical="center"/>
      <protection locked="0"/>
    </xf>
    <xf numFmtId="0" fontId="58" fillId="8" borderId="0" xfId="0" applyFont="1" applyFill="1" applyAlignment="1" applyProtection="1">
      <protection locked="0"/>
    </xf>
    <xf numFmtId="0" fontId="43" fillId="8" borderId="0" xfId="0" applyFont="1" applyFill="1" applyAlignment="1" applyProtection="1">
      <protection locked="0"/>
    </xf>
    <xf numFmtId="0" fontId="44" fillId="8" borderId="0" xfId="0" applyFont="1" applyFill="1" applyAlignment="1" applyProtection="1">
      <protection locked="0"/>
    </xf>
    <xf numFmtId="0" fontId="41" fillId="8" borderId="0" xfId="0" applyFont="1" applyFill="1" applyAlignment="1" applyProtection="1">
      <protection locked="0"/>
    </xf>
    <xf numFmtId="0" fontId="46" fillId="8" borderId="0" xfId="0" applyFont="1" applyFill="1" applyProtection="1">
      <alignment vertical="center"/>
      <protection locked="0"/>
    </xf>
    <xf numFmtId="0" fontId="41" fillId="8" borderId="0" xfId="0" applyFont="1" applyFill="1" applyAlignment="1" applyProtection="1">
      <alignment horizontal="center"/>
      <protection locked="0"/>
    </xf>
    <xf numFmtId="0" fontId="55" fillId="8" borderId="0" xfId="0" applyFont="1" applyFill="1" applyAlignment="1" applyProtection="1">
      <alignment vertical="center"/>
      <protection locked="0"/>
    </xf>
    <xf numFmtId="0" fontId="55" fillId="8" borderId="0" xfId="0" applyFont="1" applyFill="1" applyAlignment="1" applyProtection="1">
      <alignment horizontal="left" vertical="center"/>
      <protection locked="0"/>
    </xf>
    <xf numFmtId="179" fontId="50" fillId="8" borderId="0" xfId="0" applyNumberFormat="1" applyFont="1" applyFill="1" applyBorder="1" applyAlignment="1" applyProtection="1">
      <alignment horizontal="center" vertical="center"/>
      <protection locked="0"/>
    </xf>
    <xf numFmtId="0" fontId="55" fillId="8" borderId="0" xfId="0" applyFont="1" applyFill="1" applyBorder="1" applyAlignment="1" applyProtection="1">
      <alignment vertical="center"/>
      <protection locked="0"/>
    </xf>
    <xf numFmtId="0" fontId="55" fillId="8" borderId="0" xfId="0" applyFont="1" applyFill="1" applyAlignment="1" applyProtection="1">
      <alignment horizontal="center" vertical="center"/>
      <protection locked="0"/>
    </xf>
    <xf numFmtId="0" fontId="62" fillId="8" borderId="0" xfId="0" applyFont="1" applyFill="1" applyAlignment="1" applyProtection="1">
      <alignment vertical="center"/>
      <protection locked="0"/>
    </xf>
    <xf numFmtId="0" fontId="61" fillId="8" borderId="0" xfId="0" applyFont="1" applyFill="1" applyAlignment="1" applyProtection="1">
      <alignment vertical="center"/>
      <protection locked="0"/>
    </xf>
    <xf numFmtId="0" fontId="44" fillId="8" borderId="0" xfId="0" applyFont="1" applyFill="1" applyProtection="1">
      <alignment vertical="center"/>
      <protection locked="0"/>
    </xf>
    <xf numFmtId="0" fontId="50" fillId="8" borderId="0" xfId="0" applyFont="1" applyFill="1" applyAlignment="1" applyProtection="1">
      <alignment horizontal="center" vertical="center"/>
      <protection locked="0"/>
    </xf>
    <xf numFmtId="0" fontId="45"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wrapText="1"/>
      <protection locked="0"/>
    </xf>
    <xf numFmtId="0" fontId="57" fillId="8" borderId="0" xfId="0" applyFont="1" applyFill="1" applyProtection="1">
      <alignment vertical="center"/>
      <protection locked="0"/>
    </xf>
    <xf numFmtId="0" fontId="58" fillId="5" borderId="3"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109" fillId="6" borderId="1" xfId="0" applyFont="1" applyFill="1" applyBorder="1" applyAlignment="1" applyProtection="1">
      <alignment horizontal="center" vertical="center" wrapText="1"/>
      <protection locked="0"/>
    </xf>
    <xf numFmtId="0" fontId="110" fillId="0" borderId="1" xfId="0" applyFont="1" applyFill="1" applyBorder="1" applyAlignment="1" applyProtection="1">
      <alignment horizontal="center" vertical="center" wrapText="1"/>
      <protection locked="0"/>
    </xf>
    <xf numFmtId="0" fontId="110" fillId="0" borderId="18" xfId="0" applyFont="1" applyFill="1" applyBorder="1" applyAlignment="1" applyProtection="1">
      <alignment horizontal="center" vertical="center" wrapText="1"/>
      <protection locked="0"/>
    </xf>
    <xf numFmtId="0" fontId="110" fillId="0" borderId="61" xfId="0" applyFont="1" applyFill="1" applyBorder="1" applyAlignment="1" applyProtection="1">
      <alignment horizontal="center" vertical="center" wrapText="1"/>
      <protection locked="0"/>
    </xf>
    <xf numFmtId="0" fontId="111"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1" fillId="5" borderId="46" xfId="0" applyFont="1" applyFill="1" applyBorder="1" applyAlignment="1" applyProtection="1">
      <alignment vertical="center"/>
    </xf>
    <xf numFmtId="187" fontId="96"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2" fillId="5" borderId="47" xfId="0" applyFont="1" applyFill="1" applyBorder="1" applyAlignment="1" applyProtection="1">
      <alignment vertical="center"/>
    </xf>
    <xf numFmtId="0" fontId="112" fillId="5" borderId="38" xfId="0" applyFont="1" applyFill="1" applyBorder="1" applyAlignment="1" applyProtection="1">
      <alignment horizontal="center" vertical="center"/>
    </xf>
    <xf numFmtId="0" fontId="0" fillId="0" borderId="0" xfId="0" applyProtection="1">
      <alignment vertical="center"/>
    </xf>
    <xf numFmtId="0" fontId="110" fillId="5" borderId="7"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3" fillId="5" borderId="1" xfId="0" applyFont="1" applyFill="1" applyBorder="1" applyAlignment="1" applyProtection="1">
      <alignment horizontal="center" vertical="center" wrapText="1"/>
    </xf>
    <xf numFmtId="0" fontId="50" fillId="5" borderId="6" xfId="0" applyFont="1" applyFill="1" applyBorder="1" applyAlignment="1" applyProtection="1">
      <alignment horizontal="center" vertical="center" wrapText="1"/>
    </xf>
    <xf numFmtId="0" fontId="18" fillId="5" borderId="60" xfId="0" applyFont="1" applyFill="1" applyBorder="1" applyAlignment="1" applyProtection="1">
      <alignment horizontal="center" vertical="center" wrapText="1"/>
    </xf>
    <xf numFmtId="49" fontId="110" fillId="5" borderId="1" xfId="0" applyNumberFormat="1" applyFont="1" applyFill="1" applyBorder="1" applyAlignment="1" applyProtection="1">
      <alignment horizontal="center" vertical="center" wrapText="1"/>
    </xf>
    <xf numFmtId="181" fontId="103" fillId="5" borderId="1" xfId="0" applyNumberFormat="1" applyFont="1" applyFill="1" applyBorder="1" applyAlignment="1" applyProtection="1">
      <alignment horizontal="center" vertical="center" wrapText="1"/>
    </xf>
    <xf numFmtId="9" fontId="103" fillId="5" borderId="1" xfId="0" applyNumberFormat="1" applyFont="1" applyFill="1" applyBorder="1" applyAlignment="1" applyProtection="1">
      <alignment horizontal="center" vertical="center" wrapText="1"/>
    </xf>
    <xf numFmtId="10" fontId="50" fillId="5" borderId="58" xfId="0" applyNumberFormat="1" applyFont="1" applyFill="1" applyBorder="1" applyAlignment="1" applyProtection="1">
      <alignment horizontal="center" vertical="center" wrapText="1"/>
    </xf>
    <xf numFmtId="10" fontId="18" fillId="5" borderId="0" xfId="0" applyNumberFormat="1" applyFont="1" applyFill="1" applyBorder="1" applyAlignment="1" applyProtection="1">
      <alignment horizontal="center" vertical="center" wrapText="1"/>
    </xf>
    <xf numFmtId="0" fontId="110" fillId="5" borderId="1" xfId="0" applyNumberFormat="1" applyFont="1" applyFill="1" applyBorder="1" applyAlignment="1" applyProtection="1">
      <alignment horizontal="center" vertical="center" wrapText="1"/>
    </xf>
    <xf numFmtId="10" fontId="50" fillId="5" borderId="50" xfId="0" applyNumberFormat="1" applyFont="1" applyFill="1" applyBorder="1" applyAlignment="1" applyProtection="1">
      <alignment vertical="center" wrapText="1"/>
    </xf>
    <xf numFmtId="0" fontId="110" fillId="5" borderId="19" xfId="0" applyFont="1" applyFill="1" applyBorder="1" applyAlignment="1" applyProtection="1">
      <alignment horizontal="center" vertical="center" wrapText="1"/>
    </xf>
    <xf numFmtId="0" fontId="110" fillId="5" borderId="18" xfId="0" applyFont="1" applyFill="1" applyBorder="1" applyAlignment="1" applyProtection="1">
      <alignment horizontal="center" vertical="center" wrapText="1"/>
    </xf>
    <xf numFmtId="0" fontId="110" fillId="5" borderId="8" xfId="0" applyFont="1" applyFill="1" applyBorder="1" applyAlignment="1" applyProtection="1">
      <alignment horizontal="center" vertical="center" wrapText="1"/>
    </xf>
    <xf numFmtId="49" fontId="110" fillId="5" borderId="71" xfId="0" applyNumberFormat="1" applyFont="1" applyFill="1" applyBorder="1" applyAlignment="1" applyProtection="1">
      <alignment horizontal="center" vertical="center" wrapText="1"/>
    </xf>
    <xf numFmtId="9" fontId="103" fillId="5" borderId="61" xfId="0" applyNumberFormat="1" applyFont="1" applyFill="1" applyBorder="1" applyAlignment="1" applyProtection="1">
      <alignment horizontal="center" vertical="center" wrapText="1"/>
    </xf>
    <xf numFmtId="10" fontId="50" fillId="5" borderId="73" xfId="0" applyNumberFormat="1" applyFont="1" applyFill="1" applyBorder="1" applyAlignment="1" applyProtection="1">
      <alignment vertical="center" wrapText="1"/>
    </xf>
    <xf numFmtId="49" fontId="110" fillId="5" borderId="61" xfId="0" applyNumberFormat="1" applyFont="1" applyFill="1" applyBorder="1" applyAlignment="1" applyProtection="1">
      <alignment horizontal="center" vertical="center" wrapText="1"/>
    </xf>
    <xf numFmtId="10" fontId="50" fillId="5" borderId="50" xfId="0" applyNumberFormat="1" applyFont="1" applyFill="1" applyBorder="1" applyAlignment="1" applyProtection="1">
      <alignment horizontal="center" vertical="center" wrapText="1"/>
    </xf>
    <xf numFmtId="10" fontId="50" fillId="5" borderId="73" xfId="0" applyNumberFormat="1" applyFont="1" applyFill="1" applyBorder="1" applyAlignment="1" applyProtection="1">
      <alignment horizontal="center" vertical="center" wrapText="1"/>
    </xf>
    <xf numFmtId="0" fontId="110"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6"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3" fillId="5" borderId="7" xfId="0" applyFont="1" applyFill="1" applyBorder="1" applyAlignment="1" applyProtection="1">
      <alignment horizontal="center" vertical="center" wrapText="1"/>
    </xf>
    <xf numFmtId="0" fontId="113" fillId="5" borderId="1" xfId="0" applyFont="1" applyFill="1" applyBorder="1" applyAlignment="1" applyProtection="1">
      <alignment horizontal="center" vertical="center" wrapText="1"/>
    </xf>
    <xf numFmtId="0" fontId="96" fillId="5" borderId="37" xfId="0" applyFont="1" applyFill="1" applyBorder="1" applyProtection="1">
      <alignment vertical="center"/>
    </xf>
    <xf numFmtId="0" fontId="114" fillId="5" borderId="13" xfId="0" applyFont="1" applyFill="1" applyBorder="1" applyAlignment="1" applyProtection="1">
      <alignment horizontal="center" vertical="center"/>
    </xf>
    <xf numFmtId="0" fontId="96" fillId="5" borderId="39" xfId="0" applyFont="1" applyFill="1" applyBorder="1" applyProtection="1">
      <alignment vertical="center"/>
    </xf>
    <xf numFmtId="0" fontId="114" fillId="5" borderId="61" xfId="0" applyFont="1" applyFill="1" applyBorder="1" applyAlignment="1" applyProtection="1">
      <alignment horizontal="center" vertical="center"/>
    </xf>
    <xf numFmtId="0" fontId="114" fillId="5" borderId="44"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1" xfId="0" applyFont="1" applyFill="1" applyBorder="1" applyAlignment="1" applyProtection="1">
      <alignment horizontal="center" vertical="center" wrapText="1"/>
    </xf>
    <xf numFmtId="0" fontId="113" fillId="5" borderId="13" xfId="0" applyFont="1" applyFill="1" applyBorder="1" applyAlignment="1" applyProtection="1">
      <alignment horizontal="center" vertical="center" wrapText="1"/>
    </xf>
    <xf numFmtId="0" fontId="97" fillId="5" borderId="4" xfId="0" applyFont="1" applyFill="1" applyBorder="1" applyAlignment="1" applyProtection="1">
      <alignment horizontal="center" vertical="center"/>
    </xf>
    <xf numFmtId="0" fontId="97" fillId="5" borderId="13" xfId="0" applyFont="1" applyFill="1" applyBorder="1" applyProtection="1">
      <alignment vertical="center"/>
    </xf>
    <xf numFmtId="0" fontId="113" fillId="5" borderId="64" xfId="0" applyFont="1" applyFill="1" applyBorder="1" applyAlignment="1" applyProtection="1">
      <alignment horizontal="center" vertical="center" wrapText="1"/>
    </xf>
    <xf numFmtId="0" fontId="97" fillId="5" borderId="7" xfId="0" applyFont="1" applyFill="1" applyBorder="1" applyAlignment="1" applyProtection="1">
      <alignment horizontal="center" vertical="center"/>
    </xf>
    <xf numFmtId="0" fontId="97" fillId="5" borderId="2" xfId="0" applyFont="1" applyFill="1" applyBorder="1" applyProtection="1">
      <alignment vertical="center"/>
    </xf>
    <xf numFmtId="0" fontId="113" fillId="5" borderId="17" xfId="0" applyFont="1" applyFill="1" applyBorder="1" applyAlignment="1" applyProtection="1">
      <alignment horizontal="center" vertical="center" wrapText="1"/>
    </xf>
    <xf numFmtId="0" fontId="113" fillId="5" borderId="71" xfId="0" applyFont="1" applyFill="1" applyBorder="1" applyAlignment="1" applyProtection="1">
      <alignment horizontal="center" vertical="center" wrapText="1"/>
    </xf>
    <xf numFmtId="0" fontId="113" fillId="5" borderId="61" xfId="0" applyFont="1" applyFill="1" applyBorder="1" applyAlignment="1" applyProtection="1">
      <alignment horizontal="center" vertical="center" wrapText="1"/>
    </xf>
    <xf numFmtId="0" fontId="115" fillId="5" borderId="44" xfId="0" applyFont="1" applyFill="1" applyBorder="1" applyProtection="1">
      <alignment vertical="center"/>
    </xf>
    <xf numFmtId="0" fontId="113" fillId="5" borderId="2" xfId="0" applyFont="1" applyFill="1" applyBorder="1" applyAlignment="1" applyProtection="1">
      <alignment horizontal="center" vertical="center" wrapText="1"/>
    </xf>
    <xf numFmtId="0" fontId="97" fillId="5" borderId="8" xfId="0" applyFont="1" applyFill="1" applyBorder="1" applyAlignment="1" applyProtection="1">
      <alignment horizontal="center" vertical="center"/>
    </xf>
    <xf numFmtId="0" fontId="97" fillId="5" borderId="44" xfId="0" applyFont="1" applyFill="1" applyBorder="1" applyProtection="1">
      <alignment vertical="center"/>
    </xf>
    <xf numFmtId="0" fontId="115" fillId="5" borderId="2" xfId="0" applyFont="1" applyFill="1" applyBorder="1" applyProtection="1">
      <alignment vertical="center"/>
    </xf>
    <xf numFmtId="0" fontId="116" fillId="5" borderId="0" xfId="0" applyFont="1" applyFill="1" applyBorder="1" applyProtection="1">
      <alignment vertical="center"/>
    </xf>
    <xf numFmtId="0" fontId="113" fillId="5" borderId="9" xfId="0" applyFont="1" applyFill="1" applyBorder="1" applyAlignment="1" applyProtection="1">
      <alignment vertical="center" wrapText="1"/>
    </xf>
    <xf numFmtId="0" fontId="117" fillId="5" borderId="0" xfId="0" applyFont="1" applyFill="1" applyProtection="1">
      <alignment vertical="center"/>
    </xf>
    <xf numFmtId="0" fontId="116" fillId="5" borderId="0" xfId="0" applyFont="1" applyFill="1" applyProtection="1">
      <alignment vertical="center"/>
    </xf>
    <xf numFmtId="0" fontId="113"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10" fillId="5" borderId="4" xfId="0" applyFont="1" applyFill="1" applyBorder="1" applyAlignment="1" applyProtection="1">
      <alignment horizontal="center" vertical="center" wrapText="1"/>
    </xf>
    <xf numFmtId="0" fontId="110" fillId="5" borderId="11" xfId="0" applyFont="1" applyFill="1" applyBorder="1" applyAlignment="1" applyProtection="1">
      <alignment horizontal="center" vertical="center" wrapText="1"/>
    </xf>
    <xf numFmtId="0" fontId="110" fillId="5" borderId="31" xfId="0" applyFont="1" applyFill="1" applyBorder="1" applyAlignment="1" applyProtection="1">
      <alignment horizontal="center" vertical="center" wrapText="1"/>
    </xf>
    <xf numFmtId="0" fontId="110" fillId="5" borderId="6" xfId="0" applyFont="1" applyFill="1" applyBorder="1" applyAlignment="1" applyProtection="1">
      <alignment horizontal="center" vertical="center" wrapText="1"/>
    </xf>
    <xf numFmtId="0" fontId="110" fillId="5" borderId="16" xfId="0" applyFont="1" applyFill="1" applyBorder="1" applyAlignment="1" applyProtection="1">
      <alignment horizontal="center" vertical="center" wrapText="1"/>
    </xf>
    <xf numFmtId="0" fontId="110"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8" fillId="5" borderId="65" xfId="0" applyFont="1" applyFill="1" applyBorder="1" applyAlignment="1" applyProtection="1">
      <alignment vertical="center"/>
    </xf>
    <xf numFmtId="0" fontId="118" fillId="5" borderId="0" xfId="0" applyFont="1" applyFill="1" applyBorder="1" applyAlignment="1" applyProtection="1">
      <alignment vertical="center"/>
    </xf>
    <xf numFmtId="0" fontId="0" fillId="0" borderId="0" xfId="0" applyAlignment="1" applyProtection="1">
      <alignment horizontal="center" vertical="center"/>
    </xf>
    <xf numFmtId="0" fontId="110" fillId="5" borderId="2" xfId="0" applyFont="1" applyFill="1" applyBorder="1" applyAlignment="1" applyProtection="1">
      <alignment horizontal="center" vertical="center" wrapText="1"/>
    </xf>
    <xf numFmtId="0" fontId="110" fillId="5" borderId="3" xfId="0" applyFont="1" applyFill="1" applyBorder="1" applyAlignment="1" applyProtection="1">
      <alignment horizontal="center" vertical="center" wrapText="1"/>
    </xf>
    <xf numFmtId="0" fontId="110" fillId="5" borderId="0"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xf>
    <xf numFmtId="0" fontId="110" fillId="5" borderId="2" xfId="0" applyFont="1" applyFill="1" applyBorder="1" applyAlignment="1" applyProtection="1">
      <alignment horizontal="left" vertical="center"/>
    </xf>
    <xf numFmtId="0" fontId="110" fillId="5" borderId="3" xfId="0" applyFont="1" applyFill="1" applyBorder="1" applyAlignment="1" applyProtection="1">
      <alignment horizontal="left" vertical="center"/>
    </xf>
    <xf numFmtId="0" fontId="110" fillId="5" borderId="0" xfId="0" applyFont="1" applyFill="1" applyBorder="1" applyAlignment="1" applyProtection="1">
      <alignment vertical="center"/>
    </xf>
    <xf numFmtId="0" fontId="110" fillId="5" borderId="0" xfId="0" applyFont="1" applyFill="1" applyBorder="1" applyAlignment="1" applyProtection="1">
      <alignment horizontal="center" vertical="center"/>
    </xf>
    <xf numFmtId="0" fontId="0" fillId="0" borderId="0" xfId="0" applyAlignment="1" applyProtection="1">
      <alignment vertical="center"/>
    </xf>
    <xf numFmtId="0" fontId="110" fillId="0" borderId="36" xfId="0" applyFont="1" applyBorder="1" applyAlignment="1" applyProtection="1">
      <alignment vertical="center"/>
    </xf>
    <xf numFmtId="0" fontId="110" fillId="0" borderId="0" xfId="0" applyFont="1" applyBorder="1" applyAlignment="1" applyProtection="1">
      <alignment vertical="center"/>
    </xf>
    <xf numFmtId="0" fontId="110" fillId="5" borderId="64" xfId="0" applyFont="1" applyFill="1" applyBorder="1" applyAlignment="1" applyProtection="1">
      <alignment vertical="center" wrapText="1"/>
    </xf>
    <xf numFmtId="0" fontId="110" fillId="5" borderId="17" xfId="0" applyFont="1" applyFill="1" applyBorder="1" applyAlignment="1" applyProtection="1">
      <alignment vertical="center" wrapText="1"/>
    </xf>
    <xf numFmtId="0" fontId="110" fillId="5" borderId="24" xfId="0" applyFont="1" applyFill="1" applyBorder="1" applyAlignment="1" applyProtection="1">
      <alignment vertical="center" wrapText="1"/>
    </xf>
    <xf numFmtId="0" fontId="110" fillId="5" borderId="17" xfId="0" applyFont="1" applyFill="1" applyBorder="1" applyAlignment="1" applyProtection="1">
      <alignment horizontal="center" vertical="center"/>
    </xf>
    <xf numFmtId="0" fontId="110" fillId="5" borderId="0" xfId="0" applyFont="1" applyFill="1" applyAlignment="1" applyProtection="1">
      <alignment horizontal="center" vertical="center"/>
    </xf>
    <xf numFmtId="9" fontId="110" fillId="5" borderId="1" xfId="0" applyNumberFormat="1" applyFont="1" applyFill="1" applyBorder="1" applyAlignment="1" applyProtection="1">
      <alignment horizontal="center" vertical="center"/>
    </xf>
    <xf numFmtId="179" fontId="78" fillId="0" borderId="65" xfId="3" applyNumberFormat="1" applyFont="1" applyBorder="1" applyAlignment="1" applyProtection="1">
      <alignment vertical="center"/>
    </xf>
    <xf numFmtId="0" fontId="78" fillId="0" borderId="65" xfId="3" applyNumberFormat="1" applyFont="1" applyBorder="1" applyAlignment="1" applyProtection="1">
      <alignment vertical="center"/>
    </xf>
    <xf numFmtId="0" fontId="0" fillId="0" borderId="0" xfId="0" applyNumberFormat="1" applyProtection="1">
      <alignment vertical="center"/>
    </xf>
    <xf numFmtId="179" fontId="79" fillId="5" borderId="1" xfId="3" applyNumberFormat="1" applyFont="1" applyFill="1" applyBorder="1" applyAlignment="1" applyProtection="1">
      <alignment horizontal="center" vertical="center"/>
    </xf>
    <xf numFmtId="0" fontId="79" fillId="5" borderId="1" xfId="3" applyNumberFormat="1" applyFont="1" applyFill="1" applyBorder="1" applyAlignment="1" applyProtection="1">
      <alignment horizontal="center" vertical="center"/>
    </xf>
    <xf numFmtId="0" fontId="79" fillId="5" borderId="1" xfId="3" applyNumberFormat="1" applyFont="1" applyFill="1" applyBorder="1" applyAlignment="1" applyProtection="1">
      <alignment horizontal="center" vertical="center" wrapText="1"/>
    </xf>
    <xf numFmtId="0" fontId="79" fillId="5" borderId="49" xfId="3" applyNumberFormat="1" applyFont="1" applyFill="1" applyBorder="1" applyAlignment="1" applyProtection="1">
      <alignment horizontal="center" vertical="center"/>
    </xf>
    <xf numFmtId="0" fontId="120"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9"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0" fillId="5" borderId="2" xfId="0" applyFont="1" applyFill="1" applyBorder="1" applyAlignment="1" applyProtection="1">
      <alignment horizontal="center" vertical="center" wrapText="1"/>
    </xf>
    <xf numFmtId="181" fontId="100" fillId="0" borderId="1" xfId="0" applyNumberFormat="1" applyFont="1" applyBorder="1" applyAlignment="1" applyProtection="1">
      <alignment horizontal="center" vertical="center"/>
      <protection locked="0"/>
    </xf>
    <xf numFmtId="0" fontId="110" fillId="5" borderId="1" xfId="0" applyFont="1" applyFill="1" applyBorder="1" applyAlignment="1" applyProtection="1">
      <alignment horizontal="center" vertical="center"/>
    </xf>
    <xf numFmtId="0" fontId="103" fillId="5"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0" fontId="44" fillId="0" borderId="6" xfId="0" applyFont="1" applyBorder="1" applyAlignment="1" applyProtection="1">
      <alignment vertical="center" wrapText="1"/>
      <protection locked="0"/>
    </xf>
    <xf numFmtId="181" fontId="49" fillId="5" borderId="41" xfId="0" applyNumberFormat="1" applyFont="1" applyFill="1" applyBorder="1" applyAlignment="1" applyProtection="1">
      <alignment horizontal="center" vertical="center"/>
    </xf>
    <xf numFmtId="0" fontId="44" fillId="5" borderId="0" xfId="0" applyFont="1" applyFill="1" applyAlignment="1" applyProtection="1">
      <alignment vertical="center" wrapText="1"/>
    </xf>
    <xf numFmtId="0" fontId="44" fillId="0" borderId="31" xfId="0" applyFont="1" applyBorder="1" applyAlignment="1" applyProtection="1">
      <alignment vertical="center" wrapText="1"/>
      <protection locked="0"/>
    </xf>
    <xf numFmtId="0" fontId="44" fillId="0" borderId="43" xfId="0" applyFont="1" applyBorder="1" applyAlignment="1" applyProtection="1">
      <alignment vertical="center" wrapText="1"/>
      <protection locked="0"/>
    </xf>
    <xf numFmtId="0" fontId="44" fillId="5" borderId="4" xfId="0" applyFont="1" applyFill="1" applyBorder="1" applyAlignment="1" applyProtection="1">
      <alignment vertical="center" wrapText="1"/>
    </xf>
    <xf numFmtId="0" fontId="44" fillId="5" borderId="7" xfId="0" applyFont="1" applyFill="1" applyBorder="1" applyAlignment="1" applyProtection="1">
      <alignment vertical="center" wrapText="1"/>
    </xf>
    <xf numFmtId="0" fontId="44" fillId="5" borderId="8" xfId="0" applyFont="1" applyFill="1" applyBorder="1" applyAlignment="1" applyProtection="1">
      <alignment vertical="center" wrapText="1"/>
    </xf>
    <xf numFmtId="0" fontId="44" fillId="5" borderId="23" xfId="0" applyFont="1" applyFill="1" applyBorder="1" applyAlignment="1" applyProtection="1">
      <alignment vertical="center" wrapText="1"/>
    </xf>
    <xf numFmtId="0" fontId="49" fillId="5" borderId="37" xfId="0" applyFont="1" applyFill="1" applyBorder="1" applyAlignment="1" applyProtection="1">
      <alignment vertical="center" wrapText="1"/>
    </xf>
    <xf numFmtId="0" fontId="44" fillId="0" borderId="11" xfId="0" applyFont="1" applyFill="1" applyBorder="1" applyAlignment="1" applyProtection="1">
      <alignment vertical="center" wrapText="1"/>
      <protection locked="0"/>
    </xf>
    <xf numFmtId="0" fontId="44" fillId="0" borderId="61" xfId="0" applyFont="1" applyFill="1" applyBorder="1" applyAlignment="1" applyProtection="1">
      <alignment vertical="center" wrapText="1"/>
      <protection locked="0"/>
    </xf>
    <xf numFmtId="0" fontId="44" fillId="0" borderId="0" xfId="0" applyFont="1" applyAlignment="1" applyProtection="1">
      <alignment vertical="center"/>
    </xf>
    <xf numFmtId="0" fontId="44" fillId="5" borderId="0" xfId="0" applyFont="1" applyFill="1" applyBorder="1" applyAlignment="1" applyProtection="1">
      <alignment vertical="center" wrapText="1"/>
    </xf>
    <xf numFmtId="0" fontId="44" fillId="5" borderId="0" xfId="0" applyFont="1" applyFill="1" applyBorder="1" applyAlignment="1" applyProtection="1">
      <alignment horizontal="center" vertical="center" wrapText="1"/>
    </xf>
    <xf numFmtId="0" fontId="128" fillId="0" borderId="0" xfId="0" applyFont="1">
      <alignment vertical="center"/>
    </xf>
    <xf numFmtId="0" fontId="128" fillId="0" borderId="0" xfId="0" applyFont="1" applyAlignment="1">
      <alignment vertical="top" wrapText="1"/>
    </xf>
    <xf numFmtId="0" fontId="0" fillId="0" borderId="0" xfId="0" applyAlignment="1">
      <alignment vertical="top" wrapText="1"/>
    </xf>
    <xf numFmtId="0" fontId="129" fillId="0" borderId="0" xfId="0" applyFont="1" applyAlignment="1">
      <alignment horizontal="left" vertical="center"/>
    </xf>
    <xf numFmtId="0" fontId="130" fillId="0" borderId="0" xfId="0" applyFont="1">
      <alignment vertical="center"/>
    </xf>
    <xf numFmtId="0" fontId="58" fillId="0" borderId="1" xfId="0" applyFont="1" applyFill="1" applyBorder="1" applyAlignment="1" applyProtection="1">
      <alignment horizontal="center" vertical="center" wrapText="1"/>
    </xf>
    <xf numFmtId="0" fontId="44" fillId="0" borderId="2" xfId="0" applyFont="1" applyBorder="1" applyAlignment="1" applyProtection="1">
      <alignment vertical="center" wrapText="1"/>
      <protection locked="0"/>
    </xf>
    <xf numFmtId="0" fontId="44" fillId="0" borderId="58" xfId="0" applyFont="1" applyBorder="1" applyAlignment="1" applyProtection="1">
      <alignment vertical="center" wrapText="1"/>
      <protection locked="0"/>
    </xf>
    <xf numFmtId="0" fontId="44" fillId="5" borderId="26" xfId="0" applyFont="1" applyFill="1" applyBorder="1" applyAlignment="1" applyProtection="1">
      <alignment vertical="center" wrapText="1"/>
    </xf>
    <xf numFmtId="0" fontId="44" fillId="0" borderId="50" xfId="0" applyFont="1" applyBorder="1" applyAlignment="1" applyProtection="1">
      <alignment vertical="center" wrapText="1"/>
      <protection locked="0"/>
    </xf>
    <xf numFmtId="0" fontId="44" fillId="5" borderId="89" xfId="0" applyFont="1" applyFill="1" applyBorder="1" applyAlignment="1" applyProtection="1">
      <alignment vertical="center" wrapText="1"/>
    </xf>
    <xf numFmtId="0" fontId="44" fillId="5" borderId="83" xfId="0" applyFont="1" applyFill="1" applyBorder="1" applyAlignment="1" applyProtection="1">
      <alignment vertical="center" wrapText="1"/>
    </xf>
    <xf numFmtId="0" fontId="44" fillId="5" borderId="90" xfId="0" applyFont="1" applyFill="1" applyBorder="1" applyAlignment="1" applyProtection="1">
      <alignment vertical="center" wrapText="1"/>
    </xf>
    <xf numFmtId="0" fontId="44" fillId="0" borderId="94" xfId="0" applyFont="1" applyFill="1" applyBorder="1" applyAlignment="1" applyProtection="1">
      <alignment vertical="center" wrapText="1"/>
      <protection locked="0"/>
    </xf>
    <xf numFmtId="0" fontId="44" fillId="0" borderId="0" xfId="0" applyFont="1" applyAlignment="1" applyProtection="1">
      <alignment vertical="center" wrapText="1"/>
    </xf>
    <xf numFmtId="0" fontId="49" fillId="5" borderId="78" xfId="0" applyFont="1" applyFill="1" applyBorder="1" applyAlignment="1" applyProtection="1">
      <alignment vertical="center"/>
    </xf>
    <xf numFmtId="0" fontId="44" fillId="5" borderId="40" xfId="0" applyFont="1" applyFill="1" applyBorder="1" applyAlignment="1" applyProtection="1">
      <alignment vertical="center" wrapText="1"/>
    </xf>
    <xf numFmtId="0" fontId="44" fillId="5" borderId="53" xfId="0" applyFont="1" applyFill="1" applyBorder="1" applyAlignment="1" applyProtection="1">
      <alignment vertical="center" wrapText="1"/>
    </xf>
    <xf numFmtId="0" fontId="44" fillId="5" borderId="30" xfId="0" applyFont="1" applyFill="1" applyBorder="1" applyAlignment="1" applyProtection="1">
      <alignment vertical="center" wrapText="1"/>
    </xf>
    <xf numFmtId="0" fontId="0" fillId="0" borderId="0" xfId="0" applyBorder="1">
      <alignment vertical="center"/>
    </xf>
    <xf numFmtId="0" fontId="129" fillId="8" borderId="0" xfId="0" applyFont="1" applyFill="1" applyProtection="1">
      <alignment vertical="center"/>
    </xf>
    <xf numFmtId="0" fontId="129" fillId="8" borderId="0" xfId="0" applyFont="1" applyFill="1" applyAlignment="1" applyProtection="1">
      <alignment vertical="top" wrapText="1"/>
    </xf>
    <xf numFmtId="0" fontId="0" fillId="0" borderId="0" xfId="0" applyProtection="1">
      <alignment vertical="center"/>
      <protection locked="0"/>
    </xf>
    <xf numFmtId="0" fontId="49" fillId="0" borderId="0" xfId="0" applyFont="1" applyAlignment="1" applyProtection="1">
      <alignment vertical="center" wrapText="1"/>
    </xf>
    <xf numFmtId="0" fontId="44" fillId="5" borderId="37" xfId="0" applyFont="1" applyFill="1" applyBorder="1" applyAlignment="1" applyProtection="1">
      <alignment vertical="center" wrapText="1"/>
    </xf>
    <xf numFmtId="0" fontId="44" fillId="5" borderId="79" xfId="0" applyFont="1" applyFill="1" applyBorder="1" applyAlignment="1" applyProtection="1">
      <alignment vertical="center" wrapText="1"/>
    </xf>
    <xf numFmtId="0" fontId="54" fillId="5" borderId="18" xfId="0" applyFont="1" applyFill="1" applyBorder="1" applyAlignment="1" applyProtection="1">
      <alignment horizontal="center" vertical="center"/>
      <protection locked="0"/>
    </xf>
    <xf numFmtId="49" fontId="47" fillId="6" borderId="47" xfId="0" applyNumberFormat="1" applyFont="1" applyFill="1" applyBorder="1" applyAlignment="1" applyProtection="1">
      <alignment vertical="center"/>
      <protection locked="0"/>
    </xf>
    <xf numFmtId="0" fontId="133" fillId="5" borderId="0" xfId="0" applyFont="1" applyFill="1" applyAlignment="1" applyProtection="1">
      <alignment horizontal="center" vertical="center"/>
    </xf>
    <xf numFmtId="0" fontId="114" fillId="5" borderId="12" xfId="0" applyFont="1" applyFill="1" applyBorder="1" applyAlignment="1" applyProtection="1">
      <alignment horizontal="center" vertical="center"/>
    </xf>
    <xf numFmtId="0" fontId="114" fillId="5" borderId="22" xfId="0" applyFont="1" applyFill="1" applyBorder="1" applyAlignment="1" applyProtection="1">
      <alignment vertical="center" wrapText="1"/>
    </xf>
    <xf numFmtId="0" fontId="114" fillId="5" borderId="18" xfId="0" applyFont="1" applyFill="1" applyBorder="1" applyAlignment="1" applyProtection="1">
      <alignment horizontal="center" vertical="center"/>
    </xf>
    <xf numFmtId="10" fontId="103" fillId="0" borderId="11" xfId="0" applyNumberFormat="1" applyFont="1" applyBorder="1" applyAlignment="1">
      <alignment horizontal="center" vertical="center" wrapText="1"/>
    </xf>
    <xf numFmtId="10" fontId="103" fillId="0" borderId="31"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6" xfId="0" applyNumberFormat="1" applyFont="1" applyBorder="1" applyAlignment="1">
      <alignment horizontal="center" vertical="center" wrapText="1"/>
    </xf>
    <xf numFmtId="10" fontId="103"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3" fillId="0" borderId="43" xfId="0" applyNumberFormat="1" applyFont="1" applyBorder="1" applyAlignment="1">
      <alignment horizontal="center" vertical="center" wrapText="1"/>
    </xf>
    <xf numFmtId="0" fontId="113" fillId="5" borderId="18" xfId="0" applyFont="1" applyFill="1" applyBorder="1" applyAlignment="1" applyProtection="1">
      <alignment horizontal="center" vertical="center" wrapText="1"/>
    </xf>
    <xf numFmtId="10" fontId="103" fillId="0" borderId="18" xfId="0" applyNumberFormat="1" applyFont="1" applyBorder="1" applyAlignment="1">
      <alignment horizontal="center" vertical="center" wrapText="1"/>
    </xf>
    <xf numFmtId="0" fontId="113" fillId="5" borderId="84" xfId="0" applyFont="1" applyFill="1" applyBorder="1" applyAlignment="1" applyProtection="1">
      <alignment horizontal="center" vertical="center" wrapText="1"/>
    </xf>
    <xf numFmtId="10" fontId="0" fillId="0" borderId="66" xfId="0" applyNumberFormat="1" applyBorder="1">
      <alignment vertical="center"/>
    </xf>
    <xf numFmtId="10" fontId="103" fillId="0" borderId="15" xfId="0" applyNumberFormat="1" applyFont="1" applyBorder="1" applyAlignment="1">
      <alignment horizontal="center" vertical="center" wrapText="1"/>
    </xf>
    <xf numFmtId="0" fontId="113" fillId="5" borderId="26" xfId="0" applyFont="1" applyFill="1" applyBorder="1" applyAlignment="1" applyProtection="1">
      <alignment vertical="center" wrapText="1"/>
    </xf>
    <xf numFmtId="10" fontId="103" fillId="0" borderId="34" xfId="0" applyNumberFormat="1" applyFont="1" applyBorder="1" applyAlignment="1">
      <alignment horizontal="center" vertical="center" wrapText="1"/>
    </xf>
    <xf numFmtId="10" fontId="0" fillId="0" borderId="79" xfId="0" applyNumberFormat="1" applyBorder="1">
      <alignment vertical="center"/>
    </xf>
    <xf numFmtId="0" fontId="55" fillId="5" borderId="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45" fillId="0" borderId="2" xfId="0" applyNumberFormat="1" applyFont="1" applyFill="1" applyBorder="1" applyAlignment="1" applyProtection="1">
      <alignment horizontal="center" vertical="center" wrapText="1"/>
      <protection locked="0"/>
    </xf>
    <xf numFmtId="0" fontId="44" fillId="0" borderId="60" xfId="0" applyFont="1" applyFill="1" applyBorder="1" applyAlignment="1" applyProtection="1">
      <alignment horizontal="center" vertical="center"/>
      <protection locked="0"/>
    </xf>
    <xf numFmtId="0" fontId="44" fillId="0" borderId="2" xfId="0" applyNumberFormat="1" applyFont="1" applyFill="1" applyBorder="1" applyAlignment="1" applyProtection="1">
      <alignment horizontal="center" vertical="center" wrapText="1"/>
      <protection locked="0"/>
    </xf>
    <xf numFmtId="0" fontId="44" fillId="0" borderId="49"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9" fontId="44" fillId="0" borderId="49"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6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5" borderId="98" xfId="0" applyNumberFormat="1" applyFont="1" applyFill="1" applyBorder="1" applyAlignment="1" applyProtection="1">
      <alignment horizontal="center" vertical="center" wrapText="1"/>
    </xf>
    <xf numFmtId="0" fontId="44" fillId="5" borderId="99" xfId="0" applyNumberFormat="1" applyFont="1" applyFill="1" applyBorder="1" applyAlignment="1" applyProtection="1">
      <alignment horizontal="center" vertical="center" wrapText="1"/>
    </xf>
    <xf numFmtId="0" fontId="50" fillId="5" borderId="100" xfId="0" applyNumberFormat="1" applyFont="1" applyFill="1" applyBorder="1" applyAlignment="1" applyProtection="1">
      <alignment horizontal="center" vertical="center" wrapText="1"/>
    </xf>
    <xf numFmtId="0" fontId="50" fillId="5" borderId="101" xfId="0" applyNumberFormat="1" applyFont="1" applyFill="1" applyBorder="1" applyAlignment="1" applyProtection="1">
      <alignment horizontal="center" vertical="center" wrapText="1"/>
    </xf>
    <xf numFmtId="0" fontId="50" fillId="5" borderId="102" xfId="0" applyNumberFormat="1" applyFont="1" applyFill="1" applyBorder="1" applyAlignment="1" applyProtection="1">
      <alignment horizontal="center" vertical="center" wrapText="1"/>
    </xf>
    <xf numFmtId="0" fontId="44" fillId="5" borderId="39" xfId="0" applyNumberFormat="1" applyFont="1" applyFill="1" applyBorder="1" applyAlignment="1" applyProtection="1">
      <alignment horizontal="center" vertical="center" wrapText="1"/>
    </xf>
    <xf numFmtId="0" fontId="44" fillId="0" borderId="16"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35" xfId="0" applyNumberFormat="1" applyFont="1" applyFill="1" applyBorder="1" applyAlignment="1" applyProtection="1">
      <alignment horizontal="center" vertical="center" wrapText="1"/>
      <protection locked="0"/>
    </xf>
    <xf numFmtId="0" fontId="44" fillId="0" borderId="35" xfId="0" applyNumberFormat="1" applyFont="1" applyFill="1" applyBorder="1" applyAlignment="1" applyProtection="1">
      <alignment horizontal="center" vertical="center" wrapText="1"/>
      <protection locked="0"/>
    </xf>
    <xf numFmtId="0" fontId="44" fillId="0" borderId="103" xfId="0" applyNumberFormat="1" applyFont="1" applyFill="1" applyBorder="1" applyAlignment="1" applyProtection="1">
      <alignment horizontal="center" vertical="center" wrapText="1"/>
      <protection locked="0"/>
    </xf>
    <xf numFmtId="0" fontId="44" fillId="0" borderId="104" xfId="0" applyNumberFormat="1" applyFont="1" applyFill="1" applyBorder="1" applyAlignment="1" applyProtection="1">
      <alignment horizontal="center" vertical="center" wrapText="1"/>
      <protection locked="0"/>
    </xf>
    <xf numFmtId="0" fontId="44" fillId="0" borderId="104" xfId="0" applyNumberFormat="1" applyFont="1" applyFill="1" applyBorder="1" applyAlignment="1" applyProtection="1">
      <alignment horizontal="left" vertical="center" wrapText="1"/>
      <protection locked="0"/>
    </xf>
    <xf numFmtId="0" fontId="44" fillId="0" borderId="105" xfId="0" applyNumberFormat="1"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0" fontId="50" fillId="5" borderId="18" xfId="0" applyNumberFormat="1" applyFont="1" applyFill="1" applyBorder="1" applyAlignment="1" applyProtection="1">
      <alignment horizontal="center" vertical="center" wrapText="1"/>
    </xf>
    <xf numFmtId="0" fontId="50" fillId="5" borderId="35"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08" xfId="0" applyFont="1" applyFill="1" applyBorder="1" applyAlignment="1" applyProtection="1">
      <alignment horizontal="center" vertical="center"/>
      <protection locked="0"/>
    </xf>
    <xf numFmtId="0" fontId="44" fillId="0" borderId="109" xfId="0" applyNumberFormat="1" applyFont="1" applyFill="1" applyBorder="1" applyAlignment="1" applyProtection="1">
      <alignment horizontal="center" vertical="center" wrapText="1"/>
      <protection locked="0"/>
    </xf>
    <xf numFmtId="0" fontId="44" fillId="0" borderId="109" xfId="0" applyFont="1" applyFill="1" applyBorder="1" applyAlignment="1" applyProtection="1">
      <alignment horizontal="center" vertical="center" wrapText="1"/>
      <protection locked="0"/>
    </xf>
    <xf numFmtId="9" fontId="44" fillId="0" borderId="109" xfId="0" applyNumberFormat="1" applyFont="1" applyFill="1" applyBorder="1" applyAlignment="1" applyProtection="1">
      <alignment horizontal="center" vertical="center" wrapText="1"/>
      <protection locked="0"/>
    </xf>
    <xf numFmtId="0" fontId="44" fillId="0" borderId="109" xfId="0" applyFont="1" applyFill="1" applyBorder="1" applyAlignment="1" applyProtection="1">
      <alignment horizontal="center" vertical="center"/>
      <protection locked="0"/>
    </xf>
    <xf numFmtId="0" fontId="104" fillId="5" borderId="1" xfId="0" applyFont="1" applyFill="1" applyBorder="1" applyAlignment="1" applyProtection="1">
      <alignment horizontal="center" vertical="center"/>
    </xf>
    <xf numFmtId="0" fontId="49" fillId="5" borderId="0" xfId="0" applyFont="1" applyFill="1" applyAlignment="1" applyProtection="1">
      <alignment horizontal="left" vertical="center"/>
    </xf>
    <xf numFmtId="0" fontId="0" fillId="8" borderId="0" xfId="0" applyFill="1">
      <alignment vertical="center"/>
    </xf>
    <xf numFmtId="0" fontId="130" fillId="8" borderId="0" xfId="0" applyFont="1" applyFill="1">
      <alignment vertical="center"/>
    </xf>
    <xf numFmtId="0" fontId="129" fillId="8" borderId="0" xfId="0" applyFont="1" applyFill="1" applyProtection="1">
      <alignment vertical="center"/>
    </xf>
    <xf numFmtId="0" fontId="0" fillId="8" borderId="0" xfId="0" applyFont="1" applyFill="1">
      <alignment vertical="center"/>
    </xf>
    <xf numFmtId="0" fontId="57" fillId="0" borderId="1" xfId="0" applyNumberFormat="1" applyFont="1" applyFill="1" applyBorder="1" applyAlignment="1" applyProtection="1">
      <alignment horizontal="center" vertical="center"/>
      <protection locked="0"/>
    </xf>
    <xf numFmtId="0" fontId="44" fillId="0" borderId="99" xfId="0" applyNumberFormat="1" applyFont="1" applyFill="1" applyBorder="1" applyAlignment="1" applyProtection="1">
      <alignment horizontal="center" vertical="center" wrapText="1"/>
      <protection locked="0"/>
    </xf>
    <xf numFmtId="0" fontId="50" fillId="0" borderId="100" xfId="0" applyNumberFormat="1" applyFont="1" applyFill="1" applyBorder="1" applyAlignment="1" applyProtection="1">
      <alignment horizontal="center" vertical="center" wrapText="1"/>
      <protection locked="0"/>
    </xf>
    <xf numFmtId="0" fontId="50" fillId="0" borderId="101" xfId="0" applyNumberFormat="1" applyFont="1" applyFill="1" applyBorder="1" applyAlignment="1" applyProtection="1">
      <alignment horizontal="center" vertical="center" wrapText="1"/>
      <protection locked="0"/>
    </xf>
    <xf numFmtId="0" fontId="44" fillId="5" borderId="106" xfId="0" applyNumberFormat="1" applyFont="1" applyFill="1" applyBorder="1" applyAlignment="1" applyProtection="1">
      <alignment horizontal="center" vertical="center" wrapText="1"/>
    </xf>
    <xf numFmtId="0" fontId="44" fillId="5" borderId="38" xfId="0" applyNumberFormat="1" applyFont="1" applyFill="1" applyBorder="1" applyAlignment="1" applyProtection="1">
      <alignment horizontal="center" vertical="center" wrapText="1"/>
    </xf>
    <xf numFmtId="0" fontId="44" fillId="0" borderId="41" xfId="0" applyNumberFormat="1" applyFont="1" applyFill="1" applyBorder="1" applyAlignment="1" applyProtection="1">
      <alignment horizontal="center" vertical="center" wrapText="1"/>
      <protection locked="0"/>
    </xf>
    <xf numFmtId="0" fontId="50" fillId="0" borderId="80" xfId="0" applyNumberFormat="1" applyFont="1" applyFill="1" applyBorder="1" applyAlignment="1" applyProtection="1">
      <alignment horizontal="center" vertical="center" wrapText="1"/>
      <protection locked="0"/>
    </xf>
    <xf numFmtId="0" fontId="44" fillId="0" borderId="110" xfId="0" applyNumberFormat="1" applyFont="1" applyFill="1" applyBorder="1" applyAlignment="1" applyProtection="1">
      <alignment horizontal="center" vertical="center" wrapText="1"/>
      <protection locked="0"/>
    </xf>
    <xf numFmtId="0" fontId="50" fillId="5" borderId="111" xfId="0" applyNumberFormat="1" applyFont="1" applyFill="1" applyBorder="1" applyAlignment="1" applyProtection="1">
      <alignment horizontal="center" vertical="center" wrapText="1"/>
    </xf>
    <xf numFmtId="0" fontId="44" fillId="0" borderId="53" xfId="0" applyFont="1" applyFill="1" applyBorder="1" applyAlignment="1" applyProtection="1">
      <alignment horizontal="center" vertical="center"/>
      <protection locked="0"/>
    </xf>
    <xf numFmtId="0" fontId="50" fillId="5" borderId="80" xfId="0" applyNumberFormat="1" applyFont="1" applyFill="1" applyBorder="1" applyAlignment="1" applyProtection="1">
      <alignment horizontal="center" vertical="center" wrapText="1"/>
    </xf>
    <xf numFmtId="0" fontId="44" fillId="0" borderId="106" xfId="0" applyFont="1" applyFill="1" applyBorder="1" applyAlignment="1" applyProtection="1">
      <alignment horizontal="center" vertical="center"/>
      <protection locked="0"/>
    </xf>
    <xf numFmtId="0" fontId="50" fillId="0" borderId="111" xfId="0" applyNumberFormat="1" applyFont="1" applyFill="1" applyBorder="1" applyAlignment="1" applyProtection="1">
      <alignment horizontal="center" vertical="center" wrapText="1"/>
      <protection locked="0"/>
    </xf>
    <xf numFmtId="0" fontId="110" fillId="5" borderId="18" xfId="0" applyFont="1" applyFill="1" applyBorder="1" applyAlignment="1" applyProtection="1">
      <alignment horizontal="center" vertical="center" wrapText="1"/>
    </xf>
    <xf numFmtId="0" fontId="110" fillId="5" borderId="17" xfId="0" applyFont="1" applyFill="1" applyBorder="1" applyAlignment="1" applyProtection="1">
      <alignment horizontal="center" vertical="center" wrapText="1"/>
    </xf>
    <xf numFmtId="0" fontId="99" fillId="8" borderId="0" xfId="0" applyFont="1" applyFill="1" applyProtection="1">
      <alignment vertical="center"/>
      <protection locked="0"/>
    </xf>
    <xf numFmtId="0" fontId="42" fillId="5" borderId="0" xfId="1" applyFont="1" applyFill="1" applyBorder="1" applyAlignment="1" applyProtection="1">
      <alignment vertical="center"/>
      <protection locked="0"/>
    </xf>
    <xf numFmtId="49" fontId="59" fillId="5" borderId="0" xfId="0" applyNumberFormat="1" applyFont="1" applyFill="1" applyBorder="1" applyAlignment="1" applyProtection="1">
      <alignment horizontal="center"/>
      <protection locked="0"/>
    </xf>
    <xf numFmtId="49" fontId="59" fillId="5" borderId="0" xfId="0" applyNumberFormat="1" applyFont="1" applyFill="1" applyBorder="1" applyAlignment="1" applyProtection="1">
      <alignment horizontal="left"/>
      <protection locked="0"/>
    </xf>
    <xf numFmtId="0" fontId="55" fillId="5" borderId="0" xfId="0" applyFont="1" applyFill="1" applyBorder="1" applyAlignment="1" applyProtection="1">
      <alignment vertical="center"/>
      <protection locked="0"/>
    </xf>
    <xf numFmtId="49" fontId="54" fillId="5" borderId="0" xfId="0" applyNumberFormat="1" applyFont="1" applyFill="1" applyBorder="1" applyAlignment="1" applyProtection="1">
      <protection locked="0"/>
    </xf>
    <xf numFmtId="49" fontId="54" fillId="5" borderId="0" xfId="0" applyNumberFormat="1" applyFont="1" applyFill="1" applyBorder="1" applyAlignment="1" applyProtection="1">
      <alignment horizontal="center"/>
      <protection locked="0"/>
    </xf>
    <xf numFmtId="49" fontId="54" fillId="5" borderId="0" xfId="0" applyNumberFormat="1" applyFont="1" applyFill="1" applyBorder="1" applyAlignment="1" applyProtection="1">
      <alignment horizontal="left"/>
      <protection locked="0"/>
    </xf>
    <xf numFmtId="49" fontId="51" fillId="5" borderId="0" xfId="0" applyNumberFormat="1" applyFont="1" applyFill="1" applyBorder="1" applyAlignment="1" applyProtection="1">
      <alignment horizontal="left" vertical="center"/>
      <protection locked="0"/>
    </xf>
    <xf numFmtId="0" fontId="51" fillId="5" borderId="0" xfId="0" applyFont="1" applyFill="1" applyBorder="1" applyAlignment="1" applyProtection="1">
      <alignment horizontal="left" vertical="center"/>
      <protection locked="0"/>
    </xf>
    <xf numFmtId="0" fontId="57" fillId="5" borderId="0" xfId="0" applyFont="1" applyFill="1" applyBorder="1" applyAlignment="1" applyProtection="1">
      <alignment horizontal="center" vertical="center"/>
      <protection locked="0"/>
    </xf>
    <xf numFmtId="0" fontId="44" fillId="5" borderId="0" xfId="0" applyFont="1" applyFill="1" applyBorder="1" applyAlignment="1" applyProtection="1">
      <alignment vertical="center"/>
      <protection locked="0"/>
    </xf>
    <xf numFmtId="0" fontId="50" fillId="5" borderId="0" xfId="0" applyFont="1" applyFill="1" applyBorder="1" applyAlignment="1" applyProtection="1">
      <alignment horizontal="left" vertical="center"/>
      <protection locked="0"/>
    </xf>
    <xf numFmtId="179" fontId="57" fillId="5" borderId="0" xfId="0" applyNumberFormat="1" applyFont="1" applyFill="1" applyBorder="1" applyAlignment="1" applyProtection="1">
      <alignment horizontal="center" vertical="center"/>
      <protection locked="0"/>
    </xf>
    <xf numFmtId="49" fontId="63" fillId="5" borderId="0" xfId="0" applyNumberFormat="1" applyFont="1" applyFill="1" applyBorder="1" applyAlignment="1" applyProtection="1">
      <alignment horizontal="left" vertical="center"/>
      <protection locked="0"/>
    </xf>
    <xf numFmtId="0" fontId="63" fillId="5" borderId="0" xfId="0" applyFont="1" applyFill="1" applyBorder="1" applyAlignment="1" applyProtection="1">
      <alignment horizontal="left" vertical="center"/>
      <protection locked="0"/>
    </xf>
    <xf numFmtId="0" fontId="64" fillId="5" borderId="0" xfId="0" applyFont="1" applyFill="1" applyBorder="1" applyAlignment="1" applyProtection="1">
      <alignment horizontal="center" vertical="center"/>
      <protection locked="0"/>
    </xf>
    <xf numFmtId="0" fontId="65" fillId="5" borderId="0" xfId="0" applyFont="1" applyFill="1" applyBorder="1" applyAlignment="1" applyProtection="1">
      <alignment vertical="center"/>
      <protection locked="0"/>
    </xf>
    <xf numFmtId="0" fontId="66" fillId="5" borderId="0" xfId="0" applyFont="1" applyFill="1" applyBorder="1" applyAlignment="1" applyProtection="1">
      <alignment horizontal="left" vertical="center"/>
      <protection locked="0"/>
    </xf>
    <xf numFmtId="179" fontId="64" fillId="5" borderId="0" xfId="0" applyNumberFormat="1" applyFont="1" applyFill="1" applyBorder="1" applyAlignment="1" applyProtection="1">
      <alignment horizontal="center" vertical="center"/>
      <protection locked="0"/>
    </xf>
    <xf numFmtId="0" fontId="100" fillId="5" borderId="0" xfId="0" applyFont="1" applyFill="1" applyAlignment="1" applyProtection="1">
      <protection locked="0"/>
    </xf>
    <xf numFmtId="0" fontId="100" fillId="5" borderId="0" xfId="0" applyFont="1" applyFill="1" applyAlignment="1" applyProtection="1">
      <alignment horizontal="left"/>
      <protection locked="0"/>
    </xf>
    <xf numFmtId="0" fontId="43" fillId="5" borderId="0" xfId="0" applyFont="1" applyFill="1" applyAlignment="1" applyProtection="1">
      <alignment horizontal="left"/>
      <protection locked="0"/>
    </xf>
    <xf numFmtId="0" fontId="43" fillId="5" borderId="0" xfId="0" applyFont="1" applyFill="1" applyAlignment="1" applyProtection="1">
      <protection locked="0"/>
    </xf>
    <xf numFmtId="0" fontId="44" fillId="5" borderId="0" xfId="0" applyFont="1" applyFill="1" applyAlignment="1" applyProtection="1">
      <alignment horizontal="left" vertical="center"/>
      <protection locked="0"/>
    </xf>
    <xf numFmtId="0" fontId="55" fillId="5" borderId="0" xfId="0" applyFont="1" applyFill="1" applyAlignment="1" applyProtection="1">
      <alignment horizontal="left" vertical="center"/>
      <protection locked="0"/>
    </xf>
    <xf numFmtId="0" fontId="55" fillId="5" borderId="0" xfId="0" applyFont="1" applyFill="1" applyAlignment="1" applyProtection="1">
      <alignment vertical="center"/>
      <protection locked="0"/>
    </xf>
    <xf numFmtId="0" fontId="44" fillId="5" borderId="0" xfId="0" applyFont="1" applyFill="1" applyAlignment="1" applyProtection="1">
      <alignment vertical="center"/>
      <protection locked="0"/>
    </xf>
    <xf numFmtId="0" fontId="55" fillId="8" borderId="0" xfId="0" applyFont="1" applyFill="1" applyAlignment="1" applyProtection="1">
      <alignment vertical="center"/>
    </xf>
    <xf numFmtId="0" fontId="62" fillId="8" borderId="0" xfId="0" applyFont="1" applyFill="1" applyAlignment="1" applyProtection="1">
      <alignment vertical="center"/>
    </xf>
    <xf numFmtId="177" fontId="54" fillId="8" borderId="0" xfId="0" applyNumberFormat="1" applyFont="1" applyFill="1" applyBorder="1" applyAlignment="1" applyProtection="1"/>
    <xf numFmtId="0" fontId="41" fillId="5" borderId="0" xfId="0" applyFont="1" applyFill="1" applyBorder="1" applyAlignment="1" applyProtection="1">
      <alignment horizontal="center" vertical="center"/>
      <protection locked="0"/>
    </xf>
    <xf numFmtId="0" fontId="48" fillId="5" borderId="0" xfId="0" applyFont="1" applyFill="1" applyAlignment="1" applyProtection="1">
      <alignment horizontal="center" vertical="center"/>
      <protection locked="0"/>
    </xf>
    <xf numFmtId="181" fontId="48" fillId="5" borderId="0" xfId="0" applyNumberFormat="1" applyFont="1" applyFill="1" applyAlignment="1" applyProtection="1">
      <alignment horizontal="center" vertical="center"/>
      <protection locked="0"/>
    </xf>
    <xf numFmtId="14" fontId="48" fillId="5" borderId="0" xfId="0" applyNumberFormat="1" applyFont="1" applyFill="1" applyAlignment="1" applyProtection="1">
      <alignment horizontal="center" vertical="center"/>
      <protection locked="0"/>
    </xf>
    <xf numFmtId="189" fontId="48" fillId="5" borderId="0" xfId="0" applyNumberFormat="1" applyFont="1" applyFill="1" applyAlignment="1" applyProtection="1">
      <alignment horizontal="center" vertical="center"/>
      <protection locked="0"/>
    </xf>
    <xf numFmtId="176" fontId="48" fillId="5" borderId="0" xfId="0" applyNumberFormat="1" applyFont="1" applyFill="1" applyAlignment="1" applyProtection="1">
      <alignment horizontal="center" vertical="center"/>
      <protection locked="0"/>
    </xf>
    <xf numFmtId="0" fontId="50" fillId="5" borderId="0" xfId="0" applyFont="1" applyFill="1" applyAlignment="1" applyProtection="1">
      <protection locked="0"/>
    </xf>
    <xf numFmtId="189" fontId="48" fillId="5" borderId="0" xfId="0" applyNumberFormat="1" applyFont="1" applyFill="1" applyBorder="1" applyAlignment="1" applyProtection="1">
      <alignment horizontal="center"/>
      <protection locked="0"/>
    </xf>
    <xf numFmtId="181" fontId="48" fillId="5" borderId="0" xfId="0" applyNumberFormat="1" applyFont="1" applyFill="1" applyBorder="1" applyAlignment="1" applyProtection="1">
      <protection locked="0"/>
    </xf>
    <xf numFmtId="0" fontId="48" fillId="5" borderId="0" xfId="0" applyFont="1" applyFill="1" applyBorder="1" applyAlignment="1" applyProtection="1">
      <protection locked="0"/>
    </xf>
    <xf numFmtId="0" fontId="71" fillId="5" borderId="42" xfId="0" applyNumberFormat="1" applyFont="1" applyFill="1" applyBorder="1" applyAlignment="1" applyProtection="1">
      <alignment vertical="center" wrapText="1"/>
      <protection locked="0"/>
    </xf>
    <xf numFmtId="0" fontId="99" fillId="5" borderId="0" xfId="0" applyFont="1" applyFill="1" applyProtection="1">
      <alignment vertical="center"/>
      <protection locked="0"/>
    </xf>
    <xf numFmtId="0" fontId="100" fillId="5" borderId="0" xfId="0" applyFont="1" applyFill="1" applyProtection="1">
      <alignment vertical="center"/>
      <protection locked="0"/>
    </xf>
    <xf numFmtId="0" fontId="100"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1" fillId="5" borderId="0" xfId="0" applyFont="1" applyFill="1" applyBorder="1" applyAlignment="1" applyProtection="1">
      <alignment vertical="center"/>
      <protection locked="0"/>
    </xf>
    <xf numFmtId="10" fontId="18" fillId="5" borderId="0" xfId="0" applyNumberFormat="1" applyFont="1" applyFill="1" applyBorder="1" applyAlignment="1" applyProtection="1">
      <alignment horizontal="center" vertical="center" wrapText="1"/>
      <protection locked="0"/>
    </xf>
    <xf numFmtId="0" fontId="122" fillId="5" borderId="47" xfId="0" applyFont="1" applyFill="1" applyBorder="1" applyAlignment="1" applyProtection="1">
      <alignment vertical="center"/>
      <protection locked="0"/>
    </xf>
    <xf numFmtId="10" fontId="18"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00" fillId="8" borderId="0" xfId="0" applyFont="1" applyFill="1" applyProtection="1">
      <alignment vertical="center"/>
      <protection locked="0"/>
    </xf>
    <xf numFmtId="0" fontId="100"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9" fillId="0" borderId="0" xfId="0" applyFont="1" applyProtection="1">
      <alignment vertical="center"/>
      <protection locked="0"/>
    </xf>
    <xf numFmtId="0" fontId="100" fillId="0" borderId="0" xfId="0" applyFont="1" applyProtection="1">
      <alignment vertical="center"/>
      <protection locked="0"/>
    </xf>
    <xf numFmtId="0" fontId="100" fillId="0" borderId="0" xfId="0" applyFont="1" applyAlignment="1" applyProtection="1">
      <alignment horizontal="center" vertical="center"/>
      <protection locked="0"/>
    </xf>
    <xf numFmtId="9" fontId="74" fillId="6" borderId="1" xfId="0" applyNumberFormat="1" applyFont="1" applyFill="1" applyBorder="1" applyAlignment="1" applyProtection="1">
      <alignment horizontal="center" vertical="center"/>
      <protection locked="0"/>
    </xf>
    <xf numFmtId="0" fontId="55" fillId="5" borderId="64" xfId="0" applyFont="1" applyFill="1" applyBorder="1" applyAlignment="1" applyProtection="1">
      <alignment vertical="center"/>
      <protection locked="0"/>
    </xf>
    <xf numFmtId="0" fontId="55" fillId="5" borderId="65" xfId="0" applyFont="1" applyFill="1" applyBorder="1" applyAlignment="1" applyProtection="1">
      <alignment vertical="center"/>
      <protection locked="0"/>
    </xf>
    <xf numFmtId="0" fontId="49" fillId="5" borderId="34" xfId="0" applyFont="1" applyFill="1" applyBorder="1" applyAlignment="1" applyProtection="1">
      <alignment horizontal="center" vertical="center"/>
    </xf>
    <xf numFmtId="0" fontId="44" fillId="5" borderId="12" xfId="0" applyFont="1" applyFill="1" applyBorder="1" applyAlignment="1" applyProtection="1">
      <alignment horizontal="right" vertical="center"/>
    </xf>
    <xf numFmtId="0" fontId="44" fillId="5" borderId="79" xfId="0" applyFont="1" applyFill="1" applyBorder="1" applyAlignment="1" applyProtection="1">
      <alignment horizontal="center" vertical="center"/>
    </xf>
    <xf numFmtId="0" fontId="51" fillId="8" borderId="6" xfId="0" applyFont="1" applyFill="1" applyBorder="1" applyAlignment="1" applyProtection="1">
      <alignment horizontal="center" vertical="center"/>
      <protection locked="0"/>
    </xf>
    <xf numFmtId="0" fontId="55" fillId="5" borderId="41" xfId="0" applyFont="1" applyFill="1" applyBorder="1" applyAlignment="1" applyProtection="1">
      <alignment vertical="center"/>
      <protection locked="0"/>
    </xf>
    <xf numFmtId="0" fontId="55" fillId="5" borderId="39" xfId="0" applyFont="1" applyFill="1" applyBorder="1" applyAlignment="1" applyProtection="1">
      <alignment vertical="center"/>
      <protection locked="0"/>
    </xf>
    <xf numFmtId="0" fontId="55" fillId="5" borderId="68" xfId="0" applyFont="1" applyFill="1" applyBorder="1" applyAlignment="1" applyProtection="1">
      <alignment vertical="center"/>
      <protection locked="0"/>
    </xf>
    <xf numFmtId="0" fontId="55" fillId="5" borderId="55" xfId="0" applyFont="1" applyFill="1" applyBorder="1" applyAlignment="1" applyProtection="1">
      <alignment horizontal="center" vertical="center"/>
    </xf>
    <xf numFmtId="49" fontId="56" fillId="5" borderId="7" xfId="1" applyNumberFormat="1" applyFont="1" applyFill="1" applyBorder="1" applyAlignment="1" applyProtection="1">
      <alignment horizontal="left"/>
    </xf>
    <xf numFmtId="49" fontId="51" fillId="5" borderId="7" xfId="0" applyNumberFormat="1" applyFont="1" applyFill="1" applyBorder="1" applyAlignment="1" applyProtection="1">
      <alignment horizontal="left" vertical="center"/>
    </xf>
    <xf numFmtId="49" fontId="44" fillId="5" borderId="7" xfId="0" applyNumberFormat="1" applyFont="1" applyFill="1" applyBorder="1" applyAlignment="1" applyProtection="1">
      <alignment horizontal="center" vertical="center"/>
    </xf>
    <xf numFmtId="0" fontId="44" fillId="5" borderId="7" xfId="1" applyFont="1" applyFill="1" applyBorder="1" applyAlignment="1" applyProtection="1">
      <alignment horizontal="right" vertical="center"/>
    </xf>
    <xf numFmtId="0" fontId="57" fillId="8" borderId="1" xfId="0" applyFont="1" applyFill="1" applyBorder="1" applyProtection="1">
      <alignment vertical="center"/>
      <protection locked="0"/>
    </xf>
    <xf numFmtId="0" fontId="44" fillId="8" borderId="1" xfId="0" applyFont="1" applyFill="1" applyBorder="1" applyProtection="1">
      <alignment vertical="center"/>
      <protection locked="0"/>
    </xf>
    <xf numFmtId="0" fontId="103" fillId="8" borderId="0" xfId="0" applyFont="1" applyFill="1" applyProtection="1">
      <alignment vertical="center"/>
      <protection locked="0"/>
    </xf>
    <xf numFmtId="0" fontId="103" fillId="8" borderId="0" xfId="0" applyFont="1" applyFill="1" applyAlignment="1" applyProtection="1">
      <alignment horizontal="center" vertical="center"/>
      <protection locked="0"/>
    </xf>
    <xf numFmtId="0" fontId="103" fillId="8" borderId="0" xfId="0" applyFont="1" applyFill="1" applyProtection="1">
      <alignment vertical="center"/>
    </xf>
    <xf numFmtId="0" fontId="54" fillId="6" borderId="47" xfId="1" applyFont="1" applyFill="1" applyBorder="1" applyAlignment="1" applyProtection="1">
      <alignment vertical="center"/>
      <protection locked="0"/>
    </xf>
    <xf numFmtId="0" fontId="51" fillId="5" borderId="35" xfId="0" applyNumberFormat="1" applyFont="1" applyFill="1" applyBorder="1" applyAlignment="1" applyProtection="1">
      <alignment vertical="center" wrapText="1"/>
      <protection locked="0"/>
    </xf>
    <xf numFmtId="0" fontId="57" fillId="5" borderId="60" xfId="0" applyNumberFormat="1" applyFont="1" applyFill="1" applyBorder="1" applyAlignment="1" applyProtection="1">
      <alignment vertical="center" textRotation="255" wrapText="1"/>
      <protection locked="0"/>
    </xf>
    <xf numFmtId="0" fontId="57" fillId="5" borderId="60" xfId="0" applyNumberFormat="1" applyFont="1" applyFill="1" applyBorder="1" applyAlignment="1" applyProtection="1">
      <alignment vertical="center" wrapText="1"/>
      <protection locked="0"/>
    </xf>
    <xf numFmtId="0" fontId="49" fillId="5" borderId="60" xfId="0" applyNumberFormat="1" applyFont="1" applyFill="1" applyBorder="1" applyAlignment="1" applyProtection="1">
      <alignment vertical="center" wrapText="1"/>
      <protection locked="0"/>
    </xf>
    <xf numFmtId="0" fontId="44" fillId="10" borderId="4" xfId="0" applyNumberFormat="1" applyFont="1" applyFill="1" applyBorder="1" applyAlignment="1" applyProtection="1">
      <alignment horizontal="center" vertical="center" wrapText="1"/>
      <protection locked="0"/>
    </xf>
    <xf numFmtId="0" fontId="44" fillId="10" borderId="11" xfId="0" applyNumberFormat="1" applyFont="1" applyFill="1" applyBorder="1" applyAlignment="1" applyProtection="1">
      <alignment horizontal="center" vertical="center" wrapText="1"/>
      <protection locked="0"/>
    </xf>
    <xf numFmtId="0" fontId="44" fillId="10" borderId="11" xfId="0" applyNumberFormat="1" applyFont="1" applyFill="1" applyBorder="1" applyAlignment="1" applyProtection="1">
      <alignment horizontal="left" vertical="center" wrapText="1"/>
      <protection locked="0"/>
    </xf>
    <xf numFmtId="0" fontId="44" fillId="10" borderId="13" xfId="0" applyNumberFormat="1" applyFont="1" applyFill="1" applyBorder="1" applyAlignment="1" applyProtection="1">
      <alignment horizontal="center" vertical="center" wrapText="1"/>
      <protection locked="0"/>
    </xf>
    <xf numFmtId="0" fontId="44" fillId="10" borderId="12" xfId="0" applyFont="1" applyFill="1" applyBorder="1" applyAlignment="1" applyProtection="1">
      <alignment horizontal="center" vertical="center"/>
      <protection locked="0"/>
    </xf>
    <xf numFmtId="0" fontId="44" fillId="10" borderId="57" xfId="0" applyNumberFormat="1" applyFont="1" applyFill="1" applyBorder="1" applyAlignment="1" applyProtection="1">
      <alignment horizontal="center" vertical="center" wrapText="1"/>
      <protection locked="0"/>
    </xf>
    <xf numFmtId="0" fontId="44" fillId="10" borderId="57" xfId="0" applyFont="1" applyFill="1" applyBorder="1" applyAlignment="1" applyProtection="1">
      <alignment horizontal="center" vertical="center" wrapText="1"/>
      <protection locked="0"/>
    </xf>
    <xf numFmtId="9" fontId="44" fillId="10" borderId="57" xfId="0" applyNumberFormat="1" applyFont="1" applyFill="1" applyBorder="1" applyAlignment="1" applyProtection="1">
      <alignment horizontal="center" vertical="center" wrapText="1"/>
      <protection locked="0"/>
    </xf>
    <xf numFmtId="0" fontId="44" fillId="10" borderId="57" xfId="0" applyFont="1" applyFill="1" applyBorder="1" applyAlignment="1" applyProtection="1">
      <alignment horizontal="center" vertical="center"/>
      <protection locked="0"/>
    </xf>
    <xf numFmtId="0" fontId="44" fillId="10" borderId="79" xfId="0" applyFont="1" applyFill="1" applyBorder="1" applyAlignment="1" applyProtection="1">
      <alignment horizontal="center" vertical="center"/>
      <protection locked="0"/>
    </xf>
    <xf numFmtId="0" fontId="49" fillId="10" borderId="123" xfId="0" applyNumberFormat="1" applyFont="1" applyFill="1" applyBorder="1" applyAlignment="1" applyProtection="1">
      <alignment vertical="center" wrapText="1"/>
      <protection locked="0"/>
    </xf>
    <xf numFmtId="0" fontId="44" fillId="10" borderId="29" xfId="0" applyNumberFormat="1" applyFont="1" applyFill="1" applyBorder="1" applyAlignment="1" applyProtection="1">
      <alignment horizontal="center" vertical="center" wrapText="1"/>
    </xf>
    <xf numFmtId="0" fontId="44" fillId="10" borderId="8" xfId="0" applyNumberFormat="1" applyFont="1" applyFill="1" applyBorder="1" applyAlignment="1" applyProtection="1">
      <alignment horizontal="center" vertical="center" wrapText="1"/>
      <protection locked="0"/>
    </xf>
    <xf numFmtId="0" fontId="50" fillId="10" borderId="61" xfId="0" applyNumberFormat="1" applyFont="1" applyFill="1" applyBorder="1" applyAlignment="1" applyProtection="1">
      <alignment horizontal="center" vertical="center" wrapText="1"/>
      <protection locked="0"/>
    </xf>
    <xf numFmtId="0" fontId="50" fillId="10" borderId="44" xfId="0" applyNumberFormat="1" applyFont="1" applyFill="1" applyBorder="1" applyAlignment="1" applyProtection="1">
      <alignment horizontal="center" vertical="center" wrapText="1"/>
      <protection locked="0"/>
    </xf>
    <xf numFmtId="0" fontId="50" fillId="10" borderId="62" xfId="0" applyNumberFormat="1" applyFont="1" applyFill="1" applyBorder="1" applyAlignment="1" applyProtection="1">
      <alignment horizontal="center" vertical="center" wrapText="1"/>
      <protection locked="0"/>
    </xf>
    <xf numFmtId="0" fontId="55" fillId="8" borderId="66" xfId="0" applyFont="1" applyFill="1" applyBorder="1" applyAlignment="1" applyProtection="1">
      <alignment vertical="center"/>
      <protection locked="0"/>
    </xf>
    <xf numFmtId="0" fontId="55" fillId="8" borderId="81" xfId="0" applyFont="1" applyFill="1" applyBorder="1" applyAlignment="1" applyProtection="1">
      <alignment horizontal="left" vertical="center"/>
      <protection locked="0"/>
    </xf>
    <xf numFmtId="0" fontId="55" fillId="5" borderId="31" xfId="0" applyFont="1" applyFill="1" applyBorder="1" applyAlignment="1" applyProtection="1">
      <alignment horizontal="center" vertical="center"/>
    </xf>
    <xf numFmtId="0" fontId="55" fillId="0" borderId="6" xfId="0" applyFont="1" applyFill="1" applyBorder="1" applyAlignment="1" applyProtection="1">
      <alignment horizontal="center" vertical="center"/>
      <protection locked="0"/>
    </xf>
    <xf numFmtId="0" fontId="131" fillId="5" borderId="6" xfId="0" applyFont="1" applyFill="1" applyBorder="1" applyAlignment="1" applyProtection="1">
      <alignment horizontal="center"/>
    </xf>
    <xf numFmtId="0" fontId="55" fillId="5" borderId="6" xfId="0" applyNumberFormat="1" applyFont="1" applyFill="1" applyBorder="1" applyAlignment="1" applyProtection="1">
      <alignment horizontal="center" vertical="center"/>
    </xf>
    <xf numFmtId="194" fontId="55" fillId="5" borderId="6" xfId="0" applyNumberFormat="1" applyFont="1" applyFill="1" applyBorder="1" applyAlignment="1" applyProtection="1">
      <alignment horizontal="center" vertical="center"/>
    </xf>
    <xf numFmtId="10" fontId="55" fillId="0" borderId="43" xfId="0" applyNumberFormat="1" applyFont="1" applyFill="1" applyBorder="1" applyAlignment="1" applyProtection="1">
      <alignment horizontal="center" vertical="center"/>
      <protection locked="0"/>
    </xf>
    <xf numFmtId="0" fontId="55" fillId="5" borderId="84" xfId="0" applyFont="1" applyFill="1" applyBorder="1" applyAlignment="1" applyProtection="1">
      <alignment horizontal="center" vertical="center"/>
    </xf>
    <xf numFmtId="0" fontId="55" fillId="6" borderId="38" xfId="0" applyFont="1" applyFill="1" applyBorder="1" applyAlignment="1" applyProtection="1">
      <alignment horizontal="center" vertical="center"/>
      <protection locked="0"/>
    </xf>
    <xf numFmtId="0" fontId="55" fillId="5" borderId="43" xfId="0" applyFont="1" applyFill="1" applyBorder="1" applyAlignment="1" applyProtection="1">
      <alignment horizontal="center" vertical="center"/>
    </xf>
    <xf numFmtId="0" fontId="55" fillId="5" borderId="2" xfId="0" applyFont="1" applyFill="1" applyBorder="1" applyAlignment="1" applyProtection="1">
      <alignment horizontal="center" vertical="center"/>
    </xf>
    <xf numFmtId="0" fontId="55" fillId="6" borderId="0" xfId="0" applyFont="1" applyFill="1" applyAlignment="1" applyProtection="1">
      <alignment horizontal="center" vertical="center"/>
      <protection locked="0"/>
    </xf>
    <xf numFmtId="181" fontId="49" fillId="0" borderId="6" xfId="0" applyNumberFormat="1" applyFont="1" applyFill="1" applyBorder="1" applyAlignment="1" applyProtection="1">
      <alignment horizontal="center" vertical="center"/>
      <protection locked="0"/>
    </xf>
    <xf numFmtId="0" fontId="134" fillId="5" borderId="82" xfId="0" applyFont="1" applyFill="1" applyBorder="1" applyAlignment="1" applyProtection="1">
      <alignment horizontal="center" vertical="center"/>
    </xf>
    <xf numFmtId="0" fontId="55" fillId="5" borderId="0" xfId="0" applyFont="1" applyFill="1" applyAlignment="1" applyProtection="1">
      <alignment horizontal="center" vertical="center"/>
    </xf>
    <xf numFmtId="0" fontId="61" fillId="8" borderId="0" xfId="0" applyFont="1" applyFill="1" applyAlignment="1" applyProtection="1">
      <alignment horizontal="center" vertical="center"/>
      <protection locked="0"/>
    </xf>
    <xf numFmtId="0" fontId="62" fillId="8" borderId="0" xfId="0" applyFont="1" applyFill="1" applyAlignment="1" applyProtection="1">
      <alignment horizontal="center" vertical="center"/>
      <protection locked="0"/>
    </xf>
    <xf numFmtId="0" fontId="141" fillId="5" borderId="0" xfId="0" applyFont="1" applyFill="1" applyAlignment="1" applyProtection="1">
      <alignment vertical="center"/>
    </xf>
    <xf numFmtId="0" fontId="55" fillId="5" borderId="0" xfId="0" applyFont="1" applyFill="1" applyAlignment="1" applyProtection="1">
      <alignment vertical="center"/>
    </xf>
    <xf numFmtId="0" fontId="131" fillId="5" borderId="82" xfId="0" applyFont="1" applyFill="1" applyBorder="1" applyAlignment="1" applyProtection="1">
      <alignment vertical="center" wrapText="1"/>
    </xf>
    <xf numFmtId="0" fontId="131" fillId="5" borderId="81" xfId="0" applyFont="1" applyFill="1" applyBorder="1" applyAlignment="1" applyProtection="1">
      <alignment vertical="center"/>
    </xf>
    <xf numFmtId="0" fontId="131" fillId="5" borderId="81" xfId="0" applyFont="1" applyFill="1" applyBorder="1" applyAlignment="1" applyProtection="1">
      <alignment horizontal="center" vertical="center" wrapText="1"/>
    </xf>
    <xf numFmtId="0" fontId="131" fillId="5" borderId="81" xfId="0" applyFont="1" applyFill="1" applyBorder="1" applyAlignment="1" applyProtection="1">
      <alignment vertical="center" wrapText="1"/>
    </xf>
    <xf numFmtId="0" fontId="131" fillId="5" borderId="78" xfId="0" applyFont="1" applyFill="1" applyBorder="1" applyAlignment="1" applyProtection="1">
      <alignment vertical="center" wrapText="1"/>
    </xf>
    <xf numFmtId="0" fontId="131" fillId="5" borderId="30" xfId="0" applyFont="1" applyFill="1" applyBorder="1" applyAlignment="1" applyProtection="1">
      <alignment vertical="center"/>
    </xf>
    <xf numFmtId="0" fontId="131" fillId="5" borderId="30" xfId="0"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31" fillId="5" borderId="78" xfId="0" applyFont="1" applyFill="1" applyBorder="1" applyAlignment="1" applyProtection="1">
      <alignment horizontal="right" vertical="center" wrapText="1"/>
    </xf>
    <xf numFmtId="10" fontId="131" fillId="5" borderId="30" xfId="0" applyNumberFormat="1" applyFont="1" applyFill="1" applyBorder="1" applyAlignment="1" applyProtection="1">
      <alignment horizontal="center" vertical="center" wrapText="1"/>
    </xf>
    <xf numFmtId="194" fontId="131" fillId="5" borderId="30" xfId="0" applyNumberFormat="1" applyFont="1" applyFill="1" applyBorder="1" applyAlignment="1" applyProtection="1">
      <alignment horizontal="center" vertical="center" wrapText="1"/>
    </xf>
    <xf numFmtId="0" fontId="132" fillId="5" borderId="30" xfId="0" applyFont="1" applyFill="1" applyBorder="1" applyAlignment="1" applyProtection="1">
      <alignment vertical="center" wrapText="1"/>
    </xf>
    <xf numFmtId="0" fontId="106" fillId="5" borderId="30" xfId="0" applyFont="1" applyFill="1" applyBorder="1" applyAlignment="1" applyProtection="1">
      <alignment vertical="center"/>
    </xf>
    <xf numFmtId="0" fontId="55" fillId="5" borderId="53" xfId="0" applyFont="1" applyFill="1" applyBorder="1" applyAlignment="1" applyProtection="1">
      <alignment vertical="center"/>
      <protection locked="0"/>
    </xf>
    <xf numFmtId="49" fontId="44" fillId="5" borderId="16" xfId="0" applyNumberFormat="1" applyFont="1" applyFill="1" applyBorder="1" applyAlignment="1" applyProtection="1">
      <alignment horizontal="left" vertical="center"/>
    </xf>
    <xf numFmtId="0" fontId="49" fillId="5" borderId="27" xfId="0" applyFont="1" applyFill="1" applyBorder="1" applyAlignment="1" applyProtection="1">
      <alignment horizontal="center" vertical="center"/>
    </xf>
    <xf numFmtId="0" fontId="49" fillId="5" borderId="64" xfId="0" applyFont="1" applyFill="1" applyBorder="1" applyAlignment="1" applyProtection="1">
      <alignment horizontal="center" vertical="center"/>
    </xf>
    <xf numFmtId="49" fontId="44" fillId="5" borderId="23" xfId="0" applyNumberFormat="1" applyFont="1" applyFill="1" applyBorder="1" applyAlignment="1" applyProtection="1">
      <alignment horizontal="left" vertical="center"/>
    </xf>
    <xf numFmtId="49" fontId="44" fillId="5" borderId="65" xfId="0" applyNumberFormat="1" applyFont="1" applyFill="1" applyBorder="1" applyAlignment="1" applyProtection="1">
      <alignment vertical="center"/>
    </xf>
    <xf numFmtId="0" fontId="18" fillId="0" borderId="1" xfId="0" applyFont="1" applyFill="1" applyBorder="1" applyAlignment="1">
      <alignment horizontal="center" vertical="center"/>
    </xf>
    <xf numFmtId="177" fontId="18" fillId="0" borderId="6" xfId="0" applyNumberFormat="1" applyFont="1" applyFill="1" applyBorder="1" applyAlignment="1">
      <alignment horizontal="center" vertical="center"/>
    </xf>
    <xf numFmtId="0" fontId="140" fillId="0" borderId="1" xfId="0" applyFont="1" applyFill="1" applyBorder="1" applyAlignment="1">
      <alignment horizontal="center" vertical="center"/>
    </xf>
    <xf numFmtId="9"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6" xfId="0" applyFont="1" applyFill="1" applyBorder="1" applyAlignment="1">
      <alignment horizontal="center" vertical="center"/>
    </xf>
    <xf numFmtId="0" fontId="149" fillId="0" borderId="1" xfId="0" applyFont="1" applyFill="1" applyBorder="1" applyAlignment="1">
      <alignment horizontal="center" vertical="center"/>
    </xf>
    <xf numFmtId="9" fontId="138" fillId="0" borderId="1" xfId="0" applyNumberFormat="1" applyFont="1" applyFill="1" applyBorder="1" applyAlignment="1">
      <alignment horizontal="center" vertical="center"/>
    </xf>
    <xf numFmtId="177" fontId="138" fillId="0" borderId="1" xfId="0" applyNumberFormat="1" applyFont="1" applyFill="1" applyBorder="1" applyAlignment="1">
      <alignment horizontal="center" vertical="center"/>
    </xf>
    <xf numFmtId="0" fontId="138" fillId="0" borderId="6" xfId="0" applyFont="1" applyFill="1" applyBorder="1" applyAlignment="1">
      <alignment horizontal="center" vertical="center"/>
    </xf>
    <xf numFmtId="0" fontId="32" fillId="0" borderId="1" xfId="0" applyFont="1" applyFill="1" applyBorder="1" applyAlignment="1">
      <alignment horizontal="center" vertical="center"/>
    </xf>
    <xf numFmtId="0" fontId="0" fillId="0" borderId="1" xfId="0" applyFill="1" applyBorder="1" applyAlignment="1">
      <alignment vertical="center"/>
    </xf>
    <xf numFmtId="0" fontId="149" fillId="0" borderId="6" xfId="0" applyFont="1" applyFill="1" applyBorder="1" applyAlignment="1">
      <alignment horizontal="center" vertical="center"/>
    </xf>
    <xf numFmtId="0" fontId="140" fillId="0" borderId="1" xfId="0" applyFont="1" applyFill="1" applyBorder="1" applyAlignment="1">
      <alignment horizontal="center" vertical="center" wrapText="1"/>
    </xf>
    <xf numFmtId="0" fontId="32" fillId="0" borderId="1" xfId="0" applyFont="1" applyFill="1" applyBorder="1" applyAlignment="1">
      <alignment vertical="center"/>
    </xf>
    <xf numFmtId="0" fontId="140" fillId="0" borderId="6" xfId="0" applyFont="1" applyFill="1" applyBorder="1" applyAlignment="1">
      <alignment horizontal="center" vertical="center"/>
    </xf>
    <xf numFmtId="9" fontId="149" fillId="0" borderId="1" xfId="0" applyNumberFormat="1" applyFont="1" applyFill="1" applyBorder="1" applyAlignment="1">
      <alignment horizontal="center" vertical="center"/>
    </xf>
    <xf numFmtId="0" fontId="140" fillId="0" borderId="1" xfId="0" applyFont="1" applyBorder="1" applyAlignment="1">
      <alignment horizontal="center" vertical="center"/>
    </xf>
    <xf numFmtId="9" fontId="140" fillId="0" borderId="1" xfId="0" applyNumberFormat="1" applyFont="1" applyBorder="1" applyAlignment="1">
      <alignment horizontal="center" vertical="center"/>
    </xf>
    <xf numFmtId="0" fontId="149" fillId="0" borderId="61" xfId="0" applyFont="1" applyFill="1" applyBorder="1" applyAlignment="1">
      <alignment horizontal="center" vertical="center"/>
    </xf>
    <xf numFmtId="9" fontId="149" fillId="0" borderId="61" xfId="0" applyNumberFormat="1" applyFont="1" applyFill="1" applyBorder="1" applyAlignment="1">
      <alignment horizontal="center" vertical="center"/>
    </xf>
    <xf numFmtId="177" fontId="149" fillId="0" borderId="61" xfId="0" applyNumberFormat="1" applyFont="1" applyFill="1" applyBorder="1" applyAlignment="1">
      <alignment horizontal="center" vertical="center"/>
    </xf>
    <xf numFmtId="0" fontId="138" fillId="0" borderId="43" xfId="0" applyFont="1" applyFill="1" applyBorder="1" applyAlignment="1">
      <alignment horizontal="center" vertical="center"/>
    </xf>
    <xf numFmtId="0" fontId="149" fillId="11" borderId="1" xfId="0" applyFont="1" applyFill="1" applyBorder="1" applyAlignment="1">
      <alignment vertical="center"/>
    </xf>
    <xf numFmtId="0" fontId="18" fillId="0" borderId="1" xfId="0" applyFont="1" applyBorder="1" applyAlignment="1">
      <alignment horizontal="center"/>
    </xf>
    <xf numFmtId="0" fontId="18" fillId="0" borderId="1" xfId="0" applyFont="1" applyBorder="1" applyAlignment="1"/>
    <xf numFmtId="49" fontId="18" fillId="0" borderId="1" xfId="0" applyNumberFormat="1" applyFont="1" applyBorder="1" applyAlignment="1">
      <alignment horizontal="center"/>
    </xf>
    <xf numFmtId="9" fontId="18" fillId="0" borderId="1" xfId="0" applyNumberFormat="1" applyFont="1" applyBorder="1" applyAlignment="1"/>
    <xf numFmtId="0" fontId="18" fillId="0" borderId="1" xfId="0" applyFont="1" applyFill="1" applyBorder="1" applyAlignment="1">
      <alignment horizontal="center"/>
    </xf>
    <xf numFmtId="0" fontId="49" fillId="5" borderId="1" xfId="0" applyFont="1" applyFill="1" applyBorder="1" applyAlignment="1" applyProtection="1">
      <alignment horizontal="center" vertical="center"/>
      <protection locked="0"/>
    </xf>
    <xf numFmtId="49" fontId="49" fillId="5" borderId="23" xfId="0" applyNumberFormat="1" applyFont="1" applyFill="1" applyBorder="1" applyAlignment="1" applyProtection="1">
      <alignment horizontal="left" vertical="center"/>
    </xf>
    <xf numFmtId="0" fontId="49" fillId="5" borderId="17"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181" fontId="44" fillId="5" borderId="50" xfId="0" applyNumberFormat="1" applyFont="1" applyFill="1" applyBorder="1" applyAlignment="1" applyProtection="1">
      <alignment horizontal="center" vertical="center"/>
    </xf>
    <xf numFmtId="49" fontId="44" fillId="5" borderId="124" xfId="0" applyNumberFormat="1" applyFont="1" applyFill="1" applyBorder="1" applyAlignment="1" applyProtection="1">
      <alignment vertical="center"/>
    </xf>
    <xf numFmtId="0" fontId="49" fillId="0" borderId="75" xfId="0" applyFont="1" applyFill="1" applyBorder="1" applyAlignment="1" applyProtection="1">
      <alignment horizontal="center" vertical="center"/>
      <protection locked="0"/>
    </xf>
    <xf numFmtId="181" fontId="49" fillId="5" borderId="76" xfId="0" applyNumberFormat="1" applyFont="1" applyFill="1" applyBorder="1" applyAlignment="1" applyProtection="1">
      <alignment horizontal="center" vertical="center"/>
    </xf>
    <xf numFmtId="0" fontId="44" fillId="5" borderId="64" xfId="0" applyFont="1" applyFill="1" applyBorder="1" applyAlignment="1" applyProtection="1">
      <alignment horizontal="left" vertical="center"/>
    </xf>
    <xf numFmtId="0" fontId="44" fillId="5" borderId="65" xfId="0" applyFont="1" applyFill="1" applyBorder="1" applyAlignment="1" applyProtection="1">
      <alignment horizontal="center" vertical="center"/>
    </xf>
    <xf numFmtId="0" fontId="44" fillId="5" borderId="68" xfId="0" applyFont="1" applyFill="1" applyBorder="1" applyAlignment="1" applyProtection="1">
      <alignment horizontal="center" vertical="center"/>
    </xf>
    <xf numFmtId="49" fontId="44" fillId="5" borderId="124" xfId="0" applyNumberFormat="1" applyFont="1" applyFill="1" applyBorder="1" applyAlignment="1" applyProtection="1">
      <alignment horizontal="left" vertical="center"/>
    </xf>
    <xf numFmtId="0" fontId="44" fillId="5" borderId="75" xfId="0" applyFont="1" applyFill="1" applyBorder="1" applyAlignment="1" applyProtection="1">
      <alignment horizontal="left" vertical="center"/>
    </xf>
    <xf numFmtId="0" fontId="44" fillId="5" borderId="75" xfId="0" applyFont="1" applyFill="1" applyBorder="1" applyAlignment="1" applyProtection="1">
      <alignment horizontal="center" vertical="center"/>
    </xf>
    <xf numFmtId="0" fontId="44" fillId="5" borderId="75" xfId="0" applyFont="1" applyFill="1" applyBorder="1" applyAlignment="1" applyProtection="1">
      <alignment horizontal="left" vertical="center" wrapText="1"/>
    </xf>
    <xf numFmtId="181" fontId="44" fillId="5" borderId="76" xfId="0" applyNumberFormat="1" applyFont="1" applyFill="1" applyBorder="1" applyAlignment="1" applyProtection="1">
      <alignment horizontal="center" vertical="center"/>
    </xf>
    <xf numFmtId="0" fontId="49" fillId="5" borderId="17"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65" xfId="0" applyFont="1" applyFill="1" applyBorder="1" applyAlignment="1" applyProtection="1">
      <alignment horizontal="center" vertical="center" wrapText="1"/>
    </xf>
    <xf numFmtId="0" fontId="44" fillId="5" borderId="68" xfId="0" applyFont="1" applyFill="1" applyBorder="1" applyAlignment="1" applyProtection="1">
      <alignment horizontal="center" vertical="center" wrapText="1"/>
    </xf>
    <xf numFmtId="0" fontId="58" fillId="5" borderId="65" xfId="0" applyFont="1" applyFill="1" applyBorder="1" applyAlignment="1" applyProtection="1">
      <alignment vertical="center"/>
    </xf>
    <xf numFmtId="0" fontId="58" fillId="5" borderId="68" xfId="0" applyFont="1" applyFill="1" applyBorder="1" applyAlignment="1" applyProtection="1">
      <alignment vertical="center"/>
    </xf>
    <xf numFmtId="0" fontId="44" fillId="5" borderId="85" xfId="0" applyFont="1" applyFill="1" applyBorder="1" applyAlignment="1" applyProtection="1">
      <alignment vertical="center"/>
    </xf>
    <xf numFmtId="181" fontId="49" fillId="5" borderId="125" xfId="0" applyNumberFormat="1" applyFont="1" applyFill="1" applyBorder="1" applyAlignment="1" applyProtection="1">
      <alignment horizontal="center" vertical="center"/>
    </xf>
    <xf numFmtId="181" fontId="49" fillId="5" borderId="75" xfId="0" applyNumberFormat="1" applyFont="1" applyFill="1" applyBorder="1" applyAlignment="1" applyProtection="1">
      <alignment horizontal="center" vertical="center"/>
    </xf>
    <xf numFmtId="0" fontId="44" fillId="5" borderId="85" xfId="0" applyFont="1" applyFill="1" applyBorder="1" applyAlignment="1" applyProtection="1">
      <alignment horizontal="left" vertical="center"/>
    </xf>
    <xf numFmtId="0" fontId="58" fillId="5" borderId="126" xfId="0" applyFont="1" applyFill="1" applyBorder="1" applyAlignment="1" applyProtection="1">
      <alignment vertical="center"/>
    </xf>
    <xf numFmtId="0" fontId="58" fillId="5" borderId="125" xfId="0" applyFont="1" applyFill="1" applyBorder="1" applyAlignment="1" applyProtection="1">
      <alignment vertical="center"/>
    </xf>
    <xf numFmtId="49" fontId="44" fillId="5" borderId="26" xfId="0" applyNumberFormat="1" applyFont="1" applyFill="1" applyBorder="1" applyAlignment="1" applyProtection="1">
      <alignment vertical="center"/>
    </xf>
    <xf numFmtId="186" fontId="44" fillId="5" borderId="1" xfId="0" applyNumberFormat="1" applyFont="1" applyFill="1" applyBorder="1" applyAlignment="1" applyProtection="1">
      <alignment horizontal="center"/>
      <protection locked="0"/>
    </xf>
    <xf numFmtId="186" fontId="44" fillId="5" borderId="6" xfId="0" applyNumberFormat="1" applyFont="1" applyFill="1" applyBorder="1" applyAlignment="1" applyProtection="1">
      <alignment horizontal="center"/>
      <protection locked="0"/>
    </xf>
    <xf numFmtId="186" fontId="103" fillId="5" borderId="1" xfId="0" applyNumberFormat="1" applyFont="1" applyFill="1" applyBorder="1" applyAlignment="1" applyProtection="1">
      <alignment horizontal="center"/>
      <protection locked="0"/>
    </xf>
    <xf numFmtId="186" fontId="43" fillId="5" borderId="13" xfId="0" applyNumberFormat="1" applyFont="1" applyFill="1" applyBorder="1" applyAlignment="1" applyProtection="1">
      <alignment horizontal="center"/>
    </xf>
    <xf numFmtId="0" fontId="42" fillId="6" borderId="0" xfId="1" applyFont="1" applyFill="1" applyBorder="1" applyAlignment="1" applyProtection="1">
      <alignment vertical="center"/>
      <protection locked="0"/>
    </xf>
    <xf numFmtId="178" fontId="50" fillId="5" borderId="1" xfId="0" applyNumberFormat="1" applyFont="1" applyFill="1" applyBorder="1" applyAlignment="1" applyProtection="1">
      <alignment horizontal="center" vertical="center"/>
    </xf>
    <xf numFmtId="0" fontId="43" fillId="5" borderId="21" xfId="0" applyNumberFormat="1" applyFont="1" applyFill="1" applyBorder="1" applyAlignment="1" applyProtection="1">
      <alignment vertical="center"/>
    </xf>
    <xf numFmtId="49" fontId="44" fillId="5" borderId="26"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8" fillId="5" borderId="33" xfId="0" applyNumberFormat="1" applyFont="1" applyFill="1" applyBorder="1" applyAlignment="1" applyProtection="1">
      <alignment horizontal="center" vertical="center" wrapText="1"/>
    </xf>
    <xf numFmtId="49" fontId="48" fillId="2" borderId="25" xfId="0" applyNumberFormat="1" applyFont="1" applyFill="1" applyBorder="1" applyAlignment="1" applyProtection="1">
      <alignment horizontal="center" vertical="center" wrapText="1"/>
      <protection locked="0"/>
    </xf>
    <xf numFmtId="0" fontId="55" fillId="5" borderId="26" xfId="0" applyNumberFormat="1" applyFont="1" applyFill="1" applyBorder="1" applyAlignment="1" applyProtection="1">
      <alignment horizontal="center" vertical="center" wrapText="1"/>
    </xf>
    <xf numFmtId="49" fontId="48" fillId="2" borderId="65" xfId="0" applyNumberFormat="1" applyFont="1" applyFill="1" applyBorder="1" applyAlignment="1" applyProtection="1">
      <alignment horizontal="center" vertical="center" wrapText="1"/>
      <protection locked="0"/>
    </xf>
    <xf numFmtId="49" fontId="48" fillId="2" borderId="0" xfId="0" applyNumberFormat="1" applyFont="1" applyFill="1" applyBorder="1" applyAlignment="1" applyProtection="1">
      <alignment horizontal="center" vertical="center" wrapText="1"/>
      <protection locked="0"/>
    </xf>
    <xf numFmtId="0" fontId="48" fillId="2" borderId="24" xfId="0" applyNumberFormat="1" applyFont="1" applyFill="1" applyBorder="1" applyAlignment="1" applyProtection="1">
      <alignment horizontal="center" vertical="center" wrapText="1"/>
      <protection locked="0"/>
    </xf>
    <xf numFmtId="0" fontId="41" fillId="0" borderId="24" xfId="0" applyNumberFormat="1" applyFont="1" applyFill="1" applyBorder="1" applyAlignment="1" applyProtection="1">
      <alignment horizontal="center" vertical="center" wrapText="1"/>
      <protection locked="0"/>
    </xf>
    <xf numFmtId="0" fontId="48" fillId="5" borderId="10" xfId="0" applyNumberFormat="1" applyFont="1" applyFill="1" applyBorder="1" applyAlignment="1" applyProtection="1">
      <alignment horizontal="center" vertical="center" wrapText="1"/>
    </xf>
    <xf numFmtId="0" fontId="48" fillId="5" borderId="45" xfId="0" applyNumberFormat="1" applyFont="1" applyFill="1" applyBorder="1" applyAlignment="1" applyProtection="1">
      <alignment horizontal="center" vertical="center" wrapText="1"/>
    </xf>
    <xf numFmtId="0" fontId="48" fillId="5" borderId="77" xfId="0" applyNumberFormat="1" applyFont="1" applyFill="1" applyBorder="1" applyAlignment="1" applyProtection="1">
      <alignment horizontal="center" vertical="center" wrapText="1"/>
    </xf>
    <xf numFmtId="0" fontId="48" fillId="5" borderId="69" xfId="0" applyNumberFormat="1" applyFont="1" applyFill="1" applyBorder="1" applyAlignment="1" applyProtection="1">
      <alignment horizontal="center" vertical="center" wrapText="1"/>
    </xf>
    <xf numFmtId="0" fontId="48" fillId="5" borderId="86" xfId="0" applyNumberFormat="1" applyFont="1" applyFill="1" applyBorder="1" applyAlignment="1" applyProtection="1">
      <alignment horizontal="center" vertical="center" wrapText="1"/>
    </xf>
    <xf numFmtId="0" fontId="41" fillId="5" borderId="78"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horizontal="center" vertical="center" wrapText="1"/>
    </xf>
    <xf numFmtId="0" fontId="48" fillId="2" borderId="65" xfId="0" applyNumberFormat="1" applyFont="1" applyFill="1" applyBorder="1" applyAlignment="1" applyProtection="1">
      <alignment horizontal="center" vertical="center" wrapText="1"/>
      <protection locked="0"/>
    </xf>
    <xf numFmtId="0" fontId="48" fillId="5" borderId="36" xfId="0" applyNumberFormat="1" applyFont="1" applyFill="1" applyBorder="1" applyAlignment="1" applyProtection="1">
      <alignment horizontal="center" vertical="center" wrapText="1"/>
    </xf>
    <xf numFmtId="0" fontId="41" fillId="0" borderId="6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3" fillId="5" borderId="29" xfId="0" applyFont="1" applyFill="1" applyBorder="1" applyAlignment="1" applyProtection="1">
      <alignment vertical="center" wrapText="1"/>
    </xf>
    <xf numFmtId="0" fontId="46" fillId="5" borderId="50" xfId="0" applyNumberFormat="1" applyFont="1" applyFill="1" applyBorder="1" applyAlignment="1" applyProtection="1">
      <alignment horizontal="center" vertical="center" wrapText="1"/>
    </xf>
    <xf numFmtId="0" fontId="48" fillId="5" borderId="19" xfId="0" applyNumberFormat="1" applyFont="1" applyFill="1" applyBorder="1" applyAlignment="1" applyProtection="1">
      <alignment horizontal="center" vertical="center" wrapText="1"/>
    </xf>
    <xf numFmtId="0" fontId="51" fillId="5" borderId="17" xfId="0" applyFont="1" applyFill="1" applyBorder="1" applyAlignment="1" applyProtection="1">
      <alignment horizontal="center" vertical="center"/>
    </xf>
    <xf numFmtId="0" fontId="55" fillId="5" borderId="125" xfId="0" applyFont="1" applyFill="1" applyBorder="1" applyAlignment="1" applyProtection="1">
      <alignment vertical="center"/>
      <protection locked="0"/>
    </xf>
    <xf numFmtId="0" fontId="47" fillId="5" borderId="46" xfId="0" applyNumberFormat="1" applyFont="1" applyFill="1" applyBorder="1" applyAlignment="1" applyProtection="1">
      <alignment horizontal="right" vertical="center" wrapText="1"/>
    </xf>
    <xf numFmtId="0" fontId="47" fillId="5" borderId="38" xfId="0" applyNumberFormat="1" applyFont="1" applyFill="1" applyBorder="1" applyAlignment="1" applyProtection="1">
      <alignment vertical="center" wrapText="1"/>
    </xf>
    <xf numFmtId="0" fontId="72" fillId="3" borderId="47" xfId="0" applyNumberFormat="1" applyFont="1" applyFill="1" applyBorder="1" applyAlignment="1" applyProtection="1">
      <alignment vertical="center" wrapText="1"/>
      <protection locked="0"/>
    </xf>
    <xf numFmtId="0" fontId="72" fillId="5" borderId="47" xfId="0" applyNumberFormat="1" applyFont="1" applyFill="1" applyBorder="1" applyAlignment="1" applyProtection="1">
      <alignment vertical="center" wrapText="1"/>
    </xf>
    <xf numFmtId="0" fontId="72" fillId="3" borderId="46" xfId="0" applyNumberFormat="1" applyFont="1" applyFill="1" applyBorder="1" applyAlignment="1" applyProtection="1">
      <alignment vertical="center" wrapText="1"/>
      <protection locked="0"/>
    </xf>
    <xf numFmtId="0" fontId="72" fillId="5" borderId="38" xfId="0" applyNumberFormat="1" applyFont="1" applyFill="1" applyBorder="1" applyAlignment="1" applyProtection="1">
      <alignment vertical="center" wrapText="1"/>
    </xf>
    <xf numFmtId="0" fontId="47" fillId="5" borderId="20" xfId="0" applyNumberFormat="1" applyFont="1" applyFill="1" applyBorder="1" applyAlignment="1" applyProtection="1">
      <alignment vertical="center" wrapText="1"/>
    </xf>
    <xf numFmtId="0" fontId="47" fillId="5" borderId="48" xfId="0" applyNumberFormat="1" applyFont="1" applyFill="1" applyBorder="1" applyAlignment="1" applyProtection="1">
      <alignment vertical="center" wrapText="1"/>
    </xf>
    <xf numFmtId="0" fontId="47" fillId="5" borderId="40" xfId="0" applyNumberFormat="1" applyFont="1" applyFill="1" applyBorder="1" applyAlignment="1" applyProtection="1">
      <alignment vertical="center" wrapText="1"/>
    </xf>
    <xf numFmtId="9" fontId="41" fillId="5" borderId="0" xfId="0" applyNumberFormat="1" applyFont="1" applyFill="1" applyBorder="1" applyAlignment="1" applyProtection="1">
      <alignment horizontal="center" vertical="center" wrapText="1"/>
    </xf>
    <xf numFmtId="0" fontId="53" fillId="5" borderId="0" xfId="0" applyFont="1" applyFill="1" applyBorder="1" applyAlignment="1" applyProtection="1">
      <protection locked="0"/>
    </xf>
    <xf numFmtId="0" fontId="48" fillId="5" borderId="0" xfId="0" applyFont="1" applyFill="1" applyBorder="1" applyAlignment="1" applyProtection="1">
      <alignment horizontal="center"/>
      <protection locked="0"/>
    </xf>
    <xf numFmtId="177" fontId="50" fillId="0" borderId="1" xfId="1" applyNumberFormat="1" applyFont="1" applyFill="1" applyBorder="1" applyAlignment="1" applyProtection="1">
      <alignment horizontal="center" vertical="center"/>
      <protection locked="0"/>
    </xf>
    <xf numFmtId="0" fontId="51" fillId="5" borderId="1" xfId="1" applyFont="1" applyFill="1" applyBorder="1" applyAlignment="1" applyProtection="1">
      <alignment horizontal="center" vertical="center"/>
    </xf>
    <xf numFmtId="179" fontId="50" fillId="5" borderId="1" xfId="1" applyNumberFormat="1" applyFont="1" applyFill="1" applyBorder="1" applyAlignment="1" applyProtection="1">
      <alignment horizontal="center" vertical="center"/>
    </xf>
    <xf numFmtId="0" fontId="50" fillId="5" borderId="1" xfId="1" applyFont="1" applyFill="1" applyBorder="1" applyAlignment="1" applyProtection="1">
      <alignment horizontal="center" vertical="center"/>
    </xf>
    <xf numFmtId="10" fontId="50" fillId="5" borderId="1" xfId="1" applyNumberFormat="1" applyFont="1" applyFill="1" applyBorder="1" applyAlignment="1" applyProtection="1">
      <alignment horizontal="center" vertical="center"/>
    </xf>
    <xf numFmtId="177" fontId="50" fillId="5" borderId="1" xfId="1" applyNumberFormat="1" applyFont="1" applyFill="1" applyBorder="1" applyAlignment="1" applyProtection="1">
      <alignment vertical="center"/>
    </xf>
    <xf numFmtId="177" fontId="56" fillId="5" borderId="1" xfId="1" applyNumberFormat="1" applyFont="1" applyFill="1" applyBorder="1" applyAlignment="1" applyProtection="1">
      <alignment horizontal="center" vertical="center"/>
    </xf>
    <xf numFmtId="179" fontId="56" fillId="5" borderId="1" xfId="1" applyNumberFormat="1" applyFont="1" applyFill="1" applyBorder="1" applyAlignment="1" applyProtection="1">
      <alignment horizontal="center" vertical="center"/>
    </xf>
    <xf numFmtId="0" fontId="50" fillId="5" borderId="0" xfId="1" applyFont="1" applyFill="1" applyBorder="1" applyAlignment="1" applyProtection="1">
      <alignment horizontal="center" vertical="center"/>
    </xf>
    <xf numFmtId="0" fontId="50" fillId="5" borderId="1" xfId="0" applyFont="1" applyFill="1" applyBorder="1" applyAlignment="1" applyProtection="1">
      <alignment vertical="center"/>
    </xf>
    <xf numFmtId="179" fontId="51" fillId="5" borderId="1" xfId="1" applyNumberFormat="1" applyFont="1" applyFill="1" applyBorder="1" applyAlignment="1" applyProtection="1">
      <alignment horizontal="center" vertical="center"/>
    </xf>
    <xf numFmtId="9" fontId="51" fillId="5" borderId="1" xfId="1" applyNumberFormat="1" applyFont="1" applyFill="1" applyBorder="1" applyAlignment="1" applyProtection="1">
      <alignment horizontal="center" vertical="center"/>
    </xf>
    <xf numFmtId="49" fontId="54" fillId="5" borderId="51" xfId="1" applyNumberFormat="1" applyFont="1" applyFill="1" applyBorder="1" applyAlignment="1" applyProtection="1">
      <alignment vertical="center"/>
    </xf>
    <xf numFmtId="181" fontId="51" fillId="5" borderId="2" xfId="1" applyNumberFormat="1" applyFont="1" applyFill="1" applyBorder="1" applyAlignment="1" applyProtection="1">
      <alignment horizontal="center" vertical="center"/>
    </xf>
    <xf numFmtId="10" fontId="50" fillId="5" borderId="2" xfId="1" applyNumberFormat="1" applyFont="1" applyFill="1" applyBorder="1" applyAlignment="1" applyProtection="1">
      <alignment horizontal="center" vertical="center"/>
    </xf>
    <xf numFmtId="177" fontId="50" fillId="5" borderId="2" xfId="1" applyNumberFormat="1" applyFont="1" applyFill="1" applyBorder="1" applyAlignment="1" applyProtection="1">
      <alignment horizontal="right" vertical="center"/>
    </xf>
    <xf numFmtId="0" fontId="41" fillId="0" borderId="2" xfId="0" applyNumberFormat="1" applyFont="1" applyFill="1" applyBorder="1" applyAlignment="1" applyProtection="1">
      <alignment horizontal="center" vertical="center" wrapText="1"/>
      <protection locked="0"/>
    </xf>
    <xf numFmtId="14" fontId="48" fillId="5" borderId="0" xfId="0" applyNumberFormat="1" applyFont="1" applyFill="1" applyAlignment="1" applyProtection="1">
      <alignment horizontal="center" vertical="center"/>
    </xf>
    <xf numFmtId="0" fontId="41" fillId="5" borderId="28"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41" fillId="0" borderId="30" xfId="0" applyNumberFormat="1" applyFont="1" applyFill="1" applyBorder="1" applyAlignment="1" applyProtection="1">
      <alignment horizontal="center" vertical="center" wrapText="1"/>
      <protection locked="0"/>
    </xf>
    <xf numFmtId="0" fontId="41" fillId="5" borderId="27" xfId="0" applyNumberFormat="1" applyFont="1" applyFill="1" applyBorder="1" applyAlignment="1" applyProtection="1">
      <alignment horizontal="center" vertical="center" wrapText="1"/>
      <protection locked="0"/>
    </xf>
    <xf numFmtId="190" fontId="41" fillId="5" borderId="28" xfId="0" applyNumberFormat="1" applyFont="1" applyFill="1" applyBorder="1" applyAlignment="1" applyProtection="1">
      <alignment horizontal="center" vertical="center" wrapText="1"/>
    </xf>
    <xf numFmtId="190" fontId="41" fillId="5" borderId="11" xfId="0" applyNumberFormat="1" applyFont="1" applyFill="1" applyBorder="1" applyAlignment="1" applyProtection="1">
      <alignment horizontal="center" vertical="center" wrapText="1"/>
    </xf>
    <xf numFmtId="190" fontId="41" fillId="0" borderId="11" xfId="0" applyNumberFormat="1" applyFont="1" applyFill="1" applyBorder="1" applyAlignment="1" applyProtection="1">
      <alignment horizontal="center" vertical="center" wrapText="1"/>
    </xf>
    <xf numFmtId="0" fontId="134" fillId="0" borderId="1" xfId="0" applyFont="1" applyBorder="1" applyAlignment="1" applyProtection="1">
      <alignment horizontal="center" vertical="center"/>
    </xf>
    <xf numFmtId="17" fontId="49" fillId="0" borderId="94" xfId="0" applyNumberFormat="1" applyFont="1" applyFill="1" applyBorder="1" applyAlignment="1" applyProtection="1">
      <alignment vertical="center" wrapText="1"/>
      <protection locked="0"/>
    </xf>
    <xf numFmtId="0" fontId="44" fillId="5" borderId="159" xfId="0" applyFont="1" applyFill="1" applyBorder="1" applyAlignment="1" applyProtection="1">
      <alignment vertical="center" wrapText="1"/>
    </xf>
    <xf numFmtId="0" fontId="44" fillId="5" borderId="160" xfId="0" applyFont="1" applyFill="1" applyBorder="1" applyAlignment="1" applyProtection="1">
      <alignment vertical="center" wrapText="1"/>
    </xf>
    <xf numFmtId="0" fontId="131" fillId="0" borderId="32" xfId="12" applyFont="1" applyBorder="1" applyAlignment="1" applyProtection="1">
      <alignment horizontal="left" vertical="center"/>
    </xf>
    <xf numFmtId="0" fontId="131" fillId="0" borderId="17" xfId="12" applyFont="1" applyBorder="1" applyAlignment="1" applyProtection="1">
      <alignment horizontal="left" vertical="center"/>
    </xf>
    <xf numFmtId="0" fontId="131" fillId="0" borderId="49" xfId="12" applyFont="1" applyBorder="1" applyAlignment="1" applyProtection="1">
      <alignment horizontal="left" vertical="center"/>
    </xf>
    <xf numFmtId="0" fontId="131" fillId="0" borderId="1" xfId="12" applyFont="1" applyBorder="1" applyAlignment="1" applyProtection="1">
      <alignment horizontal="left" vertical="center"/>
    </xf>
    <xf numFmtId="0" fontId="131" fillId="0" borderId="75" xfId="12" applyFont="1" applyBorder="1" applyAlignment="1" applyProtection="1">
      <alignment horizontal="left" vertical="center"/>
    </xf>
    <xf numFmtId="0" fontId="131" fillId="0" borderId="74" xfId="12" applyFont="1" applyBorder="1" applyAlignment="1" applyProtection="1">
      <alignment horizontal="left" vertical="center"/>
    </xf>
    <xf numFmtId="0" fontId="131" fillId="0" borderId="54" xfId="12" applyFont="1" applyBorder="1" applyAlignment="1" applyProtection="1">
      <alignment horizontal="left" vertical="center"/>
    </xf>
    <xf numFmtId="14" fontId="131" fillId="0" borderId="1" xfId="12" applyNumberFormat="1" applyFont="1" applyBorder="1" applyAlignment="1" applyProtection="1">
      <alignment horizontal="left" vertical="center"/>
    </xf>
    <xf numFmtId="0" fontId="131" fillId="0" borderId="0" xfId="12" applyFont="1" applyAlignment="1" applyProtection="1">
      <alignment horizontal="left" vertical="center"/>
    </xf>
    <xf numFmtId="14" fontId="131" fillId="0" borderId="17" xfId="12" applyNumberFormat="1" applyFont="1" applyBorder="1" applyAlignment="1" applyProtection="1">
      <alignment horizontal="left" vertical="center"/>
    </xf>
    <xf numFmtId="193" fontId="98" fillId="0" borderId="75" xfId="12" applyNumberFormat="1" applyFont="1" applyBorder="1" applyAlignment="1" applyProtection="1">
      <alignment horizontal="left" vertical="center"/>
    </xf>
    <xf numFmtId="0" fontId="95" fillId="0" borderId="75" xfId="12" applyFont="1" applyBorder="1" applyAlignment="1" applyProtection="1">
      <alignment horizontal="left" vertical="center" wrapText="1"/>
    </xf>
    <xf numFmtId="0" fontId="134" fillId="0" borderId="18" xfId="0" applyFont="1" applyBorder="1" applyAlignment="1" applyProtection="1">
      <alignment horizontal="left" vertical="center"/>
    </xf>
    <xf numFmtId="0" fontId="157" fillId="0" borderId="90" xfId="12" applyFont="1" applyBorder="1" applyProtection="1">
      <alignment vertical="center"/>
    </xf>
    <xf numFmtId="0" fontId="95" fillId="0" borderId="17" xfId="12" applyFont="1" applyBorder="1" applyAlignment="1" applyProtection="1">
      <alignment vertical="center" wrapText="1"/>
    </xf>
    <xf numFmtId="0" fontId="157" fillId="0" borderId="0" xfId="12" applyFont="1" applyBorder="1" applyProtection="1">
      <alignment vertical="center"/>
    </xf>
    <xf numFmtId="0" fontId="95" fillId="0" borderId="1" xfId="12" applyFont="1" applyBorder="1" applyAlignment="1" applyProtection="1">
      <alignment vertical="center" wrapText="1"/>
    </xf>
    <xf numFmtId="0" fontId="95"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4" fillId="5" borderId="17" xfId="0" applyFont="1" applyFill="1" applyBorder="1" applyAlignment="1" applyProtection="1">
      <alignment horizontal="right" vertical="center"/>
    </xf>
    <xf numFmtId="0" fontId="54" fillId="6" borderId="89" xfId="1" applyFont="1" applyFill="1" applyBorder="1" applyAlignment="1" applyProtection="1">
      <alignment vertical="center"/>
      <protection locked="0"/>
    </xf>
    <xf numFmtId="0" fontId="54" fillId="5" borderId="17" xfId="1" applyFont="1" applyFill="1" applyBorder="1" applyAlignment="1" applyProtection="1">
      <alignment vertical="center"/>
    </xf>
    <xf numFmtId="0" fontId="102" fillId="5" borderId="85" xfId="0" applyFont="1" applyFill="1" applyBorder="1" applyAlignment="1" applyProtection="1">
      <alignment vertical="center"/>
    </xf>
    <xf numFmtId="0" fontId="54" fillId="6" borderId="75" xfId="1" applyFont="1" applyFill="1" applyBorder="1" applyAlignment="1" applyProtection="1">
      <alignment vertical="center"/>
      <protection locked="0"/>
    </xf>
    <xf numFmtId="0" fontId="59" fillId="5" borderId="126" xfId="0" applyFont="1" applyFill="1" applyBorder="1" applyAlignment="1" applyProtection="1">
      <alignment vertical="center"/>
      <protection locked="0"/>
    </xf>
    <xf numFmtId="0" fontId="67" fillId="5" borderId="126" xfId="0" applyFont="1" applyFill="1" applyBorder="1" applyAlignment="1" applyProtection="1">
      <alignment vertical="center"/>
      <protection locked="0"/>
    </xf>
    <xf numFmtId="189" fontId="59" fillId="5" borderId="126" xfId="0" applyNumberFormat="1" applyFont="1" applyFill="1" applyBorder="1" applyAlignment="1" applyProtection="1">
      <alignment horizontal="center" vertical="center"/>
      <protection locked="0"/>
    </xf>
    <xf numFmtId="181" fontId="59" fillId="5" borderId="126" xfId="0" applyNumberFormat="1" applyFont="1" applyFill="1" applyBorder="1" applyAlignment="1" applyProtection="1">
      <alignment vertical="center"/>
    </xf>
    <xf numFmtId="0" fontId="59" fillId="5" borderId="126"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61" fillId="5" borderId="90" xfId="0" applyFont="1" applyFill="1" applyBorder="1" applyAlignment="1" applyProtection="1">
      <alignment horizontal="center" vertical="center"/>
    </xf>
    <xf numFmtId="0" fontId="61" fillId="0" borderId="90" xfId="0" applyFont="1" applyFill="1" applyBorder="1" applyAlignment="1" applyProtection="1">
      <alignment horizontal="center" vertical="center"/>
      <protection locked="0"/>
    </xf>
    <xf numFmtId="0" fontId="55" fillId="5" borderId="17" xfId="0" applyFont="1" applyFill="1" applyBorder="1" applyAlignment="1" applyProtection="1">
      <alignment vertical="center"/>
      <protection locked="0"/>
    </xf>
    <xf numFmtId="0" fontId="59" fillId="5" borderId="126" xfId="0" applyFont="1" applyFill="1" applyBorder="1" applyAlignment="1" applyProtection="1">
      <alignment vertical="center"/>
    </xf>
    <xf numFmtId="0" fontId="67" fillId="5" borderId="126" xfId="0" applyFont="1" applyFill="1" applyBorder="1" applyAlignment="1" applyProtection="1">
      <alignment vertical="center"/>
    </xf>
    <xf numFmtId="189" fontId="59" fillId="5" borderId="126" xfId="0" applyNumberFormat="1" applyFont="1" applyFill="1" applyBorder="1" applyAlignment="1" applyProtection="1">
      <alignment horizontal="center" vertical="center"/>
    </xf>
    <xf numFmtId="0" fontId="0" fillId="0" borderId="0" xfId="0" applyAlignment="1"/>
    <xf numFmtId="0" fontId="96" fillId="5" borderId="0" xfId="0" applyFont="1" applyFill="1" applyAlignment="1"/>
    <xf numFmtId="0" fontId="138" fillId="5" borderId="0" xfId="2" applyFont="1" applyFill="1"/>
    <xf numFmtId="0" fontId="18" fillId="5" borderId="0" xfId="2" applyFont="1" applyFill="1"/>
    <xf numFmtId="0" fontId="18" fillId="5" borderId="4" xfId="2" applyFont="1" applyFill="1" applyBorder="1"/>
    <xf numFmtId="0" fontId="140" fillId="5" borderId="11" xfId="2" applyFont="1" applyFill="1" applyBorder="1" applyAlignment="1">
      <alignment horizontal="center" vertical="center" wrapText="1"/>
    </xf>
    <xf numFmtId="0" fontId="18" fillId="5" borderId="31" xfId="2" applyFont="1" applyFill="1" applyBorder="1" applyAlignment="1">
      <alignment horizontal="center"/>
    </xf>
    <xf numFmtId="0" fontId="140" fillId="5" borderId="4" xfId="2" applyFont="1" applyFill="1" applyBorder="1" applyAlignment="1">
      <alignment horizontal="center" vertical="center" wrapText="1"/>
    </xf>
    <xf numFmtId="0" fontId="18" fillId="5" borderId="11" xfId="2" applyNumberFormat="1" applyFont="1" applyFill="1" applyBorder="1" applyAlignment="1">
      <alignment horizontal="center"/>
    </xf>
    <xf numFmtId="0" fontId="18" fillId="0" borderId="0" xfId="2" applyFont="1"/>
    <xf numFmtId="0" fontId="18" fillId="5" borderId="7" xfId="2" applyFont="1" applyFill="1" applyBorder="1"/>
    <xf numFmtId="0" fontId="140" fillId="5" borderId="1" xfId="2" applyFont="1" applyFill="1" applyBorder="1" applyAlignment="1">
      <alignment horizontal="center" vertical="center" wrapText="1"/>
    </xf>
    <xf numFmtId="0" fontId="18" fillId="5" borderId="6" xfId="2" applyFont="1" applyFill="1" applyBorder="1" applyAlignment="1">
      <alignment horizontal="center"/>
    </xf>
    <xf numFmtId="0" fontId="140" fillId="5" borderId="7" xfId="2" applyFont="1" applyFill="1" applyBorder="1" applyAlignment="1">
      <alignment horizontal="center" vertical="center" wrapText="1"/>
    </xf>
    <xf numFmtId="0" fontId="18" fillId="5" borderId="1" xfId="2" applyNumberFormat="1" applyFont="1" applyFill="1" applyBorder="1" applyAlignment="1">
      <alignment horizontal="center"/>
    </xf>
    <xf numFmtId="0" fontId="18" fillId="5" borderId="8" xfId="2" applyFont="1" applyFill="1" applyBorder="1"/>
    <xf numFmtId="0" fontId="140" fillId="5" borderId="61" xfId="2" applyFont="1" applyFill="1" applyBorder="1" applyAlignment="1">
      <alignment horizontal="center" vertical="center" wrapText="1"/>
    </xf>
    <xf numFmtId="0" fontId="18" fillId="5" borderId="43" xfId="2" applyFont="1" applyFill="1" applyBorder="1" applyAlignment="1">
      <alignment horizontal="center"/>
    </xf>
    <xf numFmtId="0" fontId="140" fillId="5" borderId="8" xfId="2" applyFont="1" applyFill="1" applyBorder="1" applyAlignment="1">
      <alignment horizontal="center" vertical="center" wrapText="1"/>
    </xf>
    <xf numFmtId="0" fontId="18" fillId="5" borderId="61" xfId="2" applyNumberFormat="1" applyFont="1" applyFill="1" applyBorder="1" applyAlignment="1">
      <alignment horizontal="center"/>
    </xf>
    <xf numFmtId="0" fontId="18" fillId="5" borderId="0" xfId="2" applyNumberFormat="1" applyFont="1" applyFill="1" applyAlignment="1">
      <alignment horizontal="center"/>
    </xf>
    <xf numFmtId="0" fontId="18" fillId="5" borderId="0" xfId="2" applyFont="1" applyFill="1" applyAlignment="1">
      <alignment horizontal="right"/>
    </xf>
    <xf numFmtId="14" fontId="18"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40" fillId="5" borderId="0" xfId="2" applyFont="1" applyFill="1" applyAlignment="1"/>
    <xf numFmtId="0" fontId="149" fillId="5" borderId="18" xfId="2" applyFont="1" applyFill="1" applyBorder="1" applyAlignment="1">
      <alignment horizontal="center" vertical="center"/>
    </xf>
    <xf numFmtId="0" fontId="149" fillId="5" borderId="18" xfId="2" applyFont="1" applyFill="1" applyBorder="1" applyAlignment="1">
      <alignment vertical="center"/>
    </xf>
    <xf numFmtId="0" fontId="149" fillId="5" borderId="2" xfId="2" applyFont="1" applyFill="1" applyBorder="1" applyAlignment="1">
      <alignment vertical="center"/>
    </xf>
    <xf numFmtId="0" fontId="149" fillId="5" borderId="3" xfId="2" applyFont="1" applyFill="1" applyBorder="1" applyAlignment="1">
      <alignment vertical="center"/>
    </xf>
    <xf numFmtId="0" fontId="149" fillId="5" borderId="51" xfId="2" applyFont="1" applyFill="1" applyBorder="1" applyAlignment="1">
      <alignment vertical="center"/>
    </xf>
    <xf numFmtId="0" fontId="140" fillId="0" borderId="0" xfId="2" applyFont="1" applyAlignment="1"/>
    <xf numFmtId="0" fontId="140" fillId="5" borderId="0" xfId="2" applyFont="1" applyFill="1"/>
    <xf numFmtId="0" fontId="149" fillId="5" borderId="17" xfId="2" applyFont="1" applyFill="1" applyBorder="1" applyAlignment="1">
      <alignment horizontal="center" vertical="center" wrapText="1"/>
    </xf>
    <xf numFmtId="0" fontId="149" fillId="5" borderId="17" xfId="2" applyFont="1" applyFill="1" applyBorder="1" applyAlignment="1">
      <alignment vertical="center" wrapText="1"/>
    </xf>
    <xf numFmtId="0" fontId="18" fillId="5" borderId="1" xfId="2" applyFont="1" applyFill="1" applyBorder="1"/>
    <xf numFmtId="0" fontId="149" fillId="5" borderId="1" xfId="2" applyFont="1" applyFill="1" applyBorder="1" applyAlignment="1">
      <alignment horizontal="center" vertical="center" wrapText="1"/>
    </xf>
    <xf numFmtId="0" fontId="140"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8" fillId="5" borderId="1" xfId="2" applyFont="1" applyFill="1" applyBorder="1" applyAlignment="1">
      <alignment horizontal="center" wrapText="1"/>
    </xf>
    <xf numFmtId="14" fontId="18"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5" fillId="5" borderId="1" xfId="2" applyNumberFormat="1" applyFont="1" applyFill="1" applyBorder="1" applyAlignment="1">
      <alignment horizontal="center" wrapText="1"/>
    </xf>
    <xf numFmtId="0" fontId="18" fillId="5" borderId="0" xfId="2" applyFont="1" applyFill="1" applyBorder="1" applyAlignment="1">
      <alignment horizontal="center" wrapText="1"/>
    </xf>
    <xf numFmtId="14" fontId="18" fillId="5" borderId="0" xfId="2" applyNumberFormat="1" applyFont="1" applyFill="1" applyBorder="1" applyAlignment="1">
      <alignment horizontal="center" wrapText="1"/>
    </xf>
    <xf numFmtId="0" fontId="138" fillId="5" borderId="90" xfId="2" applyFont="1" applyFill="1" applyBorder="1"/>
    <xf numFmtId="0" fontId="138" fillId="5" borderId="75" xfId="2" applyFont="1" applyFill="1" applyBorder="1" applyAlignment="1">
      <alignment horizontal="center"/>
    </xf>
    <xf numFmtId="177" fontId="138" fillId="5" borderId="90" xfId="2" applyNumberFormat="1" applyFont="1" applyFill="1" applyBorder="1" applyAlignment="1">
      <alignment horizontal="center"/>
    </xf>
    <xf numFmtId="0" fontId="138" fillId="0" borderId="90" xfId="2" applyFont="1" applyBorder="1"/>
    <xf numFmtId="0" fontId="96" fillId="0" borderId="90" xfId="0" applyFont="1" applyBorder="1" applyAlignment="1"/>
    <xf numFmtId="0" fontId="96"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5" fillId="0" borderId="1" xfId="5" applyFont="1" applyFill="1" applyBorder="1" applyAlignment="1">
      <alignment horizontal="left" vertical="center"/>
    </xf>
    <xf numFmtId="0" fontId="51" fillId="5" borderId="1" xfId="0" applyNumberFormat="1" applyFont="1" applyFill="1" applyBorder="1" applyAlignment="1" applyProtection="1">
      <alignment horizontal="right" vertical="center"/>
    </xf>
    <xf numFmtId="0" fontId="44" fillId="6" borderId="1" xfId="0" applyFont="1" applyFill="1" applyBorder="1" applyAlignment="1" applyProtection="1">
      <alignment horizontal="left" vertical="center"/>
      <protection locked="0"/>
    </xf>
    <xf numFmtId="0" fontId="171" fillId="0" borderId="0" xfId="0" applyFont="1">
      <alignment vertical="center"/>
    </xf>
    <xf numFmtId="0" fontId="173" fillId="0" borderId="1" xfId="13" applyFont="1" applyBorder="1" applyAlignment="1" applyProtection="1">
      <alignment horizontal="left" vertical="center" wrapText="1"/>
      <protection locked="0"/>
    </xf>
    <xf numFmtId="181" fontId="44" fillId="5" borderId="0" xfId="0" applyNumberFormat="1" applyFont="1" applyFill="1" applyProtection="1">
      <alignment vertical="center"/>
    </xf>
    <xf numFmtId="0" fontId="174" fillId="5" borderId="1" xfId="0" applyFont="1" applyFill="1" applyBorder="1" applyAlignment="1" applyProtection="1">
      <alignment horizontal="left" vertical="center" wrapText="1"/>
    </xf>
    <xf numFmtId="0" fontId="44" fillId="8" borderId="0" xfId="0" applyFont="1" applyFill="1" applyProtection="1">
      <alignment vertical="center"/>
    </xf>
    <xf numFmtId="0" fontId="100" fillId="5" borderId="0" xfId="0" applyFont="1" applyFill="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protection locked="0"/>
    </xf>
    <xf numFmtId="0" fontId="100" fillId="5" borderId="11" xfId="0" applyNumberFormat="1" applyFont="1" applyFill="1" applyBorder="1" applyAlignment="1" applyProtection="1">
      <alignment horizontal="center" vertical="center" wrapText="1"/>
    </xf>
    <xf numFmtId="0" fontId="100" fillId="5" borderId="11" xfId="0" applyNumberFormat="1" applyFont="1" applyFill="1" applyBorder="1" applyAlignment="1" applyProtection="1">
      <alignment horizontal="left" vertical="center" wrapText="1"/>
    </xf>
    <xf numFmtId="0" fontId="100" fillId="5" borderId="31" xfId="0" applyNumberFormat="1" applyFont="1" applyFill="1" applyBorder="1" applyAlignment="1" applyProtection="1">
      <alignment horizontal="center" vertical="center" wrapText="1"/>
    </xf>
    <xf numFmtId="0" fontId="119" fillId="5" borderId="6" xfId="0" applyFont="1" applyFill="1" applyBorder="1" applyAlignment="1" applyProtection="1">
      <alignment horizontal="left" vertical="center"/>
    </xf>
    <xf numFmtId="0" fontId="44" fillId="5" borderId="77" xfId="0" applyFont="1" applyFill="1" applyBorder="1" applyAlignment="1" applyProtection="1">
      <alignment vertical="center" wrapText="1"/>
    </xf>
    <xf numFmtId="0" fontId="44" fillId="5" borderId="78" xfId="0" applyFont="1" applyFill="1" applyBorder="1" applyAlignment="1" applyProtection="1">
      <alignment vertical="center" wrapText="1"/>
    </xf>
    <xf numFmtId="181" fontId="55" fillId="5" borderId="2" xfId="0" applyNumberFormat="1" applyFont="1" applyFill="1" applyBorder="1" applyAlignment="1" applyProtection="1">
      <alignment horizontal="center" vertical="center"/>
    </xf>
    <xf numFmtId="181" fontId="55" fillId="5" borderId="11" xfId="0" applyNumberFormat="1" applyFont="1" applyFill="1" applyBorder="1" applyAlignment="1" applyProtection="1">
      <alignment horizontal="center" vertical="center"/>
    </xf>
    <xf numFmtId="9" fontId="55" fillId="5" borderId="1" xfId="0" applyNumberFormat="1"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protection locked="0"/>
    </xf>
    <xf numFmtId="0" fontId="55" fillId="5" borderId="1" xfId="0" applyFont="1" applyFill="1" applyBorder="1" applyAlignment="1">
      <alignment horizontal="center"/>
    </xf>
    <xf numFmtId="0" fontId="44" fillId="5" borderId="37" xfId="0" applyFont="1" applyFill="1" applyBorder="1" applyAlignment="1" applyProtection="1">
      <alignment horizontal="center" vertical="center"/>
      <protection locked="0"/>
    </xf>
    <xf numFmtId="0" fontId="44" fillId="5" borderId="79" xfId="0" applyFont="1" applyFill="1" applyBorder="1" applyAlignment="1" applyProtection="1">
      <alignment horizontal="center" vertical="center"/>
      <protection locked="0"/>
    </xf>
    <xf numFmtId="0" fontId="44" fillId="6" borderId="56" xfId="0" applyFont="1" applyFill="1" applyBorder="1" applyAlignment="1" applyProtection="1">
      <alignment horizontal="center" vertical="center"/>
      <protection locked="0"/>
    </xf>
    <xf numFmtId="0" fontId="41" fillId="5" borderId="1" xfId="0" applyFont="1" applyFill="1" applyBorder="1" applyAlignment="1" applyProtection="1">
      <alignment horizontal="center" vertical="center" wrapText="1"/>
    </xf>
    <xf numFmtId="0" fontId="44" fillId="5" borderId="2"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51"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xf>
    <xf numFmtId="0" fontId="44" fillId="5" borderId="2" xfId="0" applyFont="1" applyFill="1" applyBorder="1" applyAlignment="1" applyProtection="1">
      <alignment horizontal="center" vertical="center"/>
    </xf>
    <xf numFmtId="0" fontId="44" fillId="5" borderId="51" xfId="0" applyFont="1" applyFill="1" applyBorder="1" applyAlignment="1" applyProtection="1">
      <alignment horizontal="center" vertical="center"/>
    </xf>
    <xf numFmtId="0" fontId="48" fillId="5" borderId="1"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0" fontId="48" fillId="5" borderId="1" xfId="0" applyNumberFormat="1" applyFont="1" applyFill="1" applyBorder="1" applyAlignment="1" applyProtection="1">
      <alignment horizontal="center" vertical="center"/>
    </xf>
    <xf numFmtId="0" fontId="54"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5"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100" fillId="0" borderId="0" xfId="0" applyFont="1">
      <alignment vertical="center"/>
    </xf>
    <xf numFmtId="0" fontId="100"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2" fillId="0" borderId="0" xfId="0" applyFont="1" applyAlignment="1">
      <alignment vertical="center" wrapText="1"/>
    </xf>
    <xf numFmtId="0" fontId="192" fillId="0" borderId="0" xfId="0" applyFont="1">
      <alignment vertical="center"/>
    </xf>
    <xf numFmtId="0" fontId="100" fillId="0" borderId="0" xfId="0" applyFont="1" applyAlignment="1">
      <alignment vertical="center" wrapText="1"/>
    </xf>
    <xf numFmtId="0" fontId="132" fillId="0" borderId="0" xfId="0" applyFont="1" applyFill="1" applyAlignment="1">
      <alignment vertical="center" wrapText="1"/>
    </xf>
    <xf numFmtId="0" fontId="132" fillId="0" borderId="0" xfId="0" applyFont="1" applyAlignment="1">
      <alignment horizontal="left" vertical="center" wrapText="1"/>
    </xf>
    <xf numFmtId="0" fontId="100" fillId="0" borderId="0" xfId="0" applyFont="1" applyAlignment="1">
      <alignment horizontal="left" vertical="center"/>
    </xf>
    <xf numFmtId="184" fontId="132" fillId="0" borderId="0" xfId="0" applyNumberFormat="1" applyFont="1" applyAlignment="1">
      <alignment horizontal="left" vertical="center"/>
    </xf>
    <xf numFmtId="184" fontId="132" fillId="0" borderId="0" xfId="0" applyNumberFormat="1" applyFont="1" applyAlignment="1">
      <alignment vertical="center"/>
    </xf>
    <xf numFmtId="0" fontId="193" fillId="0" borderId="0" xfId="0" applyFont="1" applyAlignment="1">
      <alignment vertical="center" wrapText="1"/>
    </xf>
    <xf numFmtId="0" fontId="132" fillId="0" borderId="0" xfId="0" applyFont="1">
      <alignment vertical="center"/>
    </xf>
    <xf numFmtId="0" fontId="95" fillId="0" borderId="0" xfId="0" applyFont="1" applyProtection="1">
      <alignment vertical="center"/>
    </xf>
    <xf numFmtId="0" fontId="95"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3"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3"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3" fillId="0" borderId="17" xfId="0" applyFont="1" applyBorder="1" applyProtection="1">
      <alignment vertical="center"/>
    </xf>
    <xf numFmtId="0" fontId="123" fillId="0" borderId="17" xfId="0" applyFont="1" applyBorder="1" applyAlignment="1" applyProtection="1">
      <alignment horizontal="center" vertical="center"/>
    </xf>
    <xf numFmtId="0" fontId="157" fillId="0" borderId="17" xfId="0" applyFont="1" applyBorder="1" applyProtection="1">
      <alignment vertical="center"/>
    </xf>
    <xf numFmtId="0" fontId="123"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3" fillId="0" borderId="1" xfId="0" applyFont="1" applyBorder="1" applyProtection="1">
      <alignment vertical="center"/>
    </xf>
    <xf numFmtId="0" fontId="123" fillId="0" borderId="1" xfId="0" applyFont="1" applyBorder="1" applyAlignment="1" applyProtection="1">
      <alignment horizontal="center" vertical="center"/>
    </xf>
    <xf numFmtId="0" fontId="123" fillId="0" borderId="1" xfId="0" applyFont="1" applyBorder="1" applyAlignment="1" applyProtection="1">
      <alignment horizontal="center" vertical="center" wrapText="1"/>
    </xf>
    <xf numFmtId="0" fontId="123"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2" fillId="0" borderId="0" xfId="0" applyFont="1" applyProtection="1">
      <alignment vertical="center"/>
    </xf>
    <xf numFmtId="0" fontId="210" fillId="0" borderId="0" xfId="0" applyFont="1" applyBorder="1" applyAlignment="1">
      <alignment horizontal="center" vertical="center" wrapText="1"/>
    </xf>
    <xf numFmtId="14" fontId="132" fillId="0" borderId="0" xfId="0" applyNumberFormat="1" applyFont="1" applyBorder="1" applyAlignment="1">
      <alignment horizontal="center" vertical="center" wrapText="1"/>
    </xf>
    <xf numFmtId="0" fontId="132"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100" fillId="0" borderId="0" xfId="0" applyFont="1" applyAlignment="1" applyProtection="1">
      <alignment vertical="center" wrapText="1"/>
      <protection locked="0"/>
    </xf>
    <xf numFmtId="0" fontId="132" fillId="0" borderId="0" xfId="0" applyFont="1" applyAlignment="1">
      <alignment horizontal="right" vertical="center"/>
    </xf>
    <xf numFmtId="193" fontId="211" fillId="0" borderId="0" xfId="0" applyNumberFormat="1" applyFont="1" applyAlignment="1">
      <alignment vertical="center"/>
    </xf>
    <xf numFmtId="193" fontId="132" fillId="0" borderId="0" xfId="0" applyNumberFormat="1" applyFont="1" applyAlignment="1">
      <alignment horizontal="right" vertical="center" shrinkToFit="1"/>
    </xf>
    <xf numFmtId="0" fontId="42" fillId="5" borderId="0" xfId="1" applyFont="1" applyFill="1" applyBorder="1" applyAlignment="1" applyProtection="1">
      <alignment vertical="center"/>
    </xf>
    <xf numFmtId="49" fontId="44" fillId="5" borderId="16" xfId="0" applyNumberFormat="1" applyFont="1" applyFill="1" applyBorder="1" applyAlignment="1" applyProtection="1">
      <alignment horizontal="center" vertical="center"/>
    </xf>
    <xf numFmtId="49" fontId="44" fillId="5" borderId="8" xfId="0" applyNumberFormat="1"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42" fillId="0" borderId="0" xfId="0" applyFont="1" applyProtection="1">
      <alignment vertical="center"/>
    </xf>
    <xf numFmtId="0" fontId="42" fillId="2" borderId="1"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41" fillId="0" borderId="0" xfId="0" applyFont="1" applyProtection="1">
      <alignment vertical="center"/>
    </xf>
    <xf numFmtId="0" fontId="100" fillId="7" borderId="2" xfId="0" applyFont="1" applyFill="1" applyBorder="1" applyAlignment="1" applyProtection="1">
      <alignment vertical="center"/>
    </xf>
    <xf numFmtId="0" fontId="100" fillId="8" borderId="51" xfId="0" applyFont="1" applyFill="1" applyBorder="1" applyAlignment="1" applyProtection="1">
      <alignment vertical="center"/>
    </xf>
    <xf numFmtId="0" fontId="100" fillId="8" borderId="3" xfId="0" applyFont="1" applyFill="1" applyBorder="1" applyAlignment="1" applyProtection="1">
      <alignment vertical="center"/>
    </xf>
    <xf numFmtId="0" fontId="100" fillId="0" borderId="1" xfId="0" applyFont="1" applyBorder="1" applyAlignment="1" applyProtection="1">
      <alignment horizontal="left" vertical="center"/>
    </xf>
    <xf numFmtId="0" fontId="141" fillId="0" borderId="0" xfId="0" applyFont="1" applyProtection="1">
      <alignment vertical="center"/>
    </xf>
    <xf numFmtId="0" fontId="41" fillId="5" borderId="25" xfId="0" applyFont="1" applyFill="1" applyBorder="1" applyAlignment="1" applyProtection="1">
      <alignment horizontal="center" vertical="center" wrapText="1"/>
    </xf>
    <xf numFmtId="0" fontId="100" fillId="5" borderId="0" xfId="0" applyFont="1" applyFill="1" applyBorder="1" applyAlignment="1" applyProtection="1">
      <alignment horizontal="center" vertical="center" wrapText="1"/>
    </xf>
    <xf numFmtId="0" fontId="41" fillId="5" borderId="0" xfId="0" applyFont="1" applyFill="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5" borderId="0"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100" fillId="5" borderId="0" xfId="0" applyFont="1" applyFill="1">
      <alignment vertical="center"/>
    </xf>
    <xf numFmtId="0" fontId="100" fillId="5" borderId="0" xfId="0" applyFont="1" applyFill="1" applyBorder="1" applyAlignment="1" applyProtection="1">
      <alignment horizontal="left" vertical="center"/>
    </xf>
    <xf numFmtId="0" fontId="100" fillId="5" borderId="0" xfId="0" applyFont="1" applyFill="1" applyBorder="1" applyAlignment="1" applyProtection="1">
      <alignment vertical="center" wrapText="1"/>
    </xf>
    <xf numFmtId="0" fontId="49" fillId="5" borderId="88" xfId="0" applyFont="1" applyFill="1" applyBorder="1" applyAlignment="1" applyProtection="1">
      <alignment vertical="center" wrapText="1"/>
    </xf>
    <xf numFmtId="0" fontId="44" fillId="5" borderId="158" xfId="0" applyFont="1" applyFill="1" applyBorder="1" applyAlignment="1" applyProtection="1">
      <alignment vertical="center"/>
    </xf>
    <xf numFmtId="0" fontId="44" fillId="0" borderId="32" xfId="0" applyFont="1" applyBorder="1" applyAlignment="1" applyProtection="1">
      <alignment vertical="center" wrapText="1"/>
      <protection locked="0"/>
    </xf>
    <xf numFmtId="0" fontId="44" fillId="6" borderId="32" xfId="0" applyFont="1" applyFill="1" applyBorder="1" applyAlignment="1" applyProtection="1">
      <alignment vertical="center" wrapText="1"/>
      <protection locked="0"/>
    </xf>
    <xf numFmtId="0" fontId="44" fillId="5" borderId="7" xfId="0" applyFont="1" applyFill="1" applyBorder="1" applyAlignment="1" applyProtection="1">
      <alignment vertical="center"/>
    </xf>
    <xf numFmtId="0" fontId="44" fillId="0" borderId="1" xfId="0" applyFont="1" applyBorder="1" applyAlignment="1" applyProtection="1">
      <alignment vertical="center" wrapText="1"/>
      <protection locked="0"/>
    </xf>
    <xf numFmtId="0" fontId="44" fillId="5" borderId="1" xfId="0" applyFont="1" applyFill="1" applyBorder="1" applyAlignment="1" applyProtection="1">
      <alignment vertical="center"/>
    </xf>
    <xf numFmtId="0" fontId="44" fillId="6" borderId="1" xfId="0" applyFont="1" applyFill="1" applyBorder="1" applyAlignment="1" applyProtection="1">
      <alignment vertical="center"/>
      <protection locked="0"/>
    </xf>
    <xf numFmtId="0" fontId="44" fillId="6" borderId="6" xfId="0" applyFont="1" applyFill="1" applyBorder="1" applyAlignment="1" applyProtection="1">
      <alignment vertical="center" wrapText="1"/>
      <protection locked="0"/>
    </xf>
    <xf numFmtId="0" fontId="44" fillId="5" borderId="7"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protection locked="0"/>
    </xf>
    <xf numFmtId="0" fontId="119" fillId="5" borderId="0" xfId="0" applyFont="1" applyFill="1" applyBorder="1" applyAlignment="1" applyProtection="1">
      <alignment horizontal="left" vertical="center"/>
    </xf>
    <xf numFmtId="0" fontId="44" fillId="0" borderId="75" xfId="0" applyFont="1" applyFill="1" applyBorder="1" applyAlignment="1" applyProtection="1">
      <alignment vertical="center" wrapText="1"/>
      <protection locked="0"/>
    </xf>
    <xf numFmtId="0" fontId="44" fillId="5" borderId="17" xfId="0" applyFont="1" applyFill="1" applyBorder="1" applyAlignment="1" applyProtection="1">
      <alignment vertical="center" wrapText="1"/>
    </xf>
    <xf numFmtId="0" fontId="44" fillId="6" borderId="41" xfId="0" applyFont="1" applyFill="1" applyBorder="1" applyAlignment="1" applyProtection="1">
      <alignment vertical="center" wrapText="1"/>
      <protection locked="0"/>
    </xf>
    <xf numFmtId="0" fontId="44" fillId="5" borderId="42" xfId="0" applyFont="1" applyFill="1" applyBorder="1" applyAlignment="1" applyProtection="1">
      <alignment vertical="center" wrapText="1"/>
    </xf>
    <xf numFmtId="0" fontId="44" fillId="5" borderId="18" xfId="0" applyFont="1" applyFill="1" applyBorder="1" applyAlignment="1" applyProtection="1">
      <alignment vertical="center" wrapText="1"/>
    </xf>
    <xf numFmtId="0" fontId="44" fillId="5" borderId="11" xfId="0" applyFont="1" applyFill="1" applyBorder="1" applyAlignment="1" applyProtection="1">
      <alignment vertical="center" wrapText="1"/>
    </xf>
    <xf numFmtId="0" fontId="44" fillId="6" borderId="31" xfId="0" applyFont="1" applyFill="1" applyBorder="1" applyAlignment="1" applyProtection="1">
      <alignment vertical="center" wrapText="1"/>
      <protection locked="0"/>
    </xf>
    <xf numFmtId="0" fontId="44" fillId="6" borderId="82" xfId="0" applyFont="1" applyFill="1" applyBorder="1" applyAlignment="1" applyProtection="1">
      <alignment vertical="center" wrapText="1"/>
      <protection locked="0"/>
    </xf>
    <xf numFmtId="0" fontId="44" fillId="5" borderId="61" xfId="0" applyFont="1" applyFill="1" applyBorder="1" applyAlignment="1" applyProtection="1">
      <alignment vertical="center" wrapText="1"/>
    </xf>
    <xf numFmtId="0" fontId="44" fillId="6" borderId="43" xfId="0" applyFont="1" applyFill="1" applyBorder="1" applyAlignment="1" applyProtection="1">
      <alignment vertical="center" wrapText="1"/>
      <protection locked="0"/>
    </xf>
    <xf numFmtId="0" fontId="44" fillId="5" borderId="29" xfId="0" applyFont="1" applyFill="1" applyBorder="1" applyAlignment="1" applyProtection="1">
      <alignment vertical="center"/>
    </xf>
    <xf numFmtId="0" fontId="119" fillId="5" borderId="0" xfId="0" applyFont="1" applyFill="1" applyBorder="1" applyAlignment="1" applyProtection="1">
      <alignment vertical="center" wrapText="1"/>
    </xf>
    <xf numFmtId="0" fontId="44" fillId="5" borderId="5" xfId="0" applyFont="1" applyFill="1" applyBorder="1" applyAlignment="1" applyProtection="1">
      <alignment vertical="center"/>
    </xf>
    <xf numFmtId="0" fontId="44" fillId="5" borderId="10" xfId="0" applyFont="1" applyFill="1" applyBorder="1" applyAlignment="1" applyProtection="1">
      <alignment vertical="center" wrapText="1"/>
    </xf>
    <xf numFmtId="0" fontId="44" fillId="0" borderId="7" xfId="0" applyFont="1" applyBorder="1" applyAlignment="1" applyProtection="1">
      <alignment vertical="center" wrapText="1"/>
      <protection locked="0"/>
    </xf>
    <xf numFmtId="0" fontId="44" fillId="6" borderId="2" xfId="0" applyFont="1" applyFill="1" applyBorder="1" applyAlignment="1" applyProtection="1">
      <alignment vertical="center" wrapText="1"/>
      <protection locked="0"/>
    </xf>
    <xf numFmtId="0" fontId="44" fillId="0" borderId="19" xfId="0" applyFont="1" applyBorder="1" applyAlignment="1" applyProtection="1">
      <alignment vertical="center" wrapText="1"/>
      <protection locked="0"/>
    </xf>
    <xf numFmtId="0" fontId="44" fillId="5" borderId="39" xfId="0" applyFont="1" applyFill="1" applyBorder="1" applyAlignment="1" applyProtection="1">
      <alignment vertical="center" wrapText="1"/>
    </xf>
    <xf numFmtId="0" fontId="44" fillId="0" borderId="1" xfId="0"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wrapText="1"/>
    </xf>
    <xf numFmtId="0" fontId="41" fillId="5" borderId="16"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105" fillId="5" borderId="0" xfId="0" applyFont="1" applyFill="1" applyProtection="1">
      <alignment vertical="center"/>
    </xf>
    <xf numFmtId="0" fontId="44" fillId="5" borderId="0" xfId="0" applyFont="1" applyFill="1" applyProtection="1">
      <alignment vertical="center"/>
    </xf>
    <xf numFmtId="0" fontId="44" fillId="0" borderId="0" xfId="0" applyFont="1" applyProtection="1">
      <alignment vertical="center"/>
    </xf>
    <xf numFmtId="0" fontId="44" fillId="5" borderId="3" xfId="0" applyFont="1" applyFill="1" applyBorder="1" applyAlignment="1" applyProtection="1">
      <alignment vertical="center" wrapText="1"/>
    </xf>
    <xf numFmtId="0" fontId="41" fillId="5" borderId="0" xfId="0" applyFont="1" applyFill="1" applyProtection="1">
      <alignment vertical="center"/>
    </xf>
    <xf numFmtId="0" fontId="44" fillId="0" borderId="0" xfId="0" applyFont="1" applyFill="1" applyProtection="1">
      <alignment vertical="center"/>
    </xf>
    <xf numFmtId="0" fontId="43" fillId="5" borderId="63" xfId="0" applyFont="1" applyFill="1" applyBorder="1" applyAlignment="1" applyProtection="1">
      <alignment horizontal="left" vertical="center"/>
    </xf>
    <xf numFmtId="0" fontId="43" fillId="5" borderId="20" xfId="0" applyFont="1" applyFill="1" applyBorder="1" applyAlignment="1" applyProtection="1">
      <alignment horizontal="left" vertical="center"/>
    </xf>
    <xf numFmtId="0" fontId="41" fillId="5" borderId="28" xfId="0" applyFont="1" applyFill="1" applyBorder="1" applyAlignment="1" applyProtection="1">
      <alignment horizontal="left" vertical="center"/>
    </xf>
    <xf numFmtId="0" fontId="41" fillId="5" borderId="56" xfId="0" applyFont="1" applyFill="1" applyBorder="1" applyAlignment="1" applyProtection="1">
      <alignment horizontal="left" vertical="center"/>
    </xf>
    <xf numFmtId="0" fontId="44" fillId="5" borderId="0" xfId="0" applyFont="1" applyFill="1" applyBorder="1" applyAlignment="1" applyProtection="1">
      <alignment horizontal="center" vertical="center"/>
    </xf>
    <xf numFmtId="0" fontId="105"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4" fillId="8" borderId="0" xfId="0" applyFont="1" applyFill="1" applyBorder="1" applyAlignment="1" applyProtection="1">
      <alignment horizontal="left" vertical="center"/>
    </xf>
    <xf numFmtId="0" fontId="100" fillId="8" borderId="0" xfId="0" applyFont="1" applyFill="1" applyBorder="1" applyProtection="1">
      <alignment vertical="center"/>
    </xf>
    <xf numFmtId="49" fontId="49" fillId="5" borderId="39" xfId="0" applyNumberFormat="1"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177" fontId="51" fillId="5" borderId="0" xfId="0" applyNumberFormat="1" applyFont="1" applyFill="1" applyBorder="1" applyAlignment="1" applyProtection="1">
      <alignment horizontal="center" vertical="center" wrapText="1"/>
    </xf>
    <xf numFmtId="10" fontId="50"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left" vertical="center"/>
    </xf>
    <xf numFmtId="0" fontId="44" fillId="5" borderId="0" xfId="2" applyFont="1" applyFill="1" applyBorder="1" applyAlignment="1" applyProtection="1">
      <alignment horizontal="left" vertical="center" wrapText="1"/>
    </xf>
    <xf numFmtId="0" fontId="100" fillId="0" borderId="0" xfId="0" applyFont="1" applyFill="1" applyProtection="1">
      <alignment vertical="center"/>
    </xf>
    <xf numFmtId="0" fontId="100" fillId="8" borderId="0" xfId="0" applyFont="1" applyFill="1" applyProtection="1">
      <alignment vertical="center"/>
    </xf>
    <xf numFmtId="0" fontId="100" fillId="5" borderId="0" xfId="2" applyFont="1" applyFill="1" applyAlignment="1" applyProtection="1">
      <alignment vertical="center" wrapText="1"/>
    </xf>
    <xf numFmtId="0" fontId="44" fillId="2" borderId="51" xfId="0" applyFont="1" applyFill="1" applyBorder="1" applyAlignment="1" applyProtection="1">
      <alignment horizontal="left" vertical="center" wrapText="1"/>
      <protection locked="0"/>
    </xf>
    <xf numFmtId="0" fontId="100" fillId="5" borderId="0" xfId="2" applyFont="1" applyFill="1" applyProtection="1"/>
    <xf numFmtId="10" fontId="44" fillId="2" borderId="41" xfId="0" applyNumberFormat="1" applyFont="1" applyFill="1" applyBorder="1" applyAlignment="1" applyProtection="1">
      <alignment horizontal="left" vertical="center" wrapText="1"/>
      <protection locked="0"/>
    </xf>
    <xf numFmtId="10" fontId="44" fillId="6" borderId="41" xfId="0" applyNumberFormat="1" applyFont="1" applyFill="1" applyBorder="1" applyAlignment="1" applyProtection="1">
      <alignment horizontal="left" vertical="center" wrapText="1"/>
      <protection locked="0"/>
    </xf>
    <xf numFmtId="0" fontId="100" fillId="0" borderId="7" xfId="0" applyFont="1" applyFill="1" applyBorder="1" applyProtection="1">
      <alignment vertical="center"/>
      <protection locked="0"/>
    </xf>
    <xf numFmtId="0" fontId="141" fillId="0" borderId="60" xfId="0" applyFont="1" applyBorder="1" applyAlignment="1" applyProtection="1">
      <alignment horizontal="left" vertical="center"/>
      <protection locked="0"/>
    </xf>
    <xf numFmtId="0" fontId="44" fillId="0" borderId="0" xfId="0" applyFont="1" applyBorder="1" applyAlignment="1" applyProtection="1">
      <alignment horizontal="left" vertical="center" wrapText="1"/>
      <protection locked="0"/>
    </xf>
    <xf numFmtId="0" fontId="53" fillId="6" borderId="0" xfId="0" applyFont="1" applyFill="1" applyBorder="1" applyAlignment="1" applyProtection="1">
      <alignment horizontal="left" vertical="center" wrapText="1"/>
      <protection locked="0"/>
    </xf>
    <xf numFmtId="0" fontId="44" fillId="8" borderId="0" xfId="0" applyFont="1" applyFill="1" applyBorder="1" applyAlignment="1" applyProtection="1">
      <alignment horizontal="center" vertical="center" wrapText="1"/>
      <protection locked="0"/>
    </xf>
    <xf numFmtId="0" fontId="44" fillId="8" borderId="0" xfId="0" applyFont="1" applyFill="1" applyBorder="1" applyAlignment="1" applyProtection="1">
      <alignment horizontal="center" vertical="center"/>
      <protection locked="0"/>
    </xf>
    <xf numFmtId="0" fontId="44" fillId="8" borderId="25" xfId="0" applyFont="1" applyFill="1" applyBorder="1" applyProtection="1">
      <alignment vertical="center"/>
      <protection locked="0"/>
    </xf>
    <xf numFmtId="0" fontId="44" fillId="8" borderId="60" xfId="0" applyFont="1" applyFill="1" applyBorder="1" applyAlignment="1" applyProtection="1">
      <alignment horizontal="left" vertical="center" wrapText="1"/>
      <protection locked="0"/>
    </xf>
    <xf numFmtId="0" fontId="44" fillId="8" borderId="0" xfId="0" applyFont="1" applyFill="1" applyBorder="1" applyAlignment="1" applyProtection="1">
      <alignment horizontal="left" vertical="center" wrapText="1"/>
      <protection locked="0"/>
    </xf>
    <xf numFmtId="0" fontId="44" fillId="8" borderId="64" xfId="0" applyFont="1" applyFill="1" applyBorder="1" applyAlignment="1" applyProtection="1">
      <alignment horizontal="left" vertical="center" wrapText="1"/>
      <protection locked="0"/>
    </xf>
    <xf numFmtId="0" fontId="44" fillId="8" borderId="65" xfId="0" applyFont="1" applyFill="1" applyBorder="1" applyAlignment="1" applyProtection="1">
      <alignment horizontal="left" vertical="center" wrapText="1"/>
      <protection locked="0"/>
    </xf>
    <xf numFmtId="0" fontId="44" fillId="8" borderId="65" xfId="0" applyFont="1" applyFill="1" applyBorder="1" applyAlignment="1" applyProtection="1">
      <alignment horizontal="center" vertical="center" wrapText="1"/>
      <protection locked="0"/>
    </xf>
    <xf numFmtId="0" fontId="44" fillId="8" borderId="65" xfId="0" applyFont="1" applyFill="1" applyBorder="1" applyAlignment="1" applyProtection="1">
      <alignment horizontal="center" vertical="center"/>
      <protection locked="0"/>
    </xf>
    <xf numFmtId="0" fontId="44" fillId="8" borderId="24" xfId="0" applyFont="1" applyFill="1" applyBorder="1" applyProtection="1">
      <alignment vertical="center"/>
      <protection locked="0"/>
    </xf>
    <xf numFmtId="0" fontId="49" fillId="8" borderId="65" xfId="0" applyFont="1" applyFill="1" applyBorder="1" applyAlignment="1" applyProtection="1">
      <alignment horizontal="left" vertical="center"/>
      <protection locked="0"/>
    </xf>
    <xf numFmtId="0" fontId="44" fillId="8" borderId="65" xfId="0" applyFont="1" applyFill="1" applyBorder="1" applyProtection="1">
      <alignment vertical="center"/>
      <protection locked="0"/>
    </xf>
    <xf numFmtId="0" fontId="44" fillId="8" borderId="65" xfId="0" applyFont="1" applyFill="1" applyBorder="1" applyAlignment="1" applyProtection="1">
      <alignment horizontal="right" vertical="center"/>
      <protection locked="0"/>
    </xf>
    <xf numFmtId="0" fontId="49" fillId="8" borderId="0" xfId="0" applyFont="1" applyFill="1" applyAlignment="1" applyProtection="1">
      <alignment horizontal="left" vertical="center"/>
      <protection locked="0"/>
    </xf>
    <xf numFmtId="2" fontId="44" fillId="8" borderId="0" xfId="0" applyNumberFormat="1" applyFont="1" applyFill="1" applyAlignment="1" applyProtection="1">
      <alignment vertical="center" wrapText="1"/>
      <protection locked="0"/>
    </xf>
    <xf numFmtId="0" fontId="49" fillId="8" borderId="0" xfId="0" applyFont="1" applyFill="1" applyAlignment="1" applyProtection="1">
      <alignment vertical="center" wrapText="1"/>
      <protection locked="0"/>
    </xf>
    <xf numFmtId="0" fontId="44" fillId="8" borderId="0" xfId="0" applyFont="1" applyFill="1" applyAlignment="1" applyProtection="1">
      <alignment vertical="center" wrapText="1"/>
      <protection locked="0"/>
    </xf>
    <xf numFmtId="0" fontId="43" fillId="5" borderId="22" xfId="0" applyFont="1" applyFill="1" applyBorder="1" applyAlignment="1" applyProtection="1">
      <alignment horizontal="left" vertical="center"/>
    </xf>
    <xf numFmtId="0" fontId="43" fillId="5" borderId="26" xfId="0" applyFont="1" applyFill="1" applyBorder="1" applyAlignment="1" applyProtection="1">
      <alignment horizontal="left" vertical="center"/>
    </xf>
    <xf numFmtId="0" fontId="43" fillId="5" borderId="42" xfId="0" applyFont="1" applyFill="1" applyBorder="1" applyAlignment="1" applyProtection="1">
      <alignment horizontal="left" vertical="center"/>
    </xf>
    <xf numFmtId="0" fontId="43" fillId="5" borderId="46"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51" fillId="6" borderId="2" xfId="1" applyFont="1" applyFill="1" applyBorder="1" applyAlignment="1" applyProtection="1">
      <alignment vertical="center"/>
      <protection locked="0"/>
    </xf>
    <xf numFmtId="0" fontId="134" fillId="5" borderId="3" xfId="1" applyFont="1" applyFill="1" applyBorder="1" applyAlignment="1" applyProtection="1">
      <alignment vertical="center"/>
    </xf>
    <xf numFmtId="0" fontId="51" fillId="6" borderId="6" xfId="1" applyFont="1" applyFill="1" applyBorder="1" applyAlignment="1" applyProtection="1">
      <alignment horizontal="left" vertical="center"/>
      <protection locked="0"/>
    </xf>
    <xf numFmtId="0" fontId="55" fillId="5" borderId="0" xfId="0" applyFont="1" applyFill="1" applyBorder="1" applyAlignment="1" applyProtection="1">
      <alignment vertical="center"/>
    </xf>
    <xf numFmtId="0" fontId="55" fillId="5" borderId="18" xfId="0" applyFont="1" applyFill="1" applyBorder="1" applyAlignment="1" applyProtection="1">
      <alignment vertical="center"/>
    </xf>
    <xf numFmtId="0" fontId="44" fillId="5" borderId="27" xfId="0" applyFont="1" applyFill="1" applyBorder="1" applyAlignment="1" applyProtection="1">
      <alignment vertical="center" wrapText="1"/>
    </xf>
    <xf numFmtId="0" fontId="44" fillId="5" borderId="25" xfId="0" applyFont="1" applyFill="1" applyBorder="1" applyAlignment="1" applyProtection="1">
      <alignment vertical="center"/>
    </xf>
    <xf numFmtId="0" fontId="55"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4" fillId="5" borderId="91" xfId="0" applyFont="1" applyFill="1" applyBorder="1" applyAlignment="1" applyProtection="1">
      <alignment vertical="center" wrapText="1"/>
    </xf>
    <xf numFmtId="0" fontId="44" fillId="5" borderId="75" xfId="0" applyFont="1" applyFill="1" applyBorder="1" applyAlignment="1" applyProtection="1">
      <alignment vertical="center"/>
    </xf>
    <xf numFmtId="0" fontId="102" fillId="8" borderId="0" xfId="0" applyFont="1" applyFill="1" applyAlignment="1" applyProtection="1">
      <protection locked="0"/>
    </xf>
    <xf numFmtId="0" fontId="41" fillId="5" borderId="81" xfId="0" applyFont="1" applyFill="1" applyBorder="1" applyAlignment="1" applyProtection="1"/>
    <xf numFmtId="0" fontId="141" fillId="8" borderId="55" xfId="0" applyFont="1" applyFill="1" applyBorder="1" applyAlignment="1" applyProtection="1">
      <alignment vertical="center"/>
      <protection locked="0"/>
    </xf>
    <xf numFmtId="0" fontId="55" fillId="5" borderId="4" xfId="0" applyFont="1" applyFill="1" applyBorder="1" applyAlignment="1" applyProtection="1">
      <alignment vertical="center"/>
    </xf>
    <xf numFmtId="0" fontId="55" fillId="6" borderId="31" xfId="0" applyFont="1" applyFill="1" applyBorder="1" applyAlignment="1" applyProtection="1">
      <alignment horizontal="center" vertical="center"/>
      <protection locked="0"/>
    </xf>
    <xf numFmtId="0" fontId="55" fillId="5" borderId="4" xfId="0" applyFont="1" applyFill="1" applyBorder="1" applyAlignment="1" applyProtection="1">
      <alignment horizontal="left" vertical="center"/>
      <protection locked="0"/>
    </xf>
    <xf numFmtId="0" fontId="55" fillId="5" borderId="7" xfId="0" applyFont="1" applyFill="1" applyBorder="1" applyAlignment="1" applyProtection="1">
      <alignment vertical="center"/>
    </xf>
    <xf numFmtId="0" fontId="131" fillId="6" borderId="6" xfId="0" applyFont="1" applyFill="1" applyBorder="1" applyAlignment="1" applyProtection="1">
      <alignment horizontal="center"/>
      <protection locked="0"/>
    </xf>
    <xf numFmtId="0" fontId="131" fillId="5" borderId="7" xfId="0" applyFont="1" applyFill="1" applyBorder="1" applyAlignment="1" applyProtection="1">
      <alignment horizontal="left"/>
      <protection locked="0"/>
    </xf>
    <xf numFmtId="0" fontId="41" fillId="5" borderId="1" xfId="0" applyFont="1" applyFill="1" applyBorder="1" applyAlignment="1" applyProtection="1">
      <protection locked="0"/>
    </xf>
    <xf numFmtId="0" fontId="100" fillId="5" borderId="7" xfId="0" applyFont="1" applyFill="1" applyBorder="1" applyAlignment="1" applyProtection="1">
      <alignment horizontal="left"/>
      <protection locked="0"/>
    </xf>
    <xf numFmtId="49" fontId="55" fillId="5" borderId="7" xfId="0" applyNumberFormat="1" applyFont="1" applyFill="1" applyBorder="1" applyAlignment="1" applyProtection="1">
      <alignment horizontal="left" vertical="center"/>
    </xf>
    <xf numFmtId="0" fontId="55" fillId="5" borderId="7" xfId="0" applyFont="1" applyFill="1" applyBorder="1" applyAlignment="1" applyProtection="1">
      <alignment vertical="center"/>
      <protection locked="0"/>
    </xf>
    <xf numFmtId="0" fontId="55" fillId="5" borderId="8" xfId="0" applyFont="1" applyFill="1" applyBorder="1" applyAlignment="1" applyProtection="1">
      <alignment vertical="center"/>
    </xf>
    <xf numFmtId="0" fontId="234" fillId="5" borderId="3" xfId="0" applyFont="1" applyFill="1" applyBorder="1" applyAlignment="1" applyProtection="1">
      <alignment horizontal="right" vertical="center" wrapText="1"/>
    </xf>
    <xf numFmtId="0" fontId="44"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4" fillId="5" borderId="126" xfId="0" applyFont="1" applyFill="1" applyBorder="1" applyAlignment="1" applyProtection="1">
      <alignment horizontal="left" vertical="center"/>
    </xf>
    <xf numFmtId="0" fontId="54" fillId="5" borderId="46" xfId="0" applyFont="1" applyFill="1" applyBorder="1" applyAlignment="1" applyProtection="1">
      <alignment horizontal="left" vertical="center" wrapText="1"/>
    </xf>
    <xf numFmtId="0" fontId="54" fillId="5" borderId="5" xfId="0" applyFont="1" applyFill="1" applyBorder="1" applyAlignment="1" applyProtection="1">
      <alignment horizontal="center" vertical="center"/>
    </xf>
    <xf numFmtId="0" fontId="55" fillId="5" borderId="23" xfId="0" applyFont="1" applyFill="1" applyBorder="1" applyAlignment="1" applyProtection="1">
      <alignment vertical="center" wrapText="1"/>
    </xf>
    <xf numFmtId="0" fontId="55" fillId="5" borderId="7" xfId="0" applyFont="1" applyFill="1" applyBorder="1" applyAlignment="1" applyProtection="1">
      <alignment vertical="center" wrapText="1"/>
    </xf>
    <xf numFmtId="49" fontId="54" fillId="5" borderId="8" xfId="0" applyNumberFormat="1" applyFont="1" applyFill="1" applyBorder="1" applyAlignment="1" applyProtection="1">
      <alignment horizontal="left" vertical="center"/>
    </xf>
    <xf numFmtId="0" fontId="54" fillId="5" borderId="8" xfId="0" applyFont="1" applyFill="1" applyBorder="1" applyAlignment="1" applyProtection="1">
      <alignment horizontal="center" vertical="center"/>
    </xf>
    <xf numFmtId="0" fontId="55" fillId="5" borderId="1" xfId="0" applyFont="1" applyFill="1" applyBorder="1" applyAlignment="1"/>
    <xf numFmtId="0" fontId="49" fillId="5" borderId="122" xfId="0" applyNumberFormat="1" applyFont="1" applyFill="1" applyBorder="1" applyAlignment="1" applyProtection="1">
      <alignment horizontal="center" vertical="center" wrapText="1"/>
      <protection locked="0"/>
    </xf>
    <xf numFmtId="0" fontId="44" fillId="10" borderId="5" xfId="0" applyNumberFormat="1" applyFont="1" applyFill="1" applyBorder="1" applyAlignment="1" applyProtection="1">
      <alignment horizontal="center" vertical="center" wrapText="1"/>
      <protection locked="0"/>
    </xf>
    <xf numFmtId="0" fontId="49" fillId="5" borderId="5" xfId="0" applyFont="1" applyFill="1" applyBorder="1" applyAlignment="1" applyProtection="1">
      <alignment horizontal="left" vertical="center"/>
      <protection locked="0"/>
    </xf>
    <xf numFmtId="0" fontId="42" fillId="5" borderId="1" xfId="0" applyFont="1" applyFill="1" applyBorder="1" applyProtection="1">
      <alignment vertical="center"/>
    </xf>
    <xf numFmtId="0" fontId="51" fillId="6" borderId="20" xfId="1" applyFont="1" applyFill="1" applyBorder="1" applyAlignment="1" applyProtection="1">
      <alignment vertical="center"/>
      <protection locked="0"/>
    </xf>
    <xf numFmtId="0" fontId="54" fillId="6" borderId="43" xfId="1" applyFont="1" applyFill="1" applyBorder="1" applyAlignment="1" applyProtection="1">
      <alignment vertical="center"/>
      <protection locked="0"/>
    </xf>
    <xf numFmtId="0" fontId="44" fillId="8" borderId="1" xfId="0" applyFont="1" applyFill="1" applyBorder="1" applyAlignment="1" applyProtection="1">
      <alignment vertical="center"/>
      <protection locked="0"/>
    </xf>
    <xf numFmtId="0" fontId="59" fillId="6" borderId="90" xfId="0" applyFont="1" applyFill="1" applyBorder="1" applyAlignment="1" applyProtection="1">
      <alignment horizontal="center" vertical="center"/>
      <protection locked="0"/>
    </xf>
    <xf numFmtId="0" fontId="51" fillId="6" borderId="64" xfId="1" applyFont="1" applyFill="1" applyBorder="1" applyAlignment="1" applyProtection="1">
      <alignment vertical="center"/>
      <protection locked="0"/>
    </xf>
    <xf numFmtId="0" fontId="134" fillId="5" borderId="24" xfId="1" applyFont="1" applyFill="1" applyBorder="1" applyAlignment="1" applyProtection="1">
      <alignment vertical="center"/>
    </xf>
    <xf numFmtId="0" fontId="54" fillId="6" borderId="17" xfId="1" applyFont="1" applyFill="1" applyBorder="1" applyAlignment="1" applyProtection="1">
      <alignment vertical="center"/>
      <protection locked="0"/>
    </xf>
    <xf numFmtId="0" fontId="41" fillId="0" borderId="35" xfId="0" applyFont="1" applyFill="1" applyBorder="1" applyAlignment="1" applyProtection="1">
      <alignment horizontal="center" vertical="center" wrapText="1"/>
      <protection locked="0"/>
    </xf>
    <xf numFmtId="0" fontId="41" fillId="0" borderId="44" xfId="0" applyFont="1" applyFill="1" applyBorder="1" applyAlignment="1" applyProtection="1">
      <alignment horizontal="center" vertical="center" wrapText="1"/>
      <protection locked="0"/>
    </xf>
    <xf numFmtId="0" fontId="48" fillId="0" borderId="20" xfId="0" applyNumberFormat="1" applyFont="1" applyFill="1" applyBorder="1" applyAlignment="1" applyProtection="1">
      <alignment horizontal="center" vertical="center" wrapText="1"/>
      <protection locked="0"/>
    </xf>
    <xf numFmtId="49" fontId="48" fillId="2" borderId="23" xfId="0" applyNumberFormat="1" applyFont="1" applyFill="1" applyBorder="1" applyAlignment="1" applyProtection="1">
      <alignment horizontal="center" vertical="center" wrapText="1"/>
      <protection locked="0"/>
    </xf>
    <xf numFmtId="0" fontId="48" fillId="5" borderId="16"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41" fillId="5" borderId="60" xfId="0" applyFont="1" applyFill="1" applyBorder="1" applyAlignment="1" applyProtection="1">
      <alignment horizontal="center" vertical="center" wrapText="1"/>
    </xf>
    <xf numFmtId="49" fontId="48" fillId="2" borderId="7" xfId="0" applyNumberFormat="1" applyFont="1" applyFill="1" applyBorder="1" applyAlignment="1" applyProtection="1">
      <alignment horizontal="center" vertical="center" wrapText="1"/>
      <protection locked="0"/>
    </xf>
    <xf numFmtId="0" fontId="41" fillId="0" borderId="2" xfId="0" applyFont="1" applyFill="1" applyBorder="1" applyAlignment="1" applyProtection="1">
      <alignment horizontal="center" vertical="center" wrapText="1"/>
      <protection locked="0"/>
    </xf>
    <xf numFmtId="0" fontId="47" fillId="5" borderId="42" xfId="0" applyNumberFormat="1" applyFont="1" applyFill="1" applyBorder="1" applyAlignment="1" applyProtection="1">
      <alignment vertical="center" wrapText="1"/>
    </xf>
    <xf numFmtId="0" fontId="101" fillId="0" borderId="0" xfId="0" applyFont="1" applyFill="1" applyAlignment="1" applyProtection="1">
      <alignment horizontal="left" vertical="center"/>
      <protection locked="0"/>
    </xf>
    <xf numFmtId="0" fontId="55" fillId="5" borderId="96" xfId="0" applyFont="1" applyFill="1" applyBorder="1" applyAlignment="1" applyProtection="1">
      <alignment horizontal="left" vertical="center"/>
    </xf>
    <xf numFmtId="184" fontId="41" fillId="0" borderId="9" xfId="0" applyNumberFormat="1" applyFont="1" applyFill="1" applyBorder="1" applyAlignment="1" applyProtection="1">
      <alignment horizontal="center" vertical="center" wrapText="1"/>
      <protection locked="0"/>
    </xf>
    <xf numFmtId="0" fontId="41" fillId="0" borderId="6" xfId="0"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protection locked="0"/>
    </xf>
    <xf numFmtId="0" fontId="48" fillId="0" borderId="32" xfId="0" applyNumberFormat="1" applyFont="1" applyFill="1" applyBorder="1" applyAlignment="1" applyProtection="1">
      <alignment horizontal="left" vertical="center" wrapText="1"/>
      <protection locked="0"/>
    </xf>
    <xf numFmtId="0" fontId="59" fillId="5" borderId="32" xfId="0" applyFont="1" applyFill="1" applyBorder="1" applyAlignment="1" applyProtection="1">
      <alignment vertical="center"/>
      <protection locked="0"/>
    </xf>
    <xf numFmtId="0" fontId="41" fillId="0" borderId="51" xfId="0" applyNumberFormat="1" applyFont="1" applyFill="1" applyBorder="1" applyAlignment="1" applyProtection="1">
      <alignment horizontal="center" vertical="center" wrapText="1"/>
      <protection locked="0"/>
    </xf>
    <xf numFmtId="0" fontId="48" fillId="5" borderId="22" xfId="0" applyNumberFormat="1" applyFont="1" applyFill="1" applyBorder="1" applyAlignment="1" applyProtection="1">
      <alignment horizontal="center" vertical="center" wrapText="1"/>
    </xf>
    <xf numFmtId="0" fontId="59" fillId="2" borderId="75"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1" fillId="0" borderId="20" xfId="0" applyNumberFormat="1" applyFont="1" applyFill="1" applyBorder="1" applyAlignment="1" applyProtection="1">
      <alignment horizontal="center" vertical="center" wrapText="1"/>
      <protection locked="0"/>
    </xf>
    <xf numFmtId="0" fontId="41" fillId="2" borderId="46" xfId="0" applyNumberFormat="1" applyFont="1" applyFill="1" applyBorder="1" applyAlignment="1" applyProtection="1">
      <alignment horizontal="center" vertical="center" wrapText="1"/>
      <protection locked="0"/>
    </xf>
    <xf numFmtId="0" fontId="41" fillId="2" borderId="65" xfId="0" applyNumberFormat="1" applyFont="1" applyFill="1" applyBorder="1" applyAlignment="1" applyProtection="1">
      <alignment horizontal="center" vertical="center" wrapText="1"/>
      <protection locked="0"/>
    </xf>
    <xf numFmtId="9" fontId="41" fillId="2" borderId="19" xfId="0" applyNumberFormat="1"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protection locked="0"/>
    </xf>
    <xf numFmtId="0" fontId="46" fillId="0" borderId="20" xfId="0" applyNumberFormat="1" applyFont="1" applyFill="1" applyBorder="1" applyAlignment="1" applyProtection="1">
      <alignment horizontal="center" vertical="center" wrapText="1"/>
      <protection locked="0"/>
    </xf>
    <xf numFmtId="49" fontId="47" fillId="2" borderId="31" xfId="0" applyNumberFormat="1" applyFont="1" applyFill="1" applyBorder="1" applyAlignment="1" applyProtection="1">
      <alignment vertical="center"/>
      <protection locked="0"/>
    </xf>
    <xf numFmtId="0" fontId="48" fillId="6" borderId="11" xfId="0" applyFont="1" applyFill="1" applyBorder="1" applyAlignment="1" applyProtection="1">
      <alignment horizontal="center" vertical="center"/>
      <protection locked="0"/>
    </xf>
    <xf numFmtId="0" fontId="48" fillId="5" borderId="37" xfId="0" applyFont="1" applyFill="1" applyBorder="1" applyAlignment="1" applyProtection="1">
      <alignment horizontal="center" vertical="center" wrapText="1"/>
      <protection locked="0"/>
    </xf>
    <xf numFmtId="0" fontId="101" fillId="5" borderId="0" xfId="0" applyFont="1" applyFill="1" applyAlignment="1" applyProtection="1">
      <alignment horizontal="left" vertical="center"/>
    </xf>
    <xf numFmtId="0" fontId="43" fillId="5" borderId="5" xfId="0" applyNumberFormat="1" applyFont="1" applyFill="1" applyBorder="1" applyAlignment="1" applyProtection="1">
      <alignment vertical="center"/>
    </xf>
    <xf numFmtId="0" fontId="41" fillId="2" borderId="63" xfId="0" applyNumberFormat="1" applyFont="1" applyFill="1" applyBorder="1" applyAlignment="1" applyProtection="1">
      <alignment horizontal="center" vertical="center" wrapText="1"/>
      <protection locked="0"/>
    </xf>
    <xf numFmtId="0" fontId="48" fillId="5" borderId="26" xfId="0" applyNumberFormat="1" applyFont="1" applyFill="1" applyBorder="1" applyAlignment="1" applyProtection="1">
      <alignment horizontal="center" vertical="center" wrapText="1"/>
    </xf>
    <xf numFmtId="0" fontId="48" fillId="0" borderId="6"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protection locked="0"/>
    </xf>
    <xf numFmtId="0" fontId="43" fillId="5" borderId="1" xfId="0" applyNumberFormat="1" applyFont="1" applyFill="1" applyBorder="1" applyAlignment="1" applyProtection="1">
      <alignment horizontal="center" vertical="center" wrapText="1"/>
    </xf>
    <xf numFmtId="0" fontId="46" fillId="5" borderId="71" xfId="0" applyNumberFormat="1" applyFont="1" applyFill="1" applyBorder="1" applyAlignment="1" applyProtection="1">
      <alignment horizontal="center" vertical="center" wrapText="1"/>
      <protection locked="0"/>
    </xf>
    <xf numFmtId="0" fontId="50" fillId="5" borderId="1" xfId="0" applyNumberFormat="1" applyFont="1" applyFill="1" applyBorder="1" applyAlignment="1" applyProtection="1">
      <alignment horizontal="left" vertical="center" wrapText="1"/>
    </xf>
    <xf numFmtId="0" fontId="50" fillId="5" borderId="3"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protection locked="0"/>
    </xf>
    <xf numFmtId="0" fontId="47" fillId="5" borderId="18" xfId="0" applyFont="1" applyFill="1" applyBorder="1" applyAlignment="1" applyProtection="1">
      <alignment horizontal="left" vertical="center" wrapText="1"/>
    </xf>
    <xf numFmtId="0" fontId="51" fillId="5" borderId="66"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50" fillId="5" borderId="18" xfId="0" applyFont="1" applyFill="1" applyBorder="1" applyAlignment="1" applyProtection="1">
      <alignment horizontal="left" vertical="center" wrapText="1"/>
    </xf>
    <xf numFmtId="0" fontId="51" fillId="5" borderId="57" xfId="0" applyFont="1" applyFill="1" applyBorder="1" applyAlignment="1" applyProtection="1">
      <alignment horizontal="left" vertical="center" wrapText="1"/>
    </xf>
    <xf numFmtId="0" fontId="103" fillId="5" borderId="18" xfId="0" applyFont="1" applyFill="1" applyBorder="1" applyAlignment="1" applyProtection="1">
      <alignment horizontal="left" vertical="center" wrapText="1"/>
    </xf>
    <xf numFmtId="0" fontId="103" fillId="5" borderId="17" xfId="0" applyFont="1" applyFill="1" applyBorder="1" applyAlignment="1" applyProtection="1">
      <alignment horizontal="left" vertical="center" wrapText="1"/>
    </xf>
    <xf numFmtId="0" fontId="103" fillId="5" borderId="71" xfId="0"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protection locked="0"/>
    </xf>
    <xf numFmtId="0" fontId="48" fillId="5" borderId="1"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8" fillId="5" borderId="0" xfId="0" applyFont="1" applyFill="1" applyBorder="1" applyAlignment="1" applyProtection="1">
      <alignment horizontal="left" vertical="center" wrapText="1"/>
    </xf>
    <xf numFmtId="0" fontId="50" fillId="5" borderId="3" xfId="0" applyFont="1" applyFill="1" applyBorder="1" applyAlignment="1" applyProtection="1">
      <alignment horizontal="left" vertical="center" wrapText="1"/>
    </xf>
    <xf numFmtId="0" fontId="50" fillId="5" borderId="56" xfId="0" applyFont="1" applyFill="1" applyBorder="1" applyAlignment="1" applyProtection="1">
      <alignment horizontal="left" vertical="center" wrapText="1"/>
    </xf>
    <xf numFmtId="0" fontId="51" fillId="5" borderId="21" xfId="0" applyFont="1" applyFill="1" applyBorder="1" applyAlignment="1" applyProtection="1">
      <alignment horizontal="left" vertical="center" wrapText="1"/>
    </xf>
    <xf numFmtId="0" fontId="50" fillId="8" borderId="0" xfId="0" applyFont="1" applyFill="1" applyAlignment="1" applyProtection="1">
      <alignment horizontal="left" vertical="center" wrapText="1"/>
      <protection locked="0"/>
    </xf>
    <xf numFmtId="0" fontId="50" fillId="0" borderId="0" xfId="0" applyFont="1" applyAlignment="1" applyProtection="1">
      <alignment horizontal="left" vertical="center" wrapText="1"/>
    </xf>
    <xf numFmtId="0" fontId="47" fillId="6" borderId="1" xfId="1" applyFont="1" applyFill="1" applyBorder="1" applyAlignment="1" applyProtection="1">
      <alignment vertical="center"/>
      <protection locked="0"/>
    </xf>
    <xf numFmtId="49" fontId="47" fillId="6" borderId="1" xfId="0" applyNumberFormat="1" applyFont="1" applyFill="1" applyBorder="1" applyAlignment="1" applyProtection="1">
      <protection locked="0"/>
    </xf>
    <xf numFmtId="49" fontId="47" fillId="5" borderId="0" xfId="0" applyNumberFormat="1" applyFont="1" applyFill="1" applyBorder="1" applyAlignment="1" applyProtection="1">
      <protection locked="0"/>
    </xf>
    <xf numFmtId="177" fontId="47" fillId="5" borderId="65" xfId="0" applyNumberFormat="1" applyFont="1" applyFill="1" applyBorder="1" applyAlignment="1" applyProtection="1"/>
    <xf numFmtId="0" fontId="32" fillId="5" borderId="9" xfId="0" applyFont="1" applyFill="1" applyBorder="1" applyAlignment="1" applyProtection="1">
      <alignment vertical="center" wrapText="1"/>
    </xf>
    <xf numFmtId="0" fontId="47" fillId="5" borderId="71" xfId="0" applyFont="1" applyFill="1" applyBorder="1" applyAlignment="1" applyProtection="1">
      <alignment horizontal="left" vertical="center" wrapText="1"/>
    </xf>
    <xf numFmtId="0" fontId="51" fillId="5" borderId="4" xfId="0" applyFont="1" applyFill="1" applyBorder="1" applyAlignment="1" applyProtection="1">
      <alignment horizontal="left" vertical="center" wrapText="1"/>
    </xf>
    <xf numFmtId="0" fontId="50" fillId="5" borderId="8" xfId="0" applyFont="1" applyFill="1" applyBorder="1" applyAlignment="1" applyProtection="1">
      <alignment horizontal="left" vertical="center"/>
    </xf>
    <xf numFmtId="0" fontId="32" fillId="5" borderId="18" xfId="0" applyFont="1" applyFill="1" applyBorder="1" applyAlignment="1" applyProtection="1">
      <alignment vertical="center"/>
    </xf>
    <xf numFmtId="0" fontId="173" fillId="0" borderId="0" xfId="13" applyFont="1" applyBorder="1" applyAlignment="1" applyProtection="1">
      <alignment horizontal="left" vertical="center" wrapText="1"/>
      <protection locked="0"/>
    </xf>
    <xf numFmtId="0" fontId="41" fillId="5" borderId="1"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102" fillId="5" borderId="85" xfId="0" applyFont="1" applyFill="1" applyBorder="1" applyAlignment="1" applyProtection="1">
      <alignment horizontal="left" vertical="center"/>
    </xf>
    <xf numFmtId="0" fontId="59" fillId="5" borderId="126" xfId="0" applyFont="1" applyFill="1" applyBorder="1" applyAlignment="1" applyProtection="1">
      <alignment horizontal="left" vertical="center"/>
    </xf>
    <xf numFmtId="0" fontId="54" fillId="6" borderId="89" xfId="1" applyFont="1" applyFill="1" applyBorder="1" applyAlignment="1" applyProtection="1">
      <alignment horizontal="left" vertical="center"/>
      <protection locked="0"/>
    </xf>
    <xf numFmtId="0" fontId="54" fillId="5" borderId="90" xfId="0" applyFont="1" applyFill="1" applyBorder="1" applyAlignment="1" applyProtection="1">
      <alignment horizontal="left" vertical="center"/>
      <protection locked="0"/>
    </xf>
    <xf numFmtId="0" fontId="59" fillId="6" borderId="90" xfId="0" applyFont="1" applyFill="1" applyBorder="1" applyAlignment="1" applyProtection="1">
      <alignment horizontal="left" vertical="center"/>
      <protection locked="0"/>
    </xf>
    <xf numFmtId="0" fontId="67" fillId="5" borderId="126" xfId="0" applyFont="1" applyFill="1" applyBorder="1" applyAlignment="1" applyProtection="1">
      <alignment horizontal="left" vertical="center"/>
    </xf>
    <xf numFmtId="189" fontId="59" fillId="5" borderId="126" xfId="0" applyNumberFormat="1" applyFont="1" applyFill="1" applyBorder="1" applyAlignment="1" applyProtection="1">
      <alignment horizontal="left" vertical="center"/>
    </xf>
    <xf numFmtId="181" fontId="59" fillId="5" borderId="126" xfId="0" applyNumberFormat="1" applyFont="1" applyFill="1" applyBorder="1" applyAlignment="1" applyProtection="1">
      <alignment horizontal="left" vertical="center"/>
    </xf>
    <xf numFmtId="0" fontId="59" fillId="5" borderId="165"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61" fillId="5" borderId="90" xfId="0" applyFont="1" applyFill="1" applyBorder="1" applyAlignment="1" applyProtection="1">
      <alignment horizontal="left" vertical="center"/>
    </xf>
    <xf numFmtId="0" fontId="61" fillId="0" borderId="90" xfId="0" applyFont="1" applyFill="1" applyBorder="1" applyAlignment="1" applyProtection="1">
      <alignment horizontal="left" vertical="center"/>
      <protection locked="0"/>
    </xf>
    <xf numFmtId="0" fontId="54" fillId="5" borderId="17" xfId="1" applyFont="1" applyFill="1" applyBorder="1" applyAlignment="1" applyProtection="1">
      <alignment horizontal="left" vertical="center"/>
    </xf>
    <xf numFmtId="0" fontId="54" fillId="5" borderId="17" xfId="0" applyFont="1" applyFill="1" applyBorder="1" applyAlignment="1" applyProtection="1">
      <alignment horizontal="left" vertical="center"/>
    </xf>
    <xf numFmtId="0" fontId="54" fillId="5" borderId="0" xfId="1" applyFont="1" applyFill="1" applyBorder="1" applyAlignment="1" applyProtection="1">
      <alignment horizontal="left" vertical="center"/>
    </xf>
    <xf numFmtId="0" fontId="51" fillId="6" borderId="64" xfId="1"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protection locked="0"/>
    </xf>
    <xf numFmtId="0" fontId="134" fillId="5" borderId="24" xfId="1" applyFont="1" applyFill="1" applyBorder="1" applyAlignment="1" applyProtection="1">
      <alignment horizontal="left" vertical="center"/>
    </xf>
    <xf numFmtId="0" fontId="54" fillId="6" borderId="17" xfId="1" applyFont="1" applyFill="1" applyBorder="1" applyAlignment="1" applyProtection="1">
      <alignment horizontal="left" vertical="center"/>
      <protection locked="0"/>
    </xf>
    <xf numFmtId="0" fontId="54" fillId="5" borderId="39"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4" fillId="5" borderId="18" xfId="1" applyFont="1" applyFill="1" applyBorder="1" applyAlignment="1" applyProtection="1">
      <alignment horizontal="left" vertical="center"/>
    </xf>
    <xf numFmtId="0" fontId="54" fillId="5" borderId="18" xfId="0" applyFont="1" applyFill="1" applyBorder="1" applyAlignment="1" applyProtection="1">
      <alignment horizontal="left" vertical="center"/>
    </xf>
    <xf numFmtId="0" fontId="54" fillId="5" borderId="39" xfId="0" applyFont="1" applyFill="1" applyBorder="1" applyAlignment="1" applyProtection="1">
      <alignment horizontal="left" vertical="center"/>
      <protection locked="0"/>
    </xf>
    <xf numFmtId="0" fontId="55" fillId="5" borderId="0" xfId="0" applyFont="1" applyFill="1" applyAlignment="1" applyProtection="1">
      <alignment horizontal="left" vertical="center"/>
    </xf>
    <xf numFmtId="0" fontId="47" fillId="5" borderId="5"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189" fontId="41" fillId="5" borderId="38" xfId="0" applyNumberFormat="1" applyFont="1" applyFill="1" applyBorder="1" applyAlignment="1" applyProtection="1">
      <alignment horizontal="left" vertical="center" wrapText="1"/>
    </xf>
    <xf numFmtId="0" fontId="48" fillId="5" borderId="49" xfId="0" applyFont="1" applyFill="1" applyBorder="1" applyAlignment="1" applyProtection="1">
      <alignment horizontal="left" vertical="center"/>
    </xf>
    <xf numFmtId="0" fontId="48" fillId="0" borderId="0" xfId="0" applyFont="1" applyFill="1" applyAlignment="1" applyProtection="1">
      <alignment horizontal="left" vertical="center"/>
      <protection locked="0"/>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89" fontId="41" fillId="5" borderId="41" xfId="0" applyNumberFormat="1"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3" fillId="5" borderId="55"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wrapText="1"/>
    </xf>
    <xf numFmtId="184" fontId="41" fillId="5" borderId="9" xfId="0" applyNumberFormat="1" applyFont="1" applyFill="1" applyBorder="1" applyAlignment="1" applyProtection="1">
      <alignment horizontal="left" vertical="center" wrapText="1"/>
    </xf>
    <xf numFmtId="0" fontId="41" fillId="5" borderId="15" xfId="0" applyNumberFormat="1" applyFont="1" applyFill="1" applyBorder="1" applyAlignment="1" applyProtection="1">
      <alignment horizontal="left" vertical="center" wrapText="1"/>
    </xf>
    <xf numFmtId="184" fontId="41" fillId="0" borderId="67" xfId="0" applyNumberFormat="1" applyFont="1" applyFill="1" applyBorder="1" applyAlignment="1" applyProtection="1">
      <alignment horizontal="left" vertical="center" wrapText="1"/>
      <protection locked="0"/>
    </xf>
    <xf numFmtId="0" fontId="41" fillId="5" borderId="14" xfId="0" applyNumberFormat="1" applyFont="1" applyFill="1" applyBorder="1" applyAlignment="1" applyProtection="1">
      <alignment horizontal="left" vertical="center" wrapText="1"/>
    </xf>
    <xf numFmtId="0" fontId="41" fillId="5" borderId="4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left" vertical="center"/>
      <protection locked="0"/>
    </xf>
    <xf numFmtId="188" fontId="41" fillId="5" borderId="2" xfId="0" applyNumberFormat="1" applyFont="1" applyFill="1" applyBorder="1" applyAlignment="1" applyProtection="1">
      <alignment horizontal="left" vertical="center"/>
    </xf>
    <xf numFmtId="49" fontId="41" fillId="5" borderId="3" xfId="0" applyNumberFormat="1" applyFont="1" applyFill="1" applyBorder="1" applyAlignment="1" applyProtection="1">
      <alignment horizontal="left" vertical="center"/>
    </xf>
    <xf numFmtId="0" fontId="41" fillId="5" borderId="49" xfId="0" applyFont="1" applyFill="1" applyBorder="1" applyAlignment="1" applyProtection="1">
      <alignment horizontal="left" vertical="center"/>
    </xf>
    <xf numFmtId="0" fontId="41" fillId="5" borderId="1" xfId="0" applyNumberFormat="1" applyFont="1" applyFill="1" applyBorder="1" applyAlignment="1" applyProtection="1">
      <alignment horizontal="left" vertical="center"/>
    </xf>
    <xf numFmtId="0" fontId="41" fillId="0" borderId="0" xfId="0" applyFont="1" applyFill="1" applyAlignment="1" applyProtection="1">
      <alignment horizontal="left" vertical="center"/>
      <protection locked="0"/>
    </xf>
    <xf numFmtId="49" fontId="41" fillId="2" borderId="9" xfId="0" applyNumberFormat="1" applyFont="1" applyFill="1" applyBorder="1" applyAlignment="1" applyProtection="1">
      <alignment horizontal="left" vertical="center" wrapText="1"/>
      <protection locked="0"/>
    </xf>
    <xf numFmtId="49" fontId="41" fillId="2" borderId="67" xfId="0" applyNumberFormat="1" applyFont="1" applyFill="1" applyBorder="1" applyAlignment="1" applyProtection="1">
      <alignment horizontal="left" vertical="center" wrapText="1"/>
      <protection locked="0"/>
    </xf>
    <xf numFmtId="0" fontId="41" fillId="5" borderId="13" xfId="0" applyFont="1" applyFill="1" applyBorder="1" applyAlignment="1" applyProtection="1">
      <alignment horizontal="left" vertical="center" wrapText="1"/>
    </xf>
    <xf numFmtId="0" fontId="41" fillId="0" borderId="46" xfId="0" applyNumberFormat="1" applyFont="1" applyFill="1" applyBorder="1" applyAlignment="1" applyProtection="1">
      <alignment horizontal="left" vertical="center" wrapText="1"/>
      <protection locked="0"/>
    </xf>
    <xf numFmtId="0" fontId="41" fillId="5" borderId="31" xfId="0" applyNumberFormat="1" applyFont="1" applyFill="1" applyBorder="1" applyAlignment="1" applyProtection="1">
      <alignment horizontal="left" vertical="center" wrapText="1"/>
    </xf>
    <xf numFmtId="49" fontId="41" fillId="2" borderId="28" xfId="0" applyNumberFormat="1" applyFont="1" applyFill="1" applyBorder="1" applyAlignment="1" applyProtection="1">
      <alignment horizontal="left" vertical="center" wrapText="1"/>
      <protection locked="0"/>
    </xf>
    <xf numFmtId="0" fontId="41" fillId="5" borderId="13" xfId="0" applyNumberFormat="1" applyFont="1" applyFill="1" applyBorder="1" applyAlignment="1" applyProtection="1">
      <alignment horizontal="left" vertical="center" wrapText="1"/>
    </xf>
    <xf numFmtId="49" fontId="41" fillId="2" borderId="4" xfId="0" applyNumberFormat="1" applyFont="1" applyFill="1" applyBorder="1" applyAlignment="1" applyProtection="1">
      <alignment horizontal="left" vertical="center" wrapText="1"/>
      <protection locked="0"/>
    </xf>
    <xf numFmtId="0" fontId="41" fillId="5" borderId="1" xfId="0" applyFont="1" applyFill="1" applyBorder="1" applyAlignment="1" applyProtection="1">
      <alignment horizontal="left" vertical="center"/>
    </xf>
    <xf numFmtId="0" fontId="68" fillId="5" borderId="26"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wrapText="1"/>
    </xf>
    <xf numFmtId="49" fontId="41" fillId="2" borderId="7" xfId="0" applyNumberFormat="1" applyFont="1" applyFill="1" applyBorder="1" applyAlignment="1" applyProtection="1">
      <alignment horizontal="left" vertical="center" wrapText="1"/>
      <protection locked="0"/>
    </xf>
    <xf numFmtId="0" fontId="41" fillId="5" borderId="6" xfId="0" applyNumberFormat="1" applyFont="1" applyFill="1" applyBorder="1" applyAlignment="1" applyProtection="1">
      <alignment horizontal="left" vertical="center" wrapText="1"/>
    </xf>
    <xf numFmtId="49" fontId="41" fillId="2" borderId="3" xfId="0" applyNumberFormat="1" applyFont="1" applyFill="1" applyBorder="1" applyAlignment="1" applyProtection="1">
      <alignment horizontal="left" vertical="center" wrapText="1"/>
      <protection locked="0"/>
    </xf>
    <xf numFmtId="0" fontId="41" fillId="5" borderId="2" xfId="0" applyNumberFormat="1" applyFont="1" applyFill="1" applyBorder="1" applyAlignment="1" applyProtection="1">
      <alignment horizontal="left" vertical="center" wrapText="1"/>
    </xf>
    <xf numFmtId="0" fontId="55" fillId="0" borderId="41" xfId="0" applyNumberFormat="1" applyFont="1" applyFill="1" applyBorder="1" applyAlignment="1" applyProtection="1">
      <alignment horizontal="left" vertical="center" wrapText="1"/>
      <protection locked="0"/>
    </xf>
    <xf numFmtId="0" fontId="69" fillId="0" borderId="0" xfId="0" applyFont="1" applyFill="1" applyAlignment="1" applyProtection="1">
      <alignment horizontal="left" vertical="center"/>
      <protection locked="0"/>
    </xf>
    <xf numFmtId="0" fontId="47" fillId="5" borderId="26" xfId="0"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43" fillId="5" borderId="26" xfId="0" applyFont="1" applyFill="1" applyBorder="1" applyAlignment="1" applyProtection="1">
      <alignment horizontal="left" vertical="center" wrapText="1"/>
    </xf>
    <xf numFmtId="0" fontId="41" fillId="0" borderId="35" xfId="0" applyFont="1" applyFill="1" applyBorder="1" applyAlignment="1" applyProtection="1">
      <alignment horizontal="left" vertical="center" wrapText="1"/>
      <protection locked="0"/>
    </xf>
    <xf numFmtId="0" fontId="41" fillId="0" borderId="23" xfId="0" applyNumberFormat="1" applyFont="1" applyFill="1" applyBorder="1" applyAlignment="1" applyProtection="1">
      <alignment horizontal="left" vertical="center" wrapText="1"/>
      <protection locked="0"/>
    </xf>
    <xf numFmtId="0" fontId="41" fillId="5" borderId="68" xfId="0" applyNumberFormat="1" applyFont="1" applyFill="1" applyBorder="1" applyAlignment="1" applyProtection="1">
      <alignment horizontal="left" vertical="center" wrapText="1"/>
    </xf>
    <xf numFmtId="0" fontId="55" fillId="5" borderId="41" xfId="0" applyNumberFormat="1" applyFont="1" applyFill="1" applyBorder="1" applyAlignment="1" applyProtection="1">
      <alignment horizontal="left" vertical="center" wrapText="1"/>
    </xf>
    <xf numFmtId="0" fontId="48" fillId="0" borderId="19" xfId="0" applyNumberFormat="1" applyFont="1" applyFill="1" applyBorder="1" applyAlignment="1" applyProtection="1">
      <alignment horizontal="left" vertical="center" wrapText="1"/>
      <protection locked="0"/>
    </xf>
    <xf numFmtId="0" fontId="48" fillId="5" borderId="6" xfId="0" applyNumberFormat="1" applyFont="1" applyFill="1" applyBorder="1" applyAlignment="1" applyProtection="1">
      <alignment horizontal="left" vertical="center" wrapText="1"/>
    </xf>
    <xf numFmtId="0" fontId="47" fillId="5" borderId="42" xfId="0" applyFont="1" applyFill="1" applyBorder="1" applyAlignment="1" applyProtection="1">
      <alignment horizontal="left" vertical="center" wrapText="1"/>
    </xf>
    <xf numFmtId="0" fontId="41" fillId="0" borderId="44" xfId="0" applyFont="1" applyFill="1" applyBorder="1" applyAlignment="1" applyProtection="1">
      <alignment horizontal="left" vertical="center" wrapText="1"/>
      <protection locked="0"/>
    </xf>
    <xf numFmtId="0" fontId="48" fillId="0" borderId="20" xfId="0" applyNumberFormat="1" applyFont="1" applyFill="1" applyBorder="1" applyAlignment="1" applyProtection="1">
      <alignment horizontal="left" vertical="center" wrapText="1"/>
      <protection locked="0"/>
    </xf>
    <xf numFmtId="0" fontId="48" fillId="5" borderId="43" xfId="0" applyNumberFormat="1" applyFont="1" applyFill="1" applyBorder="1" applyAlignment="1" applyProtection="1">
      <alignment horizontal="left" vertical="center" wrapText="1"/>
    </xf>
    <xf numFmtId="0" fontId="48" fillId="5" borderId="44" xfId="0" applyNumberFormat="1"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1" fillId="5" borderId="12" xfId="0" applyFont="1" applyFill="1" applyBorder="1" applyAlignment="1" applyProtection="1">
      <alignment horizontal="left" vertical="center" wrapText="1"/>
    </xf>
    <xf numFmtId="49" fontId="48" fillId="5" borderId="22" xfId="0" applyNumberFormat="1" applyFont="1" applyFill="1" applyBorder="1" applyAlignment="1" applyProtection="1">
      <alignment horizontal="left" vertical="center" wrapText="1"/>
    </xf>
    <xf numFmtId="0" fontId="48" fillId="5" borderId="59" xfId="0" applyNumberFormat="1" applyFont="1" applyFill="1" applyBorder="1" applyAlignment="1" applyProtection="1">
      <alignment horizontal="left" vertical="center" wrapText="1"/>
    </xf>
    <xf numFmtId="49" fontId="48" fillId="0" borderId="21" xfId="0" applyNumberFormat="1" applyFont="1" applyFill="1" applyBorder="1" applyAlignment="1" applyProtection="1">
      <alignment horizontal="left" vertical="center" wrapText="1"/>
      <protection locked="0"/>
    </xf>
    <xf numFmtId="0" fontId="48" fillId="5" borderId="12" xfId="0" applyNumberFormat="1" applyFont="1" applyFill="1" applyBorder="1" applyAlignment="1" applyProtection="1">
      <alignment horizontal="left" vertical="center" wrapText="1"/>
    </xf>
    <xf numFmtId="49" fontId="48" fillId="0" borderId="22" xfId="0" applyNumberFormat="1" applyFont="1" applyFill="1" applyBorder="1" applyAlignment="1" applyProtection="1">
      <alignment horizontal="left" vertical="center" wrapText="1"/>
      <protection locked="0"/>
    </xf>
    <xf numFmtId="0" fontId="55" fillId="0" borderId="69" xfId="0" applyNumberFormat="1" applyFont="1" applyFill="1" applyBorder="1" applyAlignment="1" applyProtection="1">
      <alignment horizontal="left" vertical="center" wrapText="1"/>
      <protection locked="0"/>
    </xf>
    <xf numFmtId="188" fontId="48" fillId="5" borderId="2" xfId="0" applyNumberFormat="1" applyFont="1" applyFill="1" applyBorder="1" applyAlignment="1" applyProtection="1">
      <alignment horizontal="left" vertical="center"/>
    </xf>
    <xf numFmtId="49" fontId="48" fillId="5" borderId="3"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8" fillId="2" borderId="23" xfId="0" applyNumberFormat="1" applyFont="1" applyFill="1" applyBorder="1" applyAlignment="1" applyProtection="1">
      <alignment horizontal="left" vertical="center" wrapText="1"/>
      <protection locked="0"/>
    </xf>
    <xf numFmtId="0" fontId="48" fillId="5" borderId="34" xfId="0" applyNumberFormat="1" applyFont="1" applyFill="1" applyBorder="1" applyAlignment="1" applyProtection="1">
      <alignment horizontal="left" vertical="center" wrapText="1"/>
    </xf>
    <xf numFmtId="49" fontId="48" fillId="2" borderId="24" xfId="0" applyNumberFormat="1" applyFont="1" applyFill="1" applyBorder="1" applyAlignment="1" applyProtection="1">
      <alignment horizontal="left" vertical="center" wrapText="1"/>
      <protection locked="0"/>
    </xf>
    <xf numFmtId="0" fontId="48" fillId="5" borderId="64" xfId="0" applyNumberFormat="1" applyFont="1" applyFill="1" applyBorder="1" applyAlignment="1" applyProtection="1">
      <alignment horizontal="left" vertical="center" wrapText="1"/>
    </xf>
    <xf numFmtId="49" fontId="48" fillId="2" borderId="23" xfId="0" applyNumberFormat="1" applyFont="1" applyFill="1" applyBorder="1" applyAlignment="1" applyProtection="1">
      <alignment horizontal="left" vertical="center" wrapText="1"/>
      <protection locked="0"/>
    </xf>
    <xf numFmtId="0" fontId="48" fillId="5" borderId="50" xfId="0" applyNumberFormat="1" applyFont="1" applyFill="1" applyBorder="1" applyAlignment="1" applyProtection="1">
      <alignment horizontal="left" vertical="center" wrapText="1"/>
    </xf>
    <xf numFmtId="0" fontId="55" fillId="5" borderId="45" xfId="0" applyNumberFormat="1" applyFont="1" applyFill="1" applyBorder="1" applyAlignment="1" applyProtection="1">
      <alignment horizontal="left" vertical="center" wrapText="1"/>
    </xf>
    <xf numFmtId="0" fontId="41" fillId="5" borderId="35" xfId="0" applyFont="1" applyFill="1" applyBorder="1" applyAlignment="1" applyProtection="1">
      <alignment horizontal="left" vertical="center" wrapText="1"/>
    </xf>
    <xf numFmtId="0" fontId="48" fillId="5" borderId="16" xfId="0" applyNumberFormat="1" applyFont="1" applyFill="1" applyBorder="1" applyAlignment="1" applyProtection="1">
      <alignment horizontal="left" vertical="center" wrapText="1"/>
    </xf>
    <xf numFmtId="49" fontId="48" fillId="0" borderId="25" xfId="0" applyNumberFormat="1" applyFont="1" applyFill="1" applyBorder="1" applyAlignment="1" applyProtection="1">
      <alignment horizontal="left" vertical="center" wrapText="1"/>
      <protection locked="0"/>
    </xf>
    <xf numFmtId="0" fontId="48" fillId="5" borderId="60" xfId="0" applyNumberFormat="1" applyFont="1" applyFill="1" applyBorder="1" applyAlignment="1" applyProtection="1">
      <alignment horizontal="left" vertical="center" wrapText="1"/>
    </xf>
    <xf numFmtId="49" fontId="48" fillId="0" borderId="26" xfId="0" applyNumberFormat="1" applyFont="1" applyFill="1" applyBorder="1" applyAlignment="1" applyProtection="1">
      <alignment horizontal="left" vertical="center" wrapText="1"/>
      <protection locked="0"/>
    </xf>
    <xf numFmtId="0" fontId="48" fillId="5" borderId="58" xfId="0" applyNumberFormat="1" applyFont="1" applyFill="1" applyBorder="1" applyAlignment="1" applyProtection="1">
      <alignment horizontal="left" vertical="center" wrapText="1"/>
    </xf>
    <xf numFmtId="0" fontId="41" fillId="5" borderId="64" xfId="0" applyFont="1" applyFill="1" applyBorder="1" applyAlignment="1" applyProtection="1">
      <alignment horizontal="left" vertical="center" wrapText="1"/>
    </xf>
    <xf numFmtId="0" fontId="48" fillId="2" borderId="26" xfId="0" applyNumberFormat="1" applyFont="1" applyFill="1" applyBorder="1" applyAlignment="1" applyProtection="1">
      <alignment horizontal="left" vertical="center" wrapText="1"/>
      <protection locked="0"/>
    </xf>
    <xf numFmtId="49" fontId="48" fillId="2" borderId="25" xfId="0" applyNumberFormat="1" applyFont="1" applyFill="1" applyBorder="1" applyAlignment="1" applyProtection="1">
      <alignment horizontal="left" vertical="center" wrapText="1"/>
      <protection locked="0"/>
    </xf>
    <xf numFmtId="49" fontId="48" fillId="2" borderId="26" xfId="0" applyNumberFormat="1" applyFont="1" applyFill="1" applyBorder="1" applyAlignment="1" applyProtection="1">
      <alignment horizontal="left" vertical="center" wrapText="1"/>
      <protection locked="0"/>
    </xf>
    <xf numFmtId="49" fontId="48" fillId="0" borderId="27" xfId="0" applyNumberFormat="1" applyFont="1" applyFill="1" applyBorder="1" applyAlignment="1" applyProtection="1">
      <alignment horizontal="left" vertical="center" wrapText="1"/>
      <protection locked="0"/>
    </xf>
    <xf numFmtId="0" fontId="48" fillId="5" borderId="35" xfId="0" applyNumberFormat="1" applyFont="1" applyFill="1" applyBorder="1" applyAlignment="1" applyProtection="1">
      <alignment horizontal="left" vertical="center" wrapText="1"/>
    </xf>
    <xf numFmtId="49" fontId="48" fillId="0" borderId="16" xfId="0" applyNumberFormat="1" applyFont="1" applyFill="1" applyBorder="1" applyAlignment="1" applyProtection="1">
      <alignment horizontal="left" vertical="center" wrapText="1"/>
      <protection locked="0"/>
    </xf>
    <xf numFmtId="0" fontId="41" fillId="5" borderId="60" xfId="0" applyFont="1" applyFill="1" applyBorder="1" applyAlignment="1" applyProtection="1">
      <alignment horizontal="left" vertical="center" wrapText="1"/>
    </xf>
    <xf numFmtId="0" fontId="55" fillId="5" borderId="77" xfId="0" applyNumberFormat="1" applyFont="1" applyFill="1" applyBorder="1" applyAlignment="1" applyProtection="1">
      <alignment horizontal="left" vertical="center" wrapText="1"/>
    </xf>
    <xf numFmtId="0" fontId="48" fillId="2" borderId="7" xfId="0" applyNumberFormat="1" applyFont="1" applyFill="1" applyBorder="1" applyAlignment="1" applyProtection="1">
      <alignment horizontal="left" vertical="center" wrapText="1"/>
      <protection locked="0"/>
    </xf>
    <xf numFmtId="49" fontId="48" fillId="2" borderId="3" xfId="0" applyNumberFormat="1" applyFont="1" applyFill="1" applyBorder="1" applyAlignment="1" applyProtection="1">
      <alignment horizontal="left" vertical="center" wrapText="1"/>
      <protection locked="0"/>
    </xf>
    <xf numFmtId="0" fontId="48" fillId="5" borderId="2" xfId="0" applyNumberFormat="1" applyFont="1" applyFill="1" applyBorder="1" applyAlignment="1" applyProtection="1">
      <alignment horizontal="left" vertical="center" wrapText="1"/>
    </xf>
    <xf numFmtId="49" fontId="48" fillId="2" borderId="7" xfId="0" applyNumberFormat="1" applyFont="1" applyFill="1" applyBorder="1" applyAlignment="1" applyProtection="1">
      <alignment horizontal="left" vertical="center" wrapText="1"/>
      <protection locked="0"/>
    </xf>
    <xf numFmtId="0" fontId="41" fillId="5" borderId="34" xfId="0" applyNumberFormat="1" applyFont="1" applyFill="1" applyBorder="1" applyAlignment="1" applyProtection="1">
      <alignment horizontal="left" vertical="center" wrapText="1"/>
    </xf>
    <xf numFmtId="49" fontId="41" fillId="0" borderId="24" xfId="0" applyNumberFormat="1" applyFont="1" applyFill="1" applyBorder="1" applyAlignment="1" applyProtection="1">
      <alignment horizontal="left" vertical="center" wrapText="1"/>
      <protection locked="0"/>
    </xf>
    <xf numFmtId="0" fontId="41" fillId="5" borderId="64" xfId="0" applyNumberFormat="1" applyFont="1" applyFill="1" applyBorder="1" applyAlignment="1" applyProtection="1">
      <alignment horizontal="left" vertical="center" wrapText="1"/>
    </xf>
    <xf numFmtId="49" fontId="41" fillId="0" borderId="23" xfId="0" applyNumberFormat="1"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8" fillId="2" borderId="4" xfId="0" applyFont="1" applyFill="1" applyBorder="1" applyAlignment="1" applyProtection="1">
      <alignment horizontal="left" vertical="center" wrapText="1"/>
      <protection locked="0"/>
    </xf>
    <xf numFmtId="0" fontId="48" fillId="5" borderId="31" xfId="0" applyNumberFormat="1" applyFont="1" applyFill="1" applyBorder="1" applyAlignment="1" applyProtection="1">
      <alignment horizontal="left" vertical="center" wrapText="1"/>
    </xf>
    <xf numFmtId="0" fontId="48" fillId="2" borderId="28" xfId="0" applyFont="1" applyFill="1" applyBorder="1" applyAlignment="1" applyProtection="1">
      <alignment horizontal="left" vertical="center" wrapText="1"/>
      <protection locked="0"/>
    </xf>
    <xf numFmtId="0" fontId="71" fillId="5" borderId="26" xfId="0" applyFont="1" applyFill="1" applyBorder="1" applyAlignment="1" applyProtection="1">
      <alignment horizontal="left" vertical="center" textRotation="255" wrapText="1"/>
    </xf>
    <xf numFmtId="0" fontId="41" fillId="0" borderId="19" xfId="0" applyNumberFormat="1"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7" fillId="5" borderId="26" xfId="0" applyFont="1" applyFill="1" applyBorder="1" applyAlignment="1" applyProtection="1">
      <alignment horizontal="left" vertical="center" textRotation="255" wrapText="1"/>
    </xf>
    <xf numFmtId="0" fontId="48" fillId="2" borderId="7"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3" fillId="5" borderId="26" xfId="0" applyFont="1" applyFill="1" applyBorder="1" applyAlignment="1" applyProtection="1">
      <alignment horizontal="left" vertical="center" textRotation="255" wrapText="1"/>
    </xf>
    <xf numFmtId="9" fontId="41" fillId="0" borderId="19" xfId="0" applyNumberFormat="1" applyFont="1" applyFill="1" applyBorder="1" applyAlignment="1" applyProtection="1">
      <alignment horizontal="left" vertical="center" wrapText="1"/>
      <protection locked="0"/>
    </xf>
    <xf numFmtId="9" fontId="41" fillId="0" borderId="3" xfId="0" applyNumberFormat="1" applyFont="1" applyFill="1" applyBorder="1" applyAlignment="1" applyProtection="1">
      <alignment horizontal="left" vertical="center" wrapText="1"/>
      <protection locked="0"/>
    </xf>
    <xf numFmtId="9" fontId="41" fillId="0" borderId="7" xfId="0" applyNumberFormat="1" applyFont="1" applyFill="1" applyBorder="1" applyAlignment="1" applyProtection="1">
      <alignment horizontal="left" vertical="center" wrapText="1"/>
      <protection locked="0"/>
    </xf>
    <xf numFmtId="0" fontId="48" fillId="0" borderId="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textRotation="255" wrapText="1"/>
    </xf>
    <xf numFmtId="49" fontId="47" fillId="5" borderId="46" xfId="0" applyNumberFormat="1" applyFont="1" applyFill="1" applyBorder="1" applyAlignment="1" applyProtection="1">
      <alignment horizontal="left" vertical="center"/>
    </xf>
    <xf numFmtId="49" fontId="47" fillId="5" borderId="47" xfId="0" applyNumberFormat="1" applyFont="1" applyFill="1" applyBorder="1" applyAlignment="1" applyProtection="1">
      <alignment horizontal="left" vertical="center"/>
    </xf>
    <xf numFmtId="0" fontId="47" fillId="5" borderId="46" xfId="0" applyNumberFormat="1" applyFont="1" applyFill="1" applyBorder="1" applyAlignment="1" applyProtection="1">
      <alignment horizontal="left" vertical="center" wrapText="1"/>
    </xf>
    <xf numFmtId="0" fontId="47" fillId="5" borderId="38" xfId="0" applyNumberFormat="1" applyFont="1" applyFill="1" applyBorder="1" applyAlignment="1" applyProtection="1">
      <alignment horizontal="left" vertical="center" wrapText="1"/>
    </xf>
    <xf numFmtId="0" fontId="72" fillId="3" borderId="47" xfId="0" applyNumberFormat="1" applyFont="1" applyFill="1" applyBorder="1" applyAlignment="1" applyProtection="1">
      <alignment horizontal="left" vertical="center" wrapText="1"/>
      <protection locked="0"/>
    </xf>
    <xf numFmtId="0" fontId="72" fillId="5" borderId="47" xfId="0" applyNumberFormat="1" applyFont="1" applyFill="1" applyBorder="1" applyAlignment="1" applyProtection="1">
      <alignment horizontal="left" vertical="center" wrapText="1"/>
    </xf>
    <xf numFmtId="0" fontId="72" fillId="3" borderId="46" xfId="0" applyNumberFormat="1" applyFont="1" applyFill="1" applyBorder="1" applyAlignment="1" applyProtection="1">
      <alignment horizontal="left" vertical="center" wrapText="1"/>
      <protection locked="0"/>
    </xf>
    <xf numFmtId="0" fontId="72" fillId="5" borderId="38" xfId="0" applyNumberFormat="1" applyFont="1" applyFill="1" applyBorder="1" applyAlignment="1" applyProtection="1">
      <alignment horizontal="left" vertical="center" wrapText="1"/>
    </xf>
    <xf numFmtId="189" fontId="48" fillId="5" borderId="41" xfId="0" applyNumberFormat="1" applyFont="1" applyFill="1" applyBorder="1" applyAlignment="1" applyProtection="1">
      <alignment horizontal="left" vertical="center"/>
    </xf>
    <xf numFmtId="0" fontId="48" fillId="5" borderId="0" xfId="0" applyFont="1" applyFill="1" applyAlignment="1" applyProtection="1">
      <alignment horizontal="left" vertical="center"/>
      <protection locked="0"/>
    </xf>
    <xf numFmtId="0" fontId="48" fillId="5" borderId="0" xfId="0" applyFont="1" applyFill="1" applyAlignment="1" applyProtection="1">
      <alignment horizontal="left" vertical="center"/>
    </xf>
    <xf numFmtId="0" fontId="48" fillId="5" borderId="17" xfId="0" applyFont="1" applyFill="1" applyBorder="1" applyAlignment="1" applyProtection="1">
      <alignment horizontal="left" vertical="center" textRotation="255" wrapText="1"/>
    </xf>
    <xf numFmtId="49" fontId="47" fillId="5" borderId="20" xfId="0" applyNumberFormat="1" applyFont="1" applyFill="1" applyBorder="1" applyAlignment="1" applyProtection="1">
      <alignment horizontal="left" vertical="center"/>
    </xf>
    <xf numFmtId="49" fontId="47" fillId="5" borderId="48" xfId="0" applyNumberFormat="1" applyFont="1" applyFill="1" applyBorder="1" applyAlignment="1" applyProtection="1">
      <alignment horizontal="left" vertical="center"/>
    </xf>
    <xf numFmtId="0" fontId="47" fillId="5" borderId="20" xfId="0" applyNumberFormat="1" applyFont="1" applyFill="1" applyBorder="1" applyAlignment="1" applyProtection="1">
      <alignment horizontal="left" vertical="center" wrapText="1"/>
    </xf>
    <xf numFmtId="0" fontId="51" fillId="18" borderId="62" xfId="0" applyNumberFormat="1" applyFont="1" applyFill="1" applyBorder="1" applyAlignment="1" applyProtection="1">
      <alignment horizontal="left" vertical="center" wrapText="1"/>
      <protection locked="0"/>
    </xf>
    <xf numFmtId="0" fontId="47" fillId="5" borderId="48" xfId="0" applyNumberFormat="1" applyFont="1" applyFill="1" applyBorder="1" applyAlignment="1" applyProtection="1">
      <alignment horizontal="left" vertical="center" wrapText="1"/>
    </xf>
    <xf numFmtId="181" fontId="47" fillId="18" borderId="62" xfId="0" applyNumberFormat="1" applyFont="1" applyFill="1" applyBorder="1" applyAlignment="1" applyProtection="1">
      <alignment horizontal="left" vertical="center" wrapText="1"/>
      <protection locked="0"/>
    </xf>
    <xf numFmtId="49" fontId="47" fillId="0" borderId="29" xfId="0" applyNumberFormat="1" applyFont="1" applyFill="1" applyBorder="1" applyAlignment="1" applyProtection="1">
      <alignment horizontal="left" vertical="center"/>
      <protection locked="0"/>
    </xf>
    <xf numFmtId="49" fontId="47" fillId="0" borderId="30" xfId="0" applyNumberFormat="1" applyFont="1" applyFill="1" applyBorder="1" applyAlignment="1" applyProtection="1">
      <alignment horizontal="left" vertical="center"/>
      <protection locked="0"/>
    </xf>
    <xf numFmtId="0" fontId="47" fillId="5" borderId="40" xfId="0" applyNumberFormat="1" applyFont="1" applyFill="1" applyBorder="1" applyAlignment="1" applyProtection="1">
      <alignment horizontal="left" vertical="center" wrapText="1"/>
      <protection locked="0"/>
    </xf>
    <xf numFmtId="0" fontId="47" fillId="5" borderId="40" xfId="0" applyNumberFormat="1" applyFont="1" applyFill="1" applyBorder="1" applyAlignment="1" applyProtection="1">
      <alignment horizontal="left" vertical="center" wrapText="1"/>
    </xf>
    <xf numFmtId="189" fontId="48" fillId="5" borderId="43" xfId="0" applyNumberFormat="1" applyFont="1" applyFill="1" applyBorder="1" applyAlignment="1" applyProtection="1">
      <alignment horizontal="left" vertical="center" wrapText="1"/>
    </xf>
    <xf numFmtId="189" fontId="48" fillId="5" borderId="0" xfId="0" applyNumberFormat="1" applyFont="1" applyFill="1" applyAlignment="1" applyProtection="1">
      <alignment horizontal="left" vertical="center"/>
      <protection locked="0"/>
    </xf>
    <xf numFmtId="181" fontId="48" fillId="5" borderId="0" xfId="0" applyNumberFormat="1" applyFont="1" applyFill="1" applyAlignment="1" applyProtection="1">
      <alignment horizontal="left" vertical="center"/>
      <protection locked="0"/>
    </xf>
    <xf numFmtId="0" fontId="48" fillId="0" borderId="39" xfId="0" applyFont="1" applyFill="1" applyBorder="1" applyAlignment="1" applyProtection="1">
      <alignment horizontal="left" vertical="center"/>
      <protection locked="0"/>
    </xf>
    <xf numFmtId="0" fontId="47" fillId="5" borderId="1" xfId="0" applyFont="1" applyFill="1" applyBorder="1" applyAlignment="1" applyProtection="1">
      <alignment horizontal="left" vertical="center" wrapText="1"/>
    </xf>
    <xf numFmtId="181" fontId="48" fillId="5" borderId="2" xfId="0" applyNumberFormat="1" applyFont="1" applyFill="1" applyBorder="1" applyAlignment="1" applyProtection="1">
      <alignment horizontal="left" vertical="center"/>
    </xf>
    <xf numFmtId="181" fontId="48" fillId="5" borderId="3" xfId="0" applyNumberFormat="1" applyFont="1" applyFill="1" applyBorder="1" applyAlignment="1" applyProtection="1">
      <alignment horizontal="left" vertical="center"/>
    </xf>
    <xf numFmtId="0" fontId="47" fillId="5" borderId="3" xfId="0" applyFont="1" applyFill="1" applyBorder="1" applyAlignment="1" applyProtection="1">
      <alignment horizontal="left" vertical="center" wrapText="1"/>
    </xf>
    <xf numFmtId="0" fontId="70" fillId="5" borderId="0" xfId="0" applyFont="1" applyFill="1" applyAlignment="1" applyProtection="1">
      <alignment horizontal="left" vertical="center"/>
      <protection locked="0"/>
    </xf>
    <xf numFmtId="0" fontId="70" fillId="0" borderId="39" xfId="0" applyFont="1" applyFill="1" applyBorder="1" applyAlignment="1" applyProtection="1">
      <alignment horizontal="left" vertical="center"/>
      <protection locked="0"/>
    </xf>
    <xf numFmtId="0" fontId="70" fillId="0" borderId="0" xfId="0" applyFont="1" applyFill="1" applyAlignment="1" applyProtection="1">
      <alignment horizontal="left" vertical="center"/>
      <protection locked="0"/>
    </xf>
    <xf numFmtId="14" fontId="48" fillId="5" borderId="0" xfId="0" applyNumberFormat="1" applyFont="1" applyFill="1" applyAlignment="1" applyProtection="1">
      <alignment horizontal="left" vertical="center"/>
      <protection locked="0"/>
    </xf>
    <xf numFmtId="176" fontId="48" fillId="5" borderId="0" xfId="0" applyNumberFormat="1" applyFont="1" applyFill="1" applyAlignment="1" applyProtection="1">
      <alignment horizontal="left" vertical="center"/>
      <protection locked="0"/>
    </xf>
    <xf numFmtId="0" fontId="53" fillId="5" borderId="0" xfId="0" applyFont="1" applyFill="1" applyBorder="1" applyAlignment="1" applyProtection="1">
      <alignment horizontal="left"/>
    </xf>
    <xf numFmtId="0" fontId="48" fillId="5" borderId="0" xfId="0" applyFont="1" applyFill="1" applyBorder="1" applyAlignment="1" applyProtection="1">
      <alignment horizontal="left"/>
    </xf>
    <xf numFmtId="189" fontId="48" fillId="5" borderId="0" xfId="0" applyNumberFormat="1" applyFont="1" applyFill="1" applyBorder="1" applyAlignment="1" applyProtection="1">
      <alignment horizontal="left"/>
    </xf>
    <xf numFmtId="181" fontId="48" fillId="5" borderId="0" xfId="0" applyNumberFormat="1" applyFont="1" applyFill="1" applyBorder="1" applyAlignment="1" applyProtection="1">
      <alignment horizontal="left"/>
    </xf>
    <xf numFmtId="0" fontId="48" fillId="0" borderId="39" xfId="0" applyFont="1" applyBorder="1" applyAlignment="1" applyProtection="1">
      <alignment horizontal="left"/>
      <protection locked="0"/>
    </xf>
    <xf numFmtId="9" fontId="41" fillId="0" borderId="0" xfId="0" applyNumberFormat="1" applyFont="1" applyFill="1" applyBorder="1" applyAlignment="1" applyProtection="1">
      <alignment horizontal="left" vertical="center" wrapText="1"/>
      <protection locked="0"/>
    </xf>
    <xf numFmtId="0" fontId="43" fillId="5" borderId="5" xfId="0" applyNumberFormat="1" applyFont="1" applyFill="1" applyBorder="1" applyAlignment="1" applyProtection="1">
      <alignment horizontal="left" vertical="center" wrapText="1"/>
    </xf>
    <xf numFmtId="0" fontId="43" fillId="5" borderId="21" xfId="0" applyNumberFormat="1" applyFont="1" applyFill="1" applyBorder="1" applyAlignment="1" applyProtection="1">
      <alignment horizontal="left" vertical="center" wrapText="1"/>
    </xf>
    <xf numFmtId="190" fontId="41" fillId="5" borderId="28" xfId="0" applyNumberFormat="1" applyFont="1" applyFill="1" applyBorder="1" applyAlignment="1" applyProtection="1">
      <alignment horizontal="left" vertical="center" wrapText="1"/>
    </xf>
    <xf numFmtId="190" fontId="41" fillId="5" borderId="11" xfId="0" applyNumberFormat="1" applyFont="1" applyFill="1" applyBorder="1" applyAlignment="1" applyProtection="1">
      <alignment horizontal="left" vertical="center" wrapText="1"/>
    </xf>
    <xf numFmtId="49" fontId="41" fillId="0" borderId="39" xfId="0" applyNumberFormat="1"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5" borderId="39" xfId="0" applyNumberFormat="1" applyFont="1" applyFill="1" applyBorder="1" applyAlignment="1" applyProtection="1">
      <alignment horizontal="left" vertical="center" wrapText="1"/>
    </xf>
    <xf numFmtId="0" fontId="43" fillId="5" borderId="25" xfId="0" applyNumberFormat="1" applyFont="1" applyFill="1" applyBorder="1" applyAlignment="1" applyProtection="1">
      <alignment horizontal="left" vertical="center" wrapText="1"/>
    </xf>
    <xf numFmtId="0" fontId="41" fillId="5" borderId="27" xfId="0" applyNumberFormat="1" applyFont="1" applyFill="1" applyBorder="1" applyAlignment="1" applyProtection="1">
      <alignment horizontal="left" vertical="center" wrapText="1"/>
    </xf>
    <xf numFmtId="0" fontId="41" fillId="0" borderId="18" xfId="0" applyNumberFormat="1" applyFont="1" applyFill="1" applyBorder="1" applyAlignment="1" applyProtection="1">
      <alignment horizontal="left" vertical="center" wrapText="1"/>
      <protection locked="0"/>
    </xf>
    <xf numFmtId="0" fontId="41" fillId="0" borderId="35" xfId="0" applyNumberFormat="1" applyFont="1" applyFill="1" applyBorder="1" applyAlignment="1" applyProtection="1">
      <alignment horizontal="left" vertical="center" wrapText="1"/>
      <protection locked="0"/>
    </xf>
    <xf numFmtId="9" fontId="41" fillId="0" borderId="39" xfId="0" applyNumberFormat="1" applyFont="1" applyFill="1" applyBorder="1" applyAlignment="1" applyProtection="1">
      <alignment horizontal="left" vertical="center" wrapText="1"/>
      <protection locked="0"/>
    </xf>
    <xf numFmtId="0" fontId="43" fillId="5" borderId="29" xfId="0" applyNumberFormat="1" applyFont="1" applyFill="1" applyBorder="1" applyAlignment="1" applyProtection="1">
      <alignment horizontal="left" vertical="center"/>
    </xf>
    <xf numFmtId="0" fontId="43" fillId="5" borderId="70" xfId="0" applyNumberFormat="1" applyFont="1" applyFill="1" applyBorder="1" applyAlignment="1" applyProtection="1">
      <alignment horizontal="left" vertical="center" wrapText="1"/>
    </xf>
    <xf numFmtId="0" fontId="41" fillId="0" borderId="70"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72" xfId="0" applyNumberFormat="1" applyFont="1" applyFill="1" applyBorder="1" applyAlignment="1" applyProtection="1">
      <alignment horizontal="left" vertical="center" wrapText="1"/>
      <protection locked="0"/>
    </xf>
    <xf numFmtId="0" fontId="43" fillId="5" borderId="60" xfId="0" applyNumberFormat="1" applyFont="1" applyFill="1" applyBorder="1" applyAlignment="1" applyProtection="1">
      <alignment horizontal="left" vertical="center" wrapText="1"/>
    </xf>
    <xf numFmtId="0" fontId="41" fillId="5" borderId="24" xfId="0" applyNumberFormat="1" applyFont="1" applyFill="1" applyBorder="1" applyAlignment="1" applyProtection="1">
      <alignment horizontal="left" vertical="center" wrapText="1"/>
    </xf>
    <xf numFmtId="0" fontId="41" fillId="0" borderId="34" xfId="0" applyNumberFormat="1" applyFont="1" applyFill="1" applyBorder="1" applyAlignment="1" applyProtection="1">
      <alignment horizontal="left" vertical="center" wrapText="1"/>
      <protection locked="0"/>
    </xf>
    <xf numFmtId="0" fontId="41" fillId="5" borderId="0" xfId="0" applyNumberFormat="1" applyFont="1" applyFill="1" applyBorder="1" applyAlignment="1" applyProtection="1">
      <alignment horizontal="left" vertical="center" wrapText="1"/>
      <protection locked="0"/>
    </xf>
    <xf numFmtId="0" fontId="100" fillId="0" borderId="39" xfId="0" applyFont="1" applyFill="1" applyBorder="1" applyAlignment="1" applyProtection="1">
      <alignment horizontal="left" vertical="center"/>
      <protection locked="0"/>
    </xf>
    <xf numFmtId="0" fontId="41" fillId="0" borderId="27" xfId="0" applyNumberFormat="1" applyFont="1" applyFill="1" applyBorder="1" applyAlignment="1" applyProtection="1">
      <alignment horizontal="left" vertical="center" wrapText="1"/>
      <protection locked="0"/>
    </xf>
    <xf numFmtId="0" fontId="41" fillId="0" borderId="58" xfId="0" applyNumberFormat="1" applyFont="1" applyFill="1" applyBorder="1" applyAlignment="1" applyProtection="1">
      <alignment horizontal="left" vertical="center" wrapText="1"/>
      <protection locked="0"/>
    </xf>
    <xf numFmtId="0" fontId="47" fillId="5" borderId="22" xfId="0" applyNumberFormat="1" applyFont="1" applyFill="1" applyBorder="1" applyAlignment="1" applyProtection="1">
      <alignment horizontal="left" vertical="center" wrapText="1"/>
    </xf>
    <xf numFmtId="0" fontId="41" fillId="5" borderId="57" xfId="0" applyNumberFormat="1" applyFont="1" applyFill="1" applyBorder="1" applyAlignment="1" applyProtection="1">
      <alignment horizontal="left" vertical="center" wrapText="1"/>
    </xf>
    <xf numFmtId="0" fontId="48" fillId="5" borderId="11"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0" fillId="0" borderId="31" xfId="0" applyNumberFormat="1" applyFont="1" applyFill="1" applyBorder="1" applyAlignment="1" applyProtection="1">
      <alignment horizontal="left" vertical="center" wrapText="1"/>
      <protection locked="0"/>
    </xf>
    <xf numFmtId="0" fontId="70" fillId="5" borderId="0" xfId="0" applyNumberFormat="1" applyFont="1" applyFill="1" applyBorder="1" applyAlignment="1" applyProtection="1">
      <alignment horizontal="left" vertical="center" wrapText="1"/>
      <protection locked="0"/>
    </xf>
    <xf numFmtId="0" fontId="41" fillId="0" borderId="39" xfId="0" applyFont="1" applyFill="1" applyBorder="1" applyAlignment="1" applyProtection="1">
      <alignment horizontal="left" vertical="center" wrapText="1"/>
      <protection locked="0"/>
    </xf>
    <xf numFmtId="0" fontId="47" fillId="5" borderId="26" xfId="0" applyNumberFormat="1" applyFont="1" applyFill="1" applyBorder="1" applyAlignment="1" applyProtection="1">
      <alignment horizontal="left" vertical="center" wrapText="1"/>
    </xf>
    <xf numFmtId="0" fontId="46" fillId="5" borderId="74" xfId="0" applyNumberFormat="1" applyFont="1" applyFill="1" applyBorder="1" applyAlignment="1" applyProtection="1">
      <alignment horizontal="left" vertical="center" wrapText="1"/>
    </xf>
    <xf numFmtId="0" fontId="48" fillId="0" borderId="75" xfId="0" applyNumberFormat="1" applyFont="1" applyFill="1" applyBorder="1" applyAlignment="1" applyProtection="1">
      <alignment horizontal="left" vertical="center" wrapText="1"/>
      <protection locked="0"/>
    </xf>
    <xf numFmtId="0" fontId="48" fillId="0" borderId="76" xfId="0" applyNumberFormat="1" applyFont="1" applyFill="1" applyBorder="1" applyAlignment="1" applyProtection="1">
      <alignment horizontal="left" vertical="center" wrapText="1"/>
      <protection locked="0"/>
    </xf>
    <xf numFmtId="0" fontId="48" fillId="5" borderId="0" xfId="0" applyNumberFormat="1" applyFont="1" applyFill="1" applyBorder="1" applyAlignment="1" applyProtection="1">
      <alignment horizontal="left" vertical="center" wrapText="1"/>
      <protection locked="0"/>
    </xf>
    <xf numFmtId="0" fontId="41" fillId="5" borderId="54" xfId="0" applyNumberFormat="1" applyFont="1" applyFill="1" applyBorder="1" applyAlignment="1" applyProtection="1">
      <alignment horizontal="left" vertical="center" wrapText="1"/>
    </xf>
    <xf numFmtId="0" fontId="48"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left" vertical="center" wrapText="1"/>
    </xf>
    <xf numFmtId="0" fontId="41" fillId="5" borderId="74" xfId="0" applyNumberFormat="1" applyFont="1" applyFill="1" applyBorder="1" applyAlignment="1" applyProtection="1">
      <alignment horizontal="left" vertical="center" wrapText="1"/>
    </xf>
    <xf numFmtId="0" fontId="48" fillId="5" borderId="75" xfId="0" applyNumberFormat="1" applyFont="1" applyFill="1" applyBorder="1" applyAlignment="1" applyProtection="1">
      <alignment horizontal="left" vertical="center" wrapText="1"/>
    </xf>
    <xf numFmtId="0" fontId="48" fillId="5" borderId="76" xfId="0" applyNumberFormat="1" applyFont="1" applyFill="1" applyBorder="1" applyAlignment="1" applyProtection="1">
      <alignment horizontal="left" vertical="center" wrapText="1"/>
    </xf>
    <xf numFmtId="0" fontId="41" fillId="5" borderId="49" xfId="0" applyNumberFormat="1" applyFont="1" applyFill="1" applyBorder="1" applyAlignment="1" applyProtection="1">
      <alignment horizontal="left" vertical="center" wrapText="1"/>
    </xf>
    <xf numFmtId="0" fontId="48" fillId="5" borderId="17"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left" vertical="center" wrapText="1"/>
      <protection locked="0"/>
    </xf>
    <xf numFmtId="0" fontId="71" fillId="5" borderId="26"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46" fillId="0" borderId="39"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1" fillId="0" borderId="75" xfId="0" applyNumberFormat="1" applyFont="1" applyFill="1" applyBorder="1" applyAlignment="1" applyProtection="1">
      <alignment horizontal="left" vertical="center" wrapText="1"/>
      <protection locked="0"/>
    </xf>
    <xf numFmtId="0" fontId="46" fillId="0" borderId="39" xfId="0" applyFont="1" applyFill="1" applyBorder="1" applyAlignment="1" applyProtection="1">
      <alignment horizontal="left" vertical="center"/>
      <protection locked="0"/>
    </xf>
    <xf numFmtId="9" fontId="46" fillId="0" borderId="0" xfId="0" applyNumberFormat="1" applyFont="1" applyFill="1" applyBorder="1" applyAlignment="1" applyProtection="1">
      <alignment horizontal="left" vertical="center"/>
      <protection locked="0"/>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0" borderId="34" xfId="0" applyNumberFormat="1" applyFont="1" applyFill="1" applyBorder="1" applyAlignment="1" applyProtection="1">
      <alignment horizontal="left" vertical="center" wrapText="1"/>
      <protection locked="0"/>
    </xf>
    <xf numFmtId="0" fontId="71" fillId="5" borderId="42" xfId="0" applyNumberFormat="1" applyFont="1" applyFill="1" applyBorder="1" applyAlignment="1" applyProtection="1">
      <alignment horizontal="left" vertical="center" wrapText="1"/>
    </xf>
    <xf numFmtId="0" fontId="41" fillId="5" borderId="71" xfId="0" applyNumberFormat="1" applyFont="1" applyFill="1" applyBorder="1" applyAlignment="1" applyProtection="1">
      <alignment horizontal="left" vertical="center" wrapText="1"/>
    </xf>
    <xf numFmtId="0" fontId="41" fillId="0" borderId="61" xfId="0" applyNumberFormat="1" applyFont="1" applyFill="1" applyBorder="1" applyAlignment="1" applyProtection="1">
      <alignment horizontal="left" vertical="center" wrapText="1"/>
      <protection locked="0"/>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41" fillId="5" borderId="11" xfId="0" applyNumberFormat="1" applyFont="1" applyFill="1" applyBorder="1" applyAlignment="1" applyProtection="1">
      <alignment horizontal="left" vertical="center" wrapText="1"/>
    </xf>
    <xf numFmtId="0" fontId="70" fillId="5" borderId="31" xfId="0" applyNumberFormat="1" applyFont="1" applyFill="1" applyBorder="1" applyAlignment="1" applyProtection="1">
      <alignment horizontal="left" vertical="center" wrapText="1"/>
    </xf>
    <xf numFmtId="0" fontId="48" fillId="5" borderId="33" xfId="0" applyNumberFormat="1" applyFont="1" applyFill="1" applyBorder="1" applyAlignment="1" applyProtection="1">
      <alignment horizontal="left" vertical="center" wrapText="1"/>
    </xf>
    <xf numFmtId="0" fontId="48" fillId="5" borderId="49" xfId="0" applyNumberFormat="1" applyFont="1" applyFill="1" applyBorder="1" applyAlignment="1" applyProtection="1">
      <alignment horizontal="left" vertical="center" wrapText="1"/>
    </xf>
    <xf numFmtId="0" fontId="43" fillId="5" borderId="26" xfId="0" applyNumberFormat="1" applyFont="1" applyFill="1" applyBorder="1" applyAlignment="1" applyProtection="1">
      <alignment horizontal="left" vertical="center" wrapText="1"/>
    </xf>
    <xf numFmtId="0" fontId="41" fillId="0" borderId="33" xfId="0" applyNumberFormat="1" applyFont="1" applyFill="1" applyBorder="1" applyAlignment="1" applyProtection="1">
      <alignment horizontal="left" vertical="center" wrapText="1"/>
      <protection locked="0"/>
    </xf>
    <xf numFmtId="0" fontId="41" fillId="5" borderId="75" xfId="0" applyNumberFormat="1" applyFont="1" applyFill="1" applyBorder="1" applyAlignment="1" applyProtection="1">
      <alignment horizontal="left" vertical="center" wrapText="1"/>
    </xf>
    <xf numFmtId="0" fontId="41" fillId="0" borderId="83" xfId="0" applyNumberFormat="1" applyFont="1" applyFill="1" applyBorder="1" applyAlignment="1" applyProtection="1">
      <alignment horizontal="left" vertical="center"/>
      <protection locked="0"/>
    </xf>
    <xf numFmtId="0" fontId="70" fillId="0" borderId="33" xfId="0" applyNumberFormat="1" applyFont="1" applyFill="1" applyBorder="1" applyAlignment="1" applyProtection="1">
      <alignment horizontal="left" vertical="center" wrapText="1"/>
      <protection locked="0"/>
    </xf>
    <xf numFmtId="0" fontId="48"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left" vertical="center" wrapText="1"/>
      <protection locked="0"/>
    </xf>
    <xf numFmtId="0" fontId="47" fillId="5" borderId="42"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left" vertical="center" wrapText="1"/>
      <protection locked="0"/>
    </xf>
    <xf numFmtId="0" fontId="48" fillId="0" borderId="43" xfId="0" applyNumberFormat="1" applyFont="1" applyFill="1" applyBorder="1" applyAlignment="1" applyProtection="1">
      <alignment horizontal="left" vertical="center" wrapText="1"/>
      <protection locked="0"/>
    </xf>
    <xf numFmtId="0" fontId="71" fillId="5" borderId="26" xfId="0" applyNumberFormat="1" applyFont="1" applyFill="1" applyBorder="1" applyAlignment="1" applyProtection="1">
      <alignment horizontal="left" vertical="center" textRotation="255" wrapText="1"/>
    </xf>
    <xf numFmtId="0" fontId="41" fillId="5" borderId="60" xfId="0" applyNumberFormat="1" applyFont="1" applyFill="1" applyBorder="1" applyAlignment="1" applyProtection="1">
      <alignment horizontal="left" vertical="center"/>
    </xf>
    <xf numFmtId="0" fontId="41" fillId="0" borderId="1" xfId="0" applyNumberFormat="1" applyFont="1" applyFill="1" applyBorder="1" applyAlignment="1" applyProtection="1">
      <alignment horizontal="left" vertical="center" wrapText="1"/>
      <protection locked="0"/>
    </xf>
    <xf numFmtId="0" fontId="46" fillId="0" borderId="6" xfId="0" applyNumberFormat="1" applyFont="1" applyFill="1" applyBorder="1" applyAlignment="1" applyProtection="1">
      <alignment horizontal="left" vertical="center" wrapText="1"/>
      <protection locked="0"/>
    </xf>
    <xf numFmtId="0" fontId="47" fillId="5" borderId="26" xfId="0" applyNumberFormat="1" applyFont="1" applyFill="1" applyBorder="1" applyAlignment="1" applyProtection="1">
      <alignment horizontal="left" vertical="center" textRotation="255" wrapText="1"/>
    </xf>
    <xf numFmtId="0" fontId="46" fillId="5" borderId="33"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46" fillId="5" borderId="6"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189" fontId="48" fillId="0"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100" fillId="5" borderId="5" xfId="0" applyFont="1" applyFill="1" applyBorder="1" applyAlignment="1" applyProtection="1">
      <alignment horizontal="left" vertical="center"/>
      <protection locked="0"/>
    </xf>
    <xf numFmtId="0" fontId="55" fillId="5" borderId="37" xfId="0" applyFont="1" applyFill="1" applyBorder="1" applyAlignment="1" applyProtection="1">
      <alignment horizontal="left" vertical="center"/>
      <protection locked="0"/>
    </xf>
    <xf numFmtId="0" fontId="48" fillId="5" borderId="37" xfId="0" applyFont="1" applyFill="1" applyBorder="1" applyAlignment="1" applyProtection="1">
      <alignment horizontal="left" vertical="center"/>
      <protection locked="0"/>
    </xf>
    <xf numFmtId="0" fontId="48" fillId="5" borderId="79" xfId="0" applyFont="1" applyFill="1" applyBorder="1" applyAlignment="1" applyProtection="1">
      <alignment horizontal="left" vertical="center"/>
      <protection locked="0"/>
    </xf>
    <xf numFmtId="0" fontId="100" fillId="5" borderId="37" xfId="0" applyFont="1" applyFill="1" applyBorder="1" applyAlignment="1" applyProtection="1">
      <alignment horizontal="left" vertical="center"/>
      <protection locked="0"/>
    </xf>
    <xf numFmtId="0" fontId="55" fillId="5" borderId="79" xfId="0" applyFont="1" applyFill="1" applyBorder="1" applyAlignment="1" applyProtection="1">
      <alignment horizontal="left" vertical="center"/>
      <protection locked="0"/>
    </xf>
    <xf numFmtId="0" fontId="55" fillId="5" borderId="63" xfId="0" applyFont="1" applyFill="1" applyBorder="1" applyAlignment="1" applyProtection="1">
      <alignment horizontal="left" vertical="center"/>
    </xf>
    <xf numFmtId="0" fontId="100" fillId="5" borderId="1"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00" fillId="5" borderId="95" xfId="0" applyFont="1" applyFill="1" applyBorder="1" applyAlignment="1" applyProtection="1">
      <alignment horizontal="left" vertical="center"/>
    </xf>
    <xf numFmtId="0" fontId="100" fillId="5" borderId="6" xfId="0"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5" fillId="5" borderId="23" xfId="0" applyFont="1" applyFill="1" applyBorder="1" applyAlignment="1" applyProtection="1">
      <alignment horizontal="left" vertical="center"/>
    </xf>
    <xf numFmtId="0" fontId="55" fillId="0" borderId="17" xfId="0" applyFont="1" applyBorder="1" applyAlignment="1" applyProtection="1">
      <alignment horizontal="left" vertical="center"/>
      <protection locked="0"/>
    </xf>
    <xf numFmtId="0" fontId="100" fillId="0" borderId="17" xfId="0" applyFont="1" applyBorder="1" applyAlignment="1" applyProtection="1">
      <alignment horizontal="left" vertical="center"/>
      <protection locked="0"/>
    </xf>
    <xf numFmtId="0" fontId="55" fillId="0" borderId="64" xfId="0" applyFont="1" applyBorder="1" applyAlignment="1" applyProtection="1">
      <alignment horizontal="left" vertical="center"/>
      <protection locked="0"/>
    </xf>
    <xf numFmtId="0" fontId="55" fillId="0" borderId="97" xfId="0" applyFont="1" applyFill="1" applyBorder="1" applyAlignment="1" applyProtection="1">
      <alignment horizontal="left" vertical="center"/>
      <protection locked="0"/>
    </xf>
    <xf numFmtId="0" fontId="55" fillId="0" borderId="34" xfId="0" applyFont="1" applyBorder="1" applyAlignment="1" applyProtection="1">
      <alignment horizontal="left" vertical="center"/>
      <protection locked="0"/>
    </xf>
    <xf numFmtId="0" fontId="100" fillId="5" borderId="24" xfId="0" applyFont="1" applyFill="1" applyBorder="1" applyAlignment="1" applyProtection="1">
      <alignment horizontal="left" vertical="center"/>
    </xf>
    <xf numFmtId="187" fontId="55" fillId="5" borderId="34" xfId="0" applyNumberFormat="1" applyFont="1" applyFill="1" applyBorder="1" applyAlignment="1" applyProtection="1">
      <alignment horizontal="left" vertical="center"/>
    </xf>
    <xf numFmtId="0" fontId="55" fillId="5" borderId="7" xfId="0" applyFont="1" applyFill="1" applyBorder="1" applyAlignment="1" applyProtection="1">
      <alignment horizontal="left" vertical="center"/>
    </xf>
    <xf numFmtId="0" fontId="55" fillId="0" borderId="1" xfId="0" applyFont="1" applyBorder="1" applyAlignment="1" applyProtection="1">
      <alignment horizontal="left" vertical="center"/>
      <protection locked="0"/>
    </xf>
    <xf numFmtId="0" fontId="55" fillId="0" borderId="2" xfId="0" applyFont="1" applyBorder="1" applyAlignment="1" applyProtection="1">
      <alignment horizontal="left" vertical="center"/>
      <protection locked="0"/>
    </xf>
    <xf numFmtId="0" fontId="55" fillId="0" borderId="95" xfId="0" applyFont="1" applyFill="1" applyBorder="1" applyAlignment="1" applyProtection="1">
      <alignment horizontal="left" vertical="center"/>
      <protection locked="0"/>
    </xf>
    <xf numFmtId="0" fontId="55" fillId="0" borderId="6" xfId="0" applyFont="1" applyBorder="1" applyAlignment="1" applyProtection="1">
      <alignment horizontal="left" vertical="center"/>
      <protection locked="0"/>
    </xf>
    <xf numFmtId="0" fontId="100" fillId="5" borderId="3" xfId="0" applyFont="1" applyFill="1" applyBorder="1" applyAlignment="1" applyProtection="1">
      <alignment horizontal="left" vertical="center"/>
    </xf>
    <xf numFmtId="0" fontId="55" fillId="5" borderId="1" xfId="0" applyFont="1" applyFill="1" applyBorder="1" applyAlignment="1" applyProtection="1">
      <alignment horizontal="left" vertical="center"/>
    </xf>
    <xf numFmtId="0" fontId="55" fillId="5" borderId="6" xfId="0" applyFont="1" applyFill="1" applyBorder="1" applyAlignment="1" applyProtection="1">
      <alignment horizontal="left" vertical="center"/>
    </xf>
    <xf numFmtId="178" fontId="55" fillId="5" borderId="6" xfId="0" applyNumberFormat="1" applyFont="1" applyFill="1" applyBorder="1" applyAlignment="1" applyProtection="1">
      <alignment horizontal="left" vertical="center"/>
    </xf>
    <xf numFmtId="178" fontId="55" fillId="0" borderId="6" xfId="0" applyNumberFormat="1" applyFont="1" applyBorder="1" applyAlignment="1" applyProtection="1">
      <alignment horizontal="left" vertical="center"/>
      <protection locked="0"/>
    </xf>
    <xf numFmtId="0" fontId="100" fillId="0" borderId="95" xfId="0" applyFont="1" applyFill="1" applyBorder="1" applyAlignment="1" applyProtection="1">
      <alignment horizontal="left" vertical="center"/>
      <protection locked="0"/>
    </xf>
    <xf numFmtId="0" fontId="100" fillId="5" borderId="8" xfId="0" applyFont="1" applyFill="1" applyBorder="1" applyAlignment="1" applyProtection="1">
      <alignment horizontal="left" vertical="center"/>
    </xf>
    <xf numFmtId="0" fontId="55" fillId="5" borderId="61" xfId="0" applyFont="1" applyFill="1" applyBorder="1" applyAlignment="1" applyProtection="1">
      <alignment horizontal="left" vertical="center"/>
    </xf>
    <xf numFmtId="0" fontId="55" fillId="5" borderId="40" xfId="0" applyFont="1" applyFill="1" applyBorder="1" applyAlignment="1" applyProtection="1">
      <alignment horizontal="left" vertical="center"/>
    </xf>
    <xf numFmtId="0" fontId="48" fillId="5" borderId="40" xfId="0" applyFont="1" applyFill="1" applyBorder="1" applyAlignment="1" applyProtection="1">
      <alignment horizontal="left" vertical="center"/>
    </xf>
    <xf numFmtId="0" fontId="48" fillId="5" borderId="30" xfId="0" applyFont="1" applyFill="1" applyBorder="1" applyAlignment="1" applyProtection="1">
      <alignment horizontal="left" vertical="center"/>
    </xf>
    <xf numFmtId="0" fontId="100" fillId="5" borderId="56" xfId="0" applyFont="1" applyFill="1" applyBorder="1" applyAlignment="1" applyProtection="1">
      <alignment horizontal="left" vertical="center"/>
    </xf>
    <xf numFmtId="0" fontId="55" fillId="0" borderId="61" xfId="0" applyFont="1" applyBorder="1" applyAlignment="1" applyProtection="1">
      <alignment horizontal="left" vertical="center"/>
      <protection locked="0"/>
    </xf>
    <xf numFmtId="178" fontId="55" fillId="5" borderId="43" xfId="0" applyNumberFormat="1" applyFont="1" applyFill="1" applyBorder="1" applyAlignment="1" applyProtection="1">
      <alignment horizontal="left" vertical="center"/>
    </xf>
    <xf numFmtId="0" fontId="102" fillId="5" borderId="35" xfId="0" applyFont="1" applyFill="1" applyBorder="1" applyAlignment="1" applyProtection="1">
      <alignment horizontal="left" vertical="center"/>
    </xf>
    <xf numFmtId="0" fontId="59" fillId="5" borderId="36" xfId="0" applyFont="1" applyFill="1" applyBorder="1" applyAlignment="1" applyProtection="1">
      <alignment horizontal="left" vertical="center"/>
    </xf>
    <xf numFmtId="0" fontId="59" fillId="5" borderId="0" xfId="0" applyFont="1" applyFill="1" applyAlignment="1" applyProtection="1">
      <alignment horizontal="left" vertical="center"/>
    </xf>
    <xf numFmtId="0" fontId="67" fillId="5" borderId="36" xfId="0" applyFont="1" applyFill="1" applyBorder="1" applyAlignment="1" applyProtection="1">
      <alignment horizontal="left" vertical="center"/>
    </xf>
    <xf numFmtId="189" fontId="59" fillId="5" borderId="36" xfId="0" applyNumberFormat="1" applyFont="1" applyFill="1" applyBorder="1" applyAlignment="1" applyProtection="1">
      <alignment horizontal="left" vertical="center"/>
    </xf>
    <xf numFmtId="181" fontId="59" fillId="5" borderId="36" xfId="0" applyNumberFormat="1"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61" fillId="5"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1" fillId="0" borderId="0" xfId="0" applyFont="1" applyFill="1" applyAlignment="1" applyProtection="1">
      <alignment horizontal="left" vertical="center"/>
      <protection locked="0"/>
    </xf>
    <xf numFmtId="0" fontId="54" fillId="5" borderId="1" xfId="1" applyFont="1" applyFill="1" applyBorder="1" applyAlignment="1" applyProtection="1">
      <alignment horizontal="left" vertical="center"/>
    </xf>
    <xf numFmtId="177" fontId="54" fillId="5" borderId="1" xfId="0" applyNumberFormat="1" applyFont="1" applyFill="1" applyBorder="1" applyAlignment="1" applyProtection="1">
      <alignment horizontal="left" vertical="center"/>
    </xf>
    <xf numFmtId="186" fontId="54" fillId="5" borderId="18" xfId="0" applyNumberFormat="1" applyFont="1" applyFill="1" applyBorder="1" applyAlignment="1" applyProtection="1">
      <alignment horizontal="left" vertical="center"/>
    </xf>
    <xf numFmtId="0" fontId="59" fillId="5" borderId="65" xfId="0" applyFont="1" applyFill="1" applyBorder="1" applyAlignment="1" applyProtection="1">
      <alignment horizontal="left" vertical="center"/>
    </xf>
    <xf numFmtId="0" fontId="61" fillId="5" borderId="0" xfId="0" applyFont="1" applyFill="1" applyAlignment="1" applyProtection="1">
      <alignment horizontal="left" vertical="center"/>
    </xf>
    <xf numFmtId="189" fontId="41" fillId="5" borderId="3" xfId="0" applyNumberFormat="1" applyFont="1" applyFill="1" applyBorder="1" applyAlignment="1" applyProtection="1">
      <alignment horizontal="left" vertical="center" wrapText="1"/>
    </xf>
    <xf numFmtId="184" fontId="41" fillId="0" borderId="9" xfId="0" applyNumberFormat="1" applyFont="1" applyFill="1" applyBorder="1" applyAlignment="1" applyProtection="1">
      <alignment horizontal="left" vertical="center" wrapText="1"/>
      <protection locked="0"/>
    </xf>
    <xf numFmtId="0" fontId="41" fillId="5" borderId="3" xfId="0" applyNumberFormat="1" applyFont="1" applyFill="1" applyBorder="1" applyAlignment="1" applyProtection="1">
      <alignment horizontal="left" vertical="center" wrapText="1"/>
    </xf>
    <xf numFmtId="0" fontId="41" fillId="2" borderId="46" xfId="0" applyNumberFormat="1" applyFont="1" applyFill="1" applyBorder="1" applyAlignment="1" applyProtection="1">
      <alignment horizontal="left" vertical="center" wrapText="1"/>
      <protection locked="0"/>
    </xf>
    <xf numFmtId="0" fontId="58" fillId="5" borderId="3" xfId="0" applyNumberFormat="1" applyFont="1" applyFill="1" applyBorder="1" applyAlignment="1" applyProtection="1">
      <alignment horizontal="left" vertical="center" wrapText="1"/>
    </xf>
    <xf numFmtId="0" fontId="58" fillId="0" borderId="3" xfId="0" applyNumberFormat="1" applyFont="1" applyFill="1" applyBorder="1" applyAlignment="1" applyProtection="1">
      <alignment horizontal="left" vertical="center" wrapText="1"/>
      <protection locked="0"/>
    </xf>
    <xf numFmtId="0" fontId="48" fillId="0" borderId="7" xfId="0" applyNumberFormat="1" applyFont="1" applyFill="1" applyBorder="1" applyAlignment="1" applyProtection="1">
      <alignment horizontal="left" vertical="center" wrapText="1"/>
      <protection locked="0"/>
    </xf>
    <xf numFmtId="0" fontId="41" fillId="5" borderId="10" xfId="0" applyFont="1" applyFill="1" applyBorder="1" applyAlignment="1" applyProtection="1">
      <alignment horizontal="left" vertical="center" wrapText="1"/>
    </xf>
    <xf numFmtId="49" fontId="48" fillId="5" borderId="2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xf>
    <xf numFmtId="0" fontId="48" fillId="2" borderId="24" xfId="0" applyNumberFormat="1" applyFont="1" applyFill="1" applyBorder="1" applyAlignment="1" applyProtection="1">
      <alignment horizontal="left" vertical="center" wrapText="1"/>
      <protection locked="0"/>
    </xf>
    <xf numFmtId="0" fontId="41" fillId="5" borderId="69" xfId="0" applyFont="1" applyFill="1" applyBorder="1" applyAlignment="1" applyProtection="1">
      <alignment horizontal="left" vertical="center" wrapText="1"/>
    </xf>
    <xf numFmtId="49" fontId="48" fillId="5" borderId="27" xfId="0" applyNumberFormat="1" applyFont="1" applyFill="1" applyBorder="1" applyAlignment="1" applyProtection="1">
      <alignment horizontal="left" vertical="center" wrapText="1"/>
    </xf>
    <xf numFmtId="0" fontId="41" fillId="5" borderId="45" xfId="0" applyFont="1" applyFill="1" applyBorder="1" applyAlignment="1" applyProtection="1">
      <alignment horizontal="left" vertical="center" wrapText="1"/>
    </xf>
    <xf numFmtId="0" fontId="48" fillId="2" borderId="25" xfId="0" applyNumberFormat="1" applyFont="1" applyFill="1" applyBorder="1" applyAlignment="1" applyProtection="1">
      <alignment horizontal="left" vertical="center" wrapText="1"/>
      <protection locked="0"/>
    </xf>
    <xf numFmtId="0" fontId="48" fillId="5" borderId="27"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0" fontId="48" fillId="5" borderId="51" xfId="0" applyNumberFormat="1" applyFont="1" applyFill="1" applyBorder="1" applyAlignment="1" applyProtection="1">
      <alignment horizontal="left" vertical="center" wrapText="1"/>
    </xf>
    <xf numFmtId="0" fontId="48" fillId="2" borderId="51" xfId="0" applyNumberFormat="1" applyFont="1" applyFill="1" applyBorder="1" applyAlignment="1" applyProtection="1">
      <alignment horizontal="left" vertical="center" wrapText="1"/>
      <protection locked="0"/>
    </xf>
    <xf numFmtId="0" fontId="58" fillId="5" borderId="3" xfId="0" applyNumberFormat="1" applyFont="1" applyFill="1" applyBorder="1" applyAlignment="1" applyProtection="1">
      <alignment horizontal="left" vertical="center" wrapText="1"/>
      <protection locked="0"/>
    </xf>
    <xf numFmtId="0" fontId="58" fillId="0" borderId="24" xfId="0" applyNumberFormat="1" applyFont="1" applyFill="1" applyBorder="1" applyAlignment="1" applyProtection="1">
      <alignment horizontal="left" vertical="center" wrapText="1"/>
      <protection locked="0"/>
    </xf>
    <xf numFmtId="0" fontId="41" fillId="2" borderId="65" xfId="0" applyNumberFormat="1" applyFont="1" applyFill="1" applyBorder="1" applyAlignment="1" applyProtection="1">
      <alignment horizontal="left" vertical="center" wrapText="1"/>
      <protection locked="0"/>
    </xf>
    <xf numFmtId="0" fontId="43" fillId="5" borderId="39" xfId="0" applyFont="1" applyFill="1" applyBorder="1" applyAlignment="1" applyProtection="1">
      <alignment horizontal="left" vertical="center" wrapText="1"/>
    </xf>
    <xf numFmtId="0" fontId="48" fillId="5" borderId="25" xfId="0" applyNumberFormat="1" applyFont="1" applyFill="1" applyBorder="1" applyAlignment="1" applyProtection="1">
      <alignment horizontal="left" vertical="center" wrapText="1"/>
    </xf>
    <xf numFmtId="0" fontId="55" fillId="5" borderId="3" xfId="0" applyNumberFormat="1" applyFont="1" applyFill="1" applyBorder="1" applyAlignment="1" applyProtection="1">
      <alignment horizontal="left" vertical="center" wrapText="1"/>
    </xf>
    <xf numFmtId="0" fontId="41" fillId="5" borderId="86" xfId="0" applyFont="1" applyFill="1" applyBorder="1" applyAlignment="1" applyProtection="1">
      <alignment horizontal="left" vertical="center" wrapText="1"/>
    </xf>
    <xf numFmtId="0" fontId="48" fillId="2" borderId="19" xfId="0" applyNumberFormat="1" applyFont="1" applyFill="1" applyBorder="1" applyAlignment="1" applyProtection="1">
      <alignment horizontal="left" vertical="center" wrapText="1"/>
      <protection locked="0"/>
    </xf>
    <xf numFmtId="0" fontId="55" fillId="0" borderId="3" xfId="0" applyNumberFormat="1" applyFont="1" applyFill="1" applyBorder="1" applyAlignment="1" applyProtection="1">
      <alignment horizontal="left" vertical="center" wrapText="1"/>
      <protection locked="0"/>
    </xf>
    <xf numFmtId="0" fontId="41" fillId="0" borderId="86" xfId="0" applyFont="1" applyFill="1" applyBorder="1" applyAlignment="1" applyProtection="1">
      <alignment horizontal="left" vertical="center" wrapText="1"/>
      <protection locked="0"/>
    </xf>
    <xf numFmtId="0" fontId="48" fillId="5" borderId="39" xfId="0" applyFont="1" applyFill="1" applyBorder="1" applyAlignment="1" applyProtection="1">
      <alignment horizontal="left" vertical="center"/>
    </xf>
    <xf numFmtId="0" fontId="48" fillId="0" borderId="86" xfId="0" applyFont="1" applyFill="1" applyBorder="1" applyAlignment="1" applyProtection="1">
      <alignment horizontal="left" vertical="center"/>
      <protection locked="0"/>
    </xf>
    <xf numFmtId="0" fontId="71" fillId="5" borderId="29" xfId="0" applyFont="1" applyFill="1" applyBorder="1" applyAlignment="1" applyProtection="1">
      <alignment horizontal="left" vertical="center" textRotation="255" wrapText="1"/>
    </xf>
    <xf numFmtId="0" fontId="46" fillId="0" borderId="123" xfId="0" applyFont="1" applyFill="1" applyBorder="1" applyAlignment="1" applyProtection="1">
      <alignment horizontal="left" vertical="center"/>
      <protection locked="0"/>
    </xf>
    <xf numFmtId="0" fontId="48" fillId="0" borderId="56" xfId="0" applyNumberFormat="1" applyFont="1" applyFill="1" applyBorder="1" applyAlignment="1" applyProtection="1">
      <alignment horizontal="left" vertical="center" wrapText="1"/>
      <protection locked="0"/>
    </xf>
    <xf numFmtId="0" fontId="41" fillId="5" borderId="43" xfId="0" applyNumberFormat="1" applyFont="1" applyFill="1" applyBorder="1" applyAlignment="1" applyProtection="1">
      <alignment horizontal="left" vertical="center" wrapText="1"/>
    </xf>
    <xf numFmtId="0" fontId="48" fillId="0" borderId="8" xfId="0" applyNumberFormat="1" applyFont="1" applyFill="1" applyBorder="1" applyAlignment="1" applyProtection="1">
      <alignment horizontal="left" vertical="center" wrapText="1"/>
      <protection locked="0"/>
    </xf>
    <xf numFmtId="0" fontId="48" fillId="0" borderId="4" xfId="0" applyNumberFormat="1" applyFont="1" applyFill="1" applyBorder="1" applyAlignment="1" applyProtection="1">
      <alignment horizontal="left" vertical="center" wrapText="1"/>
      <protection locked="0"/>
    </xf>
    <xf numFmtId="9" fontId="41" fillId="2" borderId="19" xfId="0" applyNumberFormat="1" applyFont="1" applyFill="1" applyBorder="1" applyAlignment="1" applyProtection="1">
      <alignment horizontal="left" vertical="center" wrapText="1"/>
      <protection locked="0"/>
    </xf>
    <xf numFmtId="0" fontId="48" fillId="0" borderId="2" xfId="0" applyFont="1" applyFill="1" applyBorder="1" applyAlignment="1" applyProtection="1">
      <alignment horizontal="left" vertical="center"/>
      <protection locked="0"/>
    </xf>
    <xf numFmtId="0" fontId="46" fillId="0" borderId="20" xfId="0" applyNumberFormat="1" applyFont="1" applyFill="1" applyBorder="1" applyAlignment="1" applyProtection="1">
      <alignment horizontal="left" vertical="center" wrapText="1"/>
      <protection locked="0"/>
    </xf>
    <xf numFmtId="0" fontId="73" fillId="5" borderId="3" xfId="0" applyNumberFormat="1" applyFont="1" applyFill="1" applyBorder="1" applyAlignment="1" applyProtection="1">
      <alignment horizontal="left" vertical="center" wrapText="1"/>
    </xf>
    <xf numFmtId="49" fontId="47" fillId="2" borderId="31" xfId="0" applyNumberFormat="1" applyFont="1" applyFill="1" applyBorder="1" applyAlignment="1" applyProtection="1">
      <alignment horizontal="left" vertical="center"/>
      <protection locked="0"/>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72" fillId="3" borderId="47" xfId="0" applyFont="1" applyFill="1" applyBorder="1" applyAlignment="1" applyProtection="1">
      <alignment horizontal="left" vertical="center" wrapText="1"/>
      <protection locked="0"/>
    </xf>
    <xf numFmtId="0" fontId="72" fillId="5" borderId="47" xfId="0" applyFont="1" applyFill="1" applyBorder="1" applyAlignment="1" applyProtection="1">
      <alignment horizontal="left" vertical="center" wrapText="1"/>
    </xf>
    <xf numFmtId="0" fontId="72" fillId="3" borderId="46" xfId="0" applyFont="1" applyFill="1" applyBorder="1" applyAlignment="1" applyProtection="1">
      <alignment horizontal="left" vertical="center" wrapText="1"/>
      <protection locked="0"/>
    </xf>
    <xf numFmtId="0" fontId="72" fillId="5" borderId="38" xfId="0" applyFont="1" applyFill="1" applyBorder="1" applyAlignment="1" applyProtection="1">
      <alignment horizontal="left" vertical="center" wrapText="1"/>
    </xf>
    <xf numFmtId="189" fontId="48" fillId="5" borderId="3" xfId="0" applyNumberFormat="1" applyFont="1" applyFill="1" applyBorder="1" applyAlignment="1" applyProtection="1">
      <alignment horizontal="left" vertical="center"/>
    </xf>
    <xf numFmtId="49" fontId="47" fillId="5" borderId="62" xfId="0" applyNumberFormat="1" applyFont="1" applyFill="1" applyBorder="1" applyAlignment="1" applyProtection="1">
      <alignment horizontal="left" vertical="center"/>
    </xf>
    <xf numFmtId="186" fontId="47" fillId="5" borderId="48" xfId="0" applyNumberFormat="1" applyFont="1" applyFill="1" applyBorder="1" applyAlignment="1" applyProtection="1">
      <alignment horizontal="left" vertical="center" wrapText="1"/>
    </xf>
    <xf numFmtId="186" fontId="47" fillId="5" borderId="20" xfId="0" applyNumberFormat="1" applyFont="1" applyFill="1" applyBorder="1" applyAlignment="1" applyProtection="1">
      <alignment horizontal="left" vertical="center" wrapText="1"/>
    </xf>
    <xf numFmtId="186" fontId="47" fillId="5" borderId="40" xfId="0" applyNumberFormat="1" applyFont="1" applyFill="1" applyBorder="1" applyAlignment="1" applyProtection="1">
      <alignment horizontal="left" vertical="center" wrapText="1"/>
    </xf>
    <xf numFmtId="189" fontId="48" fillId="5" borderId="1" xfId="0" applyNumberFormat="1" applyFont="1" applyFill="1" applyBorder="1" applyAlignment="1" applyProtection="1">
      <alignment horizontal="left" vertical="center" wrapText="1"/>
    </xf>
    <xf numFmtId="176" fontId="48" fillId="5" borderId="11" xfId="0" applyNumberFormat="1" applyFont="1" applyFill="1" applyBorder="1" applyAlignment="1" applyProtection="1">
      <alignment horizontal="left" vertical="center"/>
    </xf>
    <xf numFmtId="0" fontId="48" fillId="6" borderId="11" xfId="0" applyFont="1" applyFill="1" applyBorder="1" applyAlignment="1" applyProtection="1">
      <alignment horizontal="left" vertical="center"/>
      <protection locked="0"/>
    </xf>
    <xf numFmtId="0" fontId="48" fillId="5" borderId="37" xfId="0" applyFont="1" applyFill="1" applyBorder="1" applyAlignment="1" applyProtection="1">
      <alignment horizontal="left" vertical="center" wrapText="1"/>
      <protection locked="0"/>
    </xf>
    <xf numFmtId="0" fontId="48" fillId="5" borderId="11" xfId="0" applyFont="1" applyFill="1" applyBorder="1" applyAlignment="1" applyProtection="1">
      <alignment horizontal="left" vertical="center"/>
    </xf>
    <xf numFmtId="0" fontId="48" fillId="5" borderId="31" xfId="0" applyFont="1" applyFill="1" applyBorder="1" applyAlignment="1" applyProtection="1">
      <alignment horizontal="left" vertical="center"/>
    </xf>
    <xf numFmtId="189" fontId="48" fillId="5" borderId="0" xfId="0" applyNumberFormat="1" applyFont="1" applyFill="1" applyAlignment="1" applyProtection="1">
      <alignment horizontal="left" vertical="center"/>
    </xf>
    <xf numFmtId="0" fontId="50" fillId="5" borderId="7" xfId="0" applyFont="1" applyFill="1" applyBorder="1" applyAlignment="1" applyProtection="1">
      <alignment horizontal="left"/>
    </xf>
    <xf numFmtId="186" fontId="50" fillId="5" borderId="1" xfId="1" applyNumberFormat="1" applyFont="1" applyFill="1" applyBorder="1" applyAlignment="1" applyProtection="1">
      <alignment horizontal="left"/>
    </xf>
    <xf numFmtId="0" fontId="74" fillId="5" borderId="1" xfId="0" applyFont="1" applyFill="1" applyBorder="1" applyAlignment="1" applyProtection="1">
      <alignment horizontal="left" vertical="center"/>
      <protection locked="0"/>
    </xf>
    <xf numFmtId="179" fontId="50" fillId="0" borderId="1" xfId="1" applyNumberFormat="1" applyFont="1" applyFill="1" applyBorder="1" applyAlignment="1" applyProtection="1">
      <alignment horizontal="left"/>
      <protection locked="0"/>
    </xf>
    <xf numFmtId="177" fontId="50" fillId="5" borderId="6" xfId="1" applyNumberFormat="1" applyFont="1" applyFill="1" applyBorder="1" applyAlignment="1" applyProtection="1">
      <alignment horizontal="left"/>
    </xf>
    <xf numFmtId="0" fontId="103" fillId="5" borderId="1" xfId="0" applyFont="1" applyFill="1" applyBorder="1" applyAlignment="1" applyProtection="1">
      <alignment horizontal="left" vertical="center"/>
    </xf>
    <xf numFmtId="0" fontId="74" fillId="0" borderId="0" xfId="0" applyFont="1" applyFill="1" applyAlignment="1" applyProtection="1">
      <alignment horizontal="left" vertical="center"/>
      <protection locked="0"/>
    </xf>
    <xf numFmtId="0" fontId="50" fillId="5" borderId="7" xfId="1" applyFont="1" applyFill="1" applyBorder="1" applyAlignment="1" applyProtection="1">
      <alignment horizontal="left"/>
    </xf>
    <xf numFmtId="0" fontId="50" fillId="5" borderId="1" xfId="1" applyFont="1" applyFill="1" applyBorder="1" applyAlignment="1" applyProtection="1">
      <alignment horizontal="left"/>
    </xf>
    <xf numFmtId="9" fontId="74" fillId="6" borderId="1" xfId="0" applyNumberFormat="1" applyFont="1" applyFill="1" applyBorder="1" applyAlignment="1" applyProtection="1">
      <alignment horizontal="left" vertical="center"/>
      <protection locked="0"/>
    </xf>
    <xf numFmtId="0" fontId="103" fillId="0" borderId="1" xfId="0" applyFont="1" applyFill="1" applyBorder="1" applyAlignment="1" applyProtection="1">
      <alignment horizontal="left" vertical="center"/>
      <protection locked="0"/>
    </xf>
    <xf numFmtId="0" fontId="51" fillId="5" borderId="8" xfId="1" applyFont="1" applyFill="1" applyBorder="1" applyAlignment="1" applyProtection="1">
      <alignment horizontal="left"/>
    </xf>
    <xf numFmtId="0" fontId="50" fillId="5" borderId="61" xfId="0" applyFont="1" applyFill="1" applyBorder="1" applyAlignment="1" applyProtection="1">
      <alignment horizontal="left"/>
    </xf>
    <xf numFmtId="177" fontId="51" fillId="5" borderId="43" xfId="0" applyNumberFormat="1" applyFont="1" applyFill="1" applyBorder="1" applyAlignment="1" applyProtection="1">
      <alignment horizontal="left"/>
    </xf>
    <xf numFmtId="0" fontId="50" fillId="5" borderId="0" xfId="0" applyFont="1" applyFill="1" applyAlignment="1" applyProtection="1">
      <alignment horizontal="left"/>
    </xf>
    <xf numFmtId="14" fontId="48" fillId="5" borderId="0" xfId="0" applyNumberFormat="1" applyFont="1" applyFill="1" applyAlignment="1" applyProtection="1">
      <alignment horizontal="left" vertical="center"/>
    </xf>
    <xf numFmtId="0" fontId="48" fillId="0" borderId="0" xfId="0" applyFont="1" applyFill="1" applyAlignment="1" applyProtection="1">
      <alignment horizontal="left" vertical="center"/>
    </xf>
    <xf numFmtId="0" fontId="48" fillId="5" borderId="0" xfId="0" applyFont="1" applyFill="1" applyBorder="1" applyAlignment="1" applyProtection="1">
      <alignment horizontal="left"/>
      <protection locked="0"/>
    </xf>
    <xf numFmtId="189" fontId="48" fillId="5" borderId="0" xfId="0" applyNumberFormat="1" applyFont="1" applyFill="1" applyBorder="1" applyAlignment="1" applyProtection="1">
      <alignment horizontal="left"/>
      <protection locked="0"/>
    </xf>
    <xf numFmtId="181" fontId="48" fillId="5" borderId="0" xfId="0" applyNumberFormat="1" applyFont="1" applyFill="1" applyBorder="1" applyAlignment="1" applyProtection="1">
      <alignment horizontal="left"/>
      <protection locked="0"/>
    </xf>
    <xf numFmtId="0" fontId="48" fillId="0" borderId="0" xfId="0" applyFont="1" applyBorder="1" applyAlignment="1" applyProtection="1">
      <alignment horizontal="left"/>
      <protection locked="0"/>
    </xf>
    <xf numFmtId="0" fontId="43" fillId="5" borderId="5" xfId="0" applyNumberFormat="1" applyFont="1" applyFill="1" applyBorder="1" applyAlignment="1" applyProtection="1">
      <alignment horizontal="left" vertical="center"/>
    </xf>
    <xf numFmtId="0" fontId="43" fillId="5" borderId="21" xfId="0" applyNumberFormat="1" applyFont="1" applyFill="1" applyBorder="1" applyAlignment="1" applyProtection="1">
      <alignment horizontal="left" vertical="center"/>
    </xf>
    <xf numFmtId="0" fontId="41" fillId="5" borderId="28" xfId="0" applyNumberFormat="1" applyFont="1" applyFill="1" applyBorder="1" applyAlignment="1" applyProtection="1">
      <alignment horizontal="left" vertical="center" wrapText="1"/>
    </xf>
    <xf numFmtId="49" fontId="41" fillId="0" borderId="0" xfId="0" applyNumberFormat="1" applyFont="1" applyFill="1" applyBorder="1" applyAlignment="1" applyProtection="1">
      <alignment horizontal="left" vertical="center"/>
    </xf>
    <xf numFmtId="49" fontId="41" fillId="0" borderId="0" xfId="0" applyNumberFormat="1" applyFont="1" applyFill="1" applyAlignment="1" applyProtection="1">
      <alignment horizontal="left" vertical="center"/>
    </xf>
    <xf numFmtId="0" fontId="43" fillId="6" borderId="7" xfId="0" applyNumberFormat="1" applyFont="1" applyFill="1" applyBorder="1" applyAlignment="1" applyProtection="1">
      <alignment horizontal="left" vertical="center" wrapText="1"/>
      <protection locked="0"/>
    </xf>
    <xf numFmtId="10" fontId="43" fillId="5" borderId="1" xfId="0" applyNumberFormat="1" applyFont="1" applyFill="1" applyBorder="1" applyAlignment="1" applyProtection="1">
      <alignment horizontal="left" vertical="center" wrapText="1"/>
    </xf>
    <xf numFmtId="0" fontId="41" fillId="0" borderId="2" xfId="0" applyNumberFormat="1" applyFont="1" applyFill="1" applyBorder="1" applyAlignment="1" applyProtection="1">
      <alignment horizontal="left" vertical="center" wrapText="1"/>
      <protection locked="0"/>
    </xf>
    <xf numFmtId="0" fontId="41" fillId="0" borderId="41" xfId="0" applyNumberFormat="1" applyFont="1" applyFill="1" applyBorder="1" applyAlignment="1" applyProtection="1">
      <alignment horizontal="left" vertical="center" wrapText="1"/>
      <protection locked="0"/>
    </xf>
    <xf numFmtId="0" fontId="41" fillId="0" borderId="30" xfId="0" applyNumberFormat="1" applyFont="1" applyFill="1" applyBorder="1" applyAlignment="1" applyProtection="1">
      <alignment horizontal="left" vertical="center" wrapText="1"/>
      <protection locked="0"/>
    </xf>
    <xf numFmtId="0" fontId="100"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1" fillId="5" borderId="33" xfId="0" applyNumberFormat="1" applyFont="1" applyFill="1" applyBorder="1" applyAlignment="1" applyProtection="1">
      <alignment horizontal="left" vertical="center" wrapText="1"/>
    </xf>
    <xf numFmtId="0" fontId="48" fillId="0" borderId="18" xfId="0" applyNumberFormat="1" applyFont="1" applyFill="1" applyBorder="1" applyAlignment="1" applyProtection="1">
      <alignment horizontal="left" vertical="center" wrapText="1"/>
      <protection locked="0"/>
    </xf>
    <xf numFmtId="0" fontId="48" fillId="0" borderId="58" xfId="0" applyNumberFormat="1" applyFont="1" applyFill="1" applyBorder="1" applyAlignment="1" applyProtection="1">
      <alignment horizontal="left" vertical="center" wrapText="1"/>
      <protection locked="0"/>
    </xf>
    <xf numFmtId="0" fontId="100" fillId="5" borderId="31" xfId="0" applyNumberFormat="1" applyFont="1" applyFill="1" applyBorder="1" applyAlignment="1" applyProtection="1">
      <alignment horizontal="left" vertical="center" wrapText="1"/>
    </xf>
    <xf numFmtId="0" fontId="46" fillId="5" borderId="71" xfId="0" applyNumberFormat="1"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103" fillId="5" borderId="0" xfId="0" applyFont="1" applyFill="1" applyBorder="1" applyAlignment="1" applyProtection="1">
      <alignment horizontal="left" vertical="center"/>
    </xf>
    <xf numFmtId="0" fontId="50" fillId="5" borderId="34" xfId="0" applyFont="1" applyFill="1" applyBorder="1" applyAlignment="1" applyProtection="1">
      <alignment horizontal="left" vertical="center"/>
    </xf>
    <xf numFmtId="0" fontId="48" fillId="5" borderId="1" xfId="0" applyNumberFormat="1" applyFont="1" applyFill="1" applyBorder="1" applyAlignment="1" applyProtection="1">
      <alignment horizontal="left" vertical="center"/>
    </xf>
    <xf numFmtId="0" fontId="48" fillId="5" borderId="2"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6"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textRotation="255" wrapText="1"/>
    </xf>
    <xf numFmtId="0" fontId="48" fillId="5" borderId="49" xfId="0" applyFont="1" applyFill="1" applyBorder="1" applyAlignment="1" applyProtection="1">
      <alignment horizontal="left" vertical="center"/>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xf>
    <xf numFmtId="0" fontId="103" fillId="0" borderId="0" xfId="0" applyFont="1" applyAlignment="1" applyProtection="1">
      <alignment horizontal="left" vertical="center"/>
    </xf>
    <xf numFmtId="0" fontId="44" fillId="5" borderId="26" xfId="0" applyFont="1" applyFill="1" applyBorder="1" applyAlignment="1" applyProtection="1">
      <alignment horizontal="left" vertical="center" wrapText="1"/>
    </xf>
    <xf numFmtId="0" fontId="44" fillId="5" borderId="7"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wrapText="1"/>
    </xf>
    <xf numFmtId="10" fontId="44" fillId="5" borderId="51" xfId="0" applyNumberFormat="1" applyFont="1" applyFill="1" applyBorder="1" applyAlignment="1" applyProtection="1">
      <alignment horizontal="left" vertical="center" wrapText="1"/>
    </xf>
    <xf numFmtId="10" fontId="44" fillId="5" borderId="41" xfId="0" applyNumberFormat="1"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4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41" fillId="5" borderId="51" xfId="0" applyFont="1" applyFill="1" applyBorder="1" applyAlignment="1" applyProtection="1">
      <alignment horizontal="left" vertical="center"/>
    </xf>
    <xf numFmtId="0" fontId="77" fillId="18" borderId="3" xfId="0" applyFont="1" applyFill="1" applyBorder="1" applyAlignment="1" applyProtection="1">
      <alignment horizontal="left" vertical="center" wrapText="1"/>
      <protection locked="0"/>
    </xf>
    <xf numFmtId="0" fontId="102" fillId="5" borderId="46" xfId="1" applyFont="1" applyFill="1" applyBorder="1" applyAlignment="1" applyProtection="1">
      <alignment horizontal="left" vertical="center"/>
    </xf>
    <xf numFmtId="0" fontId="54" fillId="5" borderId="47" xfId="1" applyFont="1" applyFill="1" applyBorder="1" applyAlignment="1" applyProtection="1">
      <alignment horizontal="left" vertical="center"/>
    </xf>
    <xf numFmtId="0" fontId="54" fillId="5" borderId="37" xfId="1" applyFont="1" applyFill="1" applyBorder="1" applyAlignment="1" applyProtection="1">
      <alignment horizontal="left" vertical="center"/>
    </xf>
    <xf numFmtId="0" fontId="50" fillId="5" borderId="0" xfId="0" applyFont="1" applyFill="1" applyAlignment="1" applyProtection="1">
      <alignment horizontal="left" vertical="center" wrapText="1"/>
    </xf>
    <xf numFmtId="0" fontId="100" fillId="5" borderId="4" xfId="0" applyNumberFormat="1" applyFont="1" applyFill="1" applyBorder="1" applyAlignment="1" applyProtection="1">
      <alignment horizontal="left" vertical="center"/>
    </xf>
    <xf numFmtId="0" fontId="100" fillId="5" borderId="13" xfId="0" applyNumberFormat="1" applyFont="1" applyFill="1" applyBorder="1" applyAlignment="1" applyProtection="1">
      <alignment horizontal="left" vertical="center"/>
    </xf>
    <xf numFmtId="10" fontId="50" fillId="5" borderId="31" xfId="0" applyNumberFormat="1" applyFont="1" applyFill="1" applyBorder="1" applyAlignment="1" applyProtection="1">
      <alignment horizontal="left" vertical="center" wrapText="1"/>
    </xf>
    <xf numFmtId="0" fontId="55" fillId="5" borderId="1" xfId="6" applyFont="1" applyFill="1" applyBorder="1" applyAlignment="1" applyProtection="1">
      <alignment horizontal="left" vertical="center" wrapText="1"/>
    </xf>
    <xf numFmtId="0" fontId="50" fillId="5" borderId="0" xfId="6" applyFont="1" applyFill="1" applyAlignment="1" applyProtection="1">
      <alignment horizontal="left" vertical="center" wrapText="1"/>
      <protection locked="0"/>
    </xf>
    <xf numFmtId="0" fontId="50" fillId="8" borderId="0" xfId="6" applyFont="1" applyFill="1" applyAlignment="1" applyProtection="1">
      <alignment horizontal="left" vertical="center" wrapText="1"/>
    </xf>
    <xf numFmtId="0" fontId="50" fillId="0" borderId="0" xfId="6" applyFont="1" applyAlignment="1" applyProtection="1">
      <alignment horizontal="left" vertical="center" wrapText="1"/>
    </xf>
    <xf numFmtId="0" fontId="54" fillId="5" borderId="2" xfId="1" applyFont="1" applyFill="1" applyBorder="1" applyAlignment="1" applyProtection="1">
      <alignment horizontal="left" vertical="center"/>
    </xf>
    <xf numFmtId="0" fontId="50" fillId="6" borderId="1" xfId="0" applyNumberFormat="1" applyFont="1" applyFill="1" applyBorder="1" applyAlignment="1" applyProtection="1">
      <alignment horizontal="left" vertical="center" wrapText="1"/>
      <protection locked="0"/>
    </xf>
    <xf numFmtId="49" fontId="50" fillId="5" borderId="1" xfId="0" applyNumberFormat="1" applyFont="1" applyFill="1" applyBorder="1" applyAlignment="1" applyProtection="1">
      <alignment horizontal="left" vertical="center" wrapText="1"/>
    </xf>
    <xf numFmtId="0" fontId="50" fillId="5" borderId="0" xfId="0" applyNumberFormat="1" applyFont="1" applyFill="1" applyAlignment="1" applyProtection="1">
      <alignment horizontal="left" vertical="center" wrapText="1"/>
    </xf>
    <xf numFmtId="0" fontId="100" fillId="5" borderId="7" xfId="0" applyNumberFormat="1" applyFont="1" applyFill="1" applyBorder="1" applyAlignment="1" applyProtection="1">
      <alignment horizontal="left" vertical="center"/>
    </xf>
    <xf numFmtId="0" fontId="100" fillId="5" borderId="2" xfId="0" applyNumberFormat="1" applyFont="1" applyFill="1" applyBorder="1" applyAlignment="1" applyProtection="1">
      <alignment horizontal="left" vertical="center"/>
    </xf>
    <xf numFmtId="10" fontId="50" fillId="5" borderId="6" xfId="0" applyNumberFormat="1" applyFont="1" applyFill="1" applyBorder="1" applyAlignment="1" applyProtection="1">
      <alignment horizontal="left" vertical="center" wrapText="1"/>
    </xf>
    <xf numFmtId="0" fontId="55" fillId="0" borderId="1" xfId="6" applyFont="1" applyFill="1" applyBorder="1" applyAlignment="1" applyProtection="1">
      <alignment horizontal="left" vertical="center" wrapText="1"/>
      <protection locked="0"/>
    </xf>
    <xf numFmtId="179"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7" fillId="5" borderId="44" xfId="0" applyFont="1" applyFill="1" applyBorder="1" applyAlignment="1" applyProtection="1">
      <alignment horizontal="left" vertical="center"/>
    </xf>
    <xf numFmtId="0" fontId="181" fillId="5" borderId="44" xfId="0" applyFont="1" applyFill="1" applyBorder="1" applyAlignment="1" applyProtection="1">
      <alignment horizontal="left" vertical="center"/>
    </xf>
    <xf numFmtId="0" fontId="47" fillId="5" borderId="44"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48" fillId="0" borderId="0" xfId="0" applyFont="1" applyAlignment="1" applyProtection="1">
      <alignment horizontal="left" vertical="center" wrapText="1"/>
    </xf>
    <xf numFmtId="0" fontId="51" fillId="5" borderId="9" xfId="0" applyFont="1" applyFill="1" applyBorder="1" applyAlignment="1" applyProtection="1">
      <alignment horizontal="left" vertical="center" wrapText="1"/>
    </xf>
    <xf numFmtId="0" fontId="51" fillId="5" borderId="14" xfId="0" applyFont="1" applyFill="1" applyBorder="1" applyAlignment="1" applyProtection="1">
      <alignment horizontal="left" vertical="center"/>
    </xf>
    <xf numFmtId="0" fontId="119" fillId="5" borderId="14" xfId="0" applyFont="1" applyFill="1" applyBorder="1" applyAlignment="1" applyProtection="1">
      <alignment horizontal="left" vertical="center"/>
    </xf>
    <xf numFmtId="0" fontId="50" fillId="5" borderId="66" xfId="0" applyFont="1" applyFill="1" applyBorder="1" applyAlignment="1" applyProtection="1">
      <alignment horizontal="left" vertical="center" wrapText="1"/>
    </xf>
    <xf numFmtId="0" fontId="50" fillId="5" borderId="81" xfId="0" applyFont="1" applyFill="1" applyBorder="1" applyAlignment="1" applyProtection="1">
      <alignment horizontal="left" vertical="center" wrapText="1"/>
    </xf>
    <xf numFmtId="0" fontId="51" fillId="5" borderId="13"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0" borderId="11" xfId="0" applyFont="1" applyFill="1" applyBorder="1" applyAlignment="1" applyProtection="1">
      <alignment horizontal="left" vertical="center" wrapText="1"/>
      <protection locked="0"/>
    </xf>
    <xf numFmtId="0" fontId="50" fillId="5" borderId="37" xfId="0" applyFont="1" applyFill="1" applyBorder="1" applyAlignment="1" applyProtection="1">
      <alignment horizontal="left" vertical="center" wrapText="1"/>
    </xf>
    <xf numFmtId="0" fontId="50" fillId="5" borderId="79" xfId="0" applyFont="1" applyFill="1" applyBorder="1" applyAlignment="1" applyProtection="1">
      <alignment horizontal="left" vertical="center" wrapText="1"/>
    </xf>
    <xf numFmtId="0" fontId="50" fillId="5" borderId="3" xfId="6" applyFont="1" applyFill="1" applyBorder="1" applyAlignment="1" applyProtection="1">
      <alignment horizontal="left" vertical="center" wrapText="1"/>
      <protection locked="0"/>
    </xf>
    <xf numFmtId="0" fontId="50" fillId="5" borderId="1" xfId="6" applyFont="1" applyFill="1" applyBorder="1" applyAlignment="1" applyProtection="1">
      <alignment horizontal="left" vertical="center" wrapText="1"/>
      <protection locked="0"/>
    </xf>
    <xf numFmtId="179" fontId="50" fillId="5" borderId="1" xfId="6" applyNumberFormat="1"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5" borderId="64" xfId="0" applyFont="1" applyFill="1" applyBorder="1" applyAlignment="1" applyProtection="1">
      <alignment horizontal="left" vertical="center" wrapText="1"/>
    </xf>
    <xf numFmtId="0" fontId="50" fillId="5" borderId="2" xfId="0" applyFont="1" applyFill="1" applyBorder="1" applyAlignment="1" applyProtection="1">
      <alignment horizontal="left" vertical="center"/>
    </xf>
    <xf numFmtId="0" fontId="50" fillId="5" borderId="51" xfId="0" applyFont="1" applyFill="1" applyBorder="1" applyAlignment="1" applyProtection="1">
      <alignment horizontal="left" vertical="center" wrapText="1"/>
    </xf>
    <xf numFmtId="0" fontId="50" fillId="5" borderId="41" xfId="0" applyFont="1" applyFill="1" applyBorder="1" applyAlignment="1" applyProtection="1">
      <alignment horizontal="left" vertical="center" wrapText="1"/>
    </xf>
    <xf numFmtId="0" fontId="103" fillId="5" borderId="1" xfId="6" applyFont="1" applyFill="1" applyBorder="1" applyAlignment="1" applyProtection="1">
      <alignment horizontal="left" vertical="center"/>
    </xf>
    <xf numFmtId="9" fontId="50" fillId="5" borderId="1" xfId="0" applyNumberFormat="1" applyFont="1" applyFill="1" applyBorder="1" applyAlignment="1" applyProtection="1">
      <alignment horizontal="left" vertical="center" wrapText="1"/>
    </xf>
    <xf numFmtId="186" fontId="103" fillId="5" borderId="1" xfId="6" applyNumberFormat="1" applyFont="1" applyFill="1" applyBorder="1" applyAlignment="1" applyProtection="1">
      <alignment horizontal="left" vertical="center"/>
    </xf>
    <xf numFmtId="177" fontId="119" fillId="0" borderId="1" xfId="6" applyNumberFormat="1" applyFont="1" applyFill="1" applyBorder="1" applyAlignment="1" applyProtection="1">
      <alignment horizontal="left" vertical="center"/>
    </xf>
    <xf numFmtId="177" fontId="119" fillId="5" borderId="1" xfId="6" applyNumberFormat="1" applyFont="1" applyFill="1" applyBorder="1" applyAlignment="1" applyProtection="1">
      <alignment horizontal="left" vertical="center"/>
    </xf>
    <xf numFmtId="187" fontId="119" fillId="5" borderId="1" xfId="6" applyNumberFormat="1" applyFont="1" applyFill="1" applyBorder="1" applyAlignment="1" applyProtection="1">
      <alignment horizontal="left" vertical="center" wrapText="1"/>
    </xf>
    <xf numFmtId="0" fontId="50" fillId="5" borderId="35" xfId="0" applyFont="1" applyFill="1" applyBorder="1" applyAlignment="1" applyProtection="1">
      <alignment horizontal="left" vertical="center"/>
    </xf>
    <xf numFmtId="0" fontId="50" fillId="5" borderId="36" xfId="0" applyFont="1" applyFill="1" applyBorder="1" applyAlignment="1" applyProtection="1">
      <alignment horizontal="left" vertical="center" wrapText="1"/>
    </xf>
    <xf numFmtId="0" fontId="50" fillId="5" borderId="80" xfId="0" applyFont="1" applyFill="1" applyBorder="1" applyAlignment="1" applyProtection="1">
      <alignment horizontal="left" vertical="center" wrapText="1"/>
    </xf>
    <xf numFmtId="0" fontId="50" fillId="5" borderId="1" xfId="6" applyFont="1" applyFill="1" applyBorder="1" applyAlignment="1" applyProtection="1">
      <alignment horizontal="left" vertical="center" wrapText="1"/>
    </xf>
    <xf numFmtId="0" fontId="50" fillId="5" borderId="1" xfId="6" applyNumberFormat="1" applyFont="1" applyFill="1" applyBorder="1" applyAlignment="1" applyProtection="1">
      <alignment horizontal="left" vertical="center" wrapText="1"/>
    </xf>
    <xf numFmtId="0" fontId="50" fillId="5" borderId="13" xfId="0" applyFont="1" applyFill="1" applyBorder="1" applyAlignment="1" applyProtection="1">
      <alignment horizontal="left" vertical="center"/>
    </xf>
    <xf numFmtId="0" fontId="50" fillId="5" borderId="47" xfId="0" applyFont="1" applyFill="1" applyBorder="1" applyAlignment="1" applyProtection="1">
      <alignment horizontal="left" vertical="center" wrapText="1"/>
    </xf>
    <xf numFmtId="0" fontId="50" fillId="5" borderId="38" xfId="0" applyFont="1" applyFill="1" applyBorder="1" applyAlignment="1" applyProtection="1">
      <alignment horizontal="left" vertical="center" wrapText="1"/>
    </xf>
    <xf numFmtId="0" fontId="100" fillId="5" borderId="8" xfId="0" applyNumberFormat="1" applyFont="1" applyFill="1" applyBorder="1" applyAlignment="1" applyProtection="1">
      <alignment horizontal="left" vertical="center"/>
    </xf>
    <xf numFmtId="0" fontId="100" fillId="5" borderId="44" xfId="0" applyNumberFormat="1" applyFont="1" applyFill="1" applyBorder="1" applyAlignment="1" applyProtection="1">
      <alignment horizontal="left" vertical="center"/>
    </xf>
    <xf numFmtId="10" fontId="50" fillId="5" borderId="43" xfId="0" applyNumberFormat="1" applyFont="1" applyFill="1" applyBorder="1" applyAlignment="1" applyProtection="1">
      <alignment horizontal="left" vertical="center" wrapText="1"/>
    </xf>
    <xf numFmtId="0" fontId="103" fillId="5" borderId="1" xfId="6" applyFont="1" applyFill="1" applyBorder="1" applyAlignment="1" applyProtection="1">
      <alignment horizontal="left" vertical="center" wrapText="1"/>
    </xf>
    <xf numFmtId="0" fontId="103" fillId="5" borderId="3"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protection locked="0"/>
    </xf>
    <xf numFmtId="0" fontId="50" fillId="0" borderId="6" xfId="0" applyFont="1" applyFill="1" applyBorder="1" applyAlignment="1" applyProtection="1">
      <alignment horizontal="left" vertical="center" wrapText="1"/>
      <protection locked="0"/>
    </xf>
    <xf numFmtId="0" fontId="103" fillId="6" borderId="3" xfId="0" applyFont="1" applyFill="1" applyBorder="1" applyAlignment="1" applyProtection="1">
      <alignment horizontal="left" vertical="center" wrapText="1"/>
      <protection locked="0"/>
    </xf>
    <xf numFmtId="0" fontId="103" fillId="6" borderId="1" xfId="0" applyFont="1" applyFill="1" applyBorder="1" applyAlignment="1" applyProtection="1">
      <alignment horizontal="left" vertical="center" wrapText="1"/>
      <protection locked="0"/>
    </xf>
    <xf numFmtId="0" fontId="103" fillId="6" borderId="17" xfId="0" applyFont="1" applyFill="1" applyBorder="1" applyAlignment="1" applyProtection="1">
      <alignment horizontal="left" vertical="center" wrapText="1"/>
      <protection locked="0"/>
    </xf>
    <xf numFmtId="0" fontId="45" fillId="5" borderId="64" xfId="0" applyFont="1" applyFill="1" applyBorder="1" applyAlignment="1" applyProtection="1">
      <alignment horizontal="left" vertical="center"/>
    </xf>
    <xf numFmtId="0" fontId="50" fillId="5" borderId="0" xfId="0" applyFont="1" applyFill="1" applyBorder="1" applyAlignment="1" applyProtection="1">
      <alignment horizontal="left" vertical="center" wrapText="1"/>
    </xf>
    <xf numFmtId="0" fontId="119" fillId="5" borderId="65" xfId="0" applyFont="1" applyFill="1" applyBorder="1" applyAlignment="1" applyProtection="1">
      <alignment horizontal="left" vertical="center"/>
    </xf>
    <xf numFmtId="0" fontId="119" fillId="5" borderId="68" xfId="0" applyFont="1" applyFill="1" applyBorder="1" applyAlignment="1" applyProtection="1">
      <alignment horizontal="left" vertical="center"/>
    </xf>
    <xf numFmtId="0" fontId="50" fillId="5" borderId="61" xfId="0" applyFont="1" applyFill="1" applyBorder="1" applyAlignment="1" applyProtection="1">
      <alignment horizontal="left" vertical="center" wrapText="1"/>
    </xf>
    <xf numFmtId="0" fontId="50" fillId="0" borderId="61" xfId="0" applyFont="1" applyFill="1" applyBorder="1" applyAlignment="1" applyProtection="1">
      <alignment horizontal="left" vertical="center" wrapText="1"/>
      <protection locked="0"/>
    </xf>
    <xf numFmtId="0" fontId="50" fillId="0" borderId="43" xfId="0" applyFont="1" applyFill="1" applyBorder="1" applyAlignment="1" applyProtection="1">
      <alignment horizontal="left" vertical="center" wrapText="1"/>
      <protection locked="0"/>
    </xf>
    <xf numFmtId="0" fontId="50" fillId="6" borderId="1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31" xfId="0" applyFont="1" applyFill="1" applyBorder="1" applyAlignment="1" applyProtection="1">
      <alignment horizontal="left" vertical="center" wrapText="1"/>
      <protection locked="0"/>
    </xf>
    <xf numFmtId="0" fontId="50" fillId="5" borderId="71" xfId="0" applyFont="1" applyFill="1" applyBorder="1" applyAlignment="1" applyProtection="1">
      <alignment horizontal="left" vertical="center" wrapText="1"/>
    </xf>
    <xf numFmtId="0" fontId="50" fillId="5" borderId="44"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wrapText="1"/>
      <protection locked="0"/>
    </xf>
    <xf numFmtId="0" fontId="50" fillId="5" borderId="72" xfId="0" applyFont="1" applyFill="1" applyBorder="1" applyAlignment="1" applyProtection="1">
      <alignment horizontal="left" vertical="center" wrapText="1"/>
    </xf>
    <xf numFmtId="0" fontId="50" fillId="5" borderId="73" xfId="0" applyFont="1" applyFill="1" applyBorder="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72" xfId="0" applyFont="1" applyFill="1" applyBorder="1" applyAlignment="1" applyProtection="1">
      <alignment horizontal="left" vertical="center" wrapText="1"/>
    </xf>
    <xf numFmtId="0" fontId="50" fillId="5" borderId="72" xfId="0" applyFont="1" applyFill="1" applyBorder="1" applyAlignment="1" applyProtection="1">
      <alignment horizontal="left" vertical="center"/>
    </xf>
    <xf numFmtId="0" fontId="48"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187" fontId="47" fillId="5" borderId="84" xfId="0" applyNumberFormat="1" applyFont="1" applyFill="1" applyBorder="1" applyAlignment="1" applyProtection="1">
      <alignment horizontal="left" vertical="center" wrapText="1"/>
    </xf>
    <xf numFmtId="0" fontId="48" fillId="5" borderId="84" xfId="0" applyFont="1" applyFill="1" applyBorder="1" applyAlignment="1" applyProtection="1">
      <alignment horizontal="left" vertical="center" wrapText="1"/>
    </xf>
    <xf numFmtId="14" fontId="48" fillId="5" borderId="84" xfId="0" applyNumberFormat="1" applyFont="1" applyFill="1" applyBorder="1" applyAlignment="1" applyProtection="1">
      <alignment horizontal="left" vertical="center" wrapText="1"/>
    </xf>
    <xf numFmtId="14" fontId="48" fillId="5" borderId="66" xfId="0" applyNumberFormat="1" applyFont="1" applyFill="1" applyBorder="1" applyAlignment="1" applyProtection="1">
      <alignment horizontal="left" vertical="center" wrapText="1"/>
    </xf>
    <xf numFmtId="0" fontId="48" fillId="6" borderId="84" xfId="6" applyFont="1" applyFill="1" applyBorder="1" applyAlignment="1" applyProtection="1">
      <alignment horizontal="left" vertical="center" wrapText="1"/>
      <protection locked="0"/>
    </xf>
    <xf numFmtId="10" fontId="48" fillId="5" borderId="66" xfId="0" applyNumberFormat="1"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55" fillId="5" borderId="31" xfId="0" applyFont="1" applyFill="1" applyBorder="1" applyAlignment="1" applyProtection="1">
      <alignment horizontal="left" vertical="center" wrapText="1"/>
    </xf>
    <xf numFmtId="0" fontId="50" fillId="5" borderId="55" xfId="0" applyFont="1" applyFill="1" applyBorder="1" applyAlignment="1" applyProtection="1">
      <alignment horizontal="left" vertical="center" wrapText="1"/>
    </xf>
    <xf numFmtId="0" fontId="103" fillId="5" borderId="15" xfId="0" applyFont="1" applyFill="1" applyBorder="1" applyAlignment="1" applyProtection="1">
      <alignment horizontal="left" vertical="center" wrapText="1"/>
    </xf>
    <xf numFmtId="10" fontId="50" fillId="8" borderId="0" xfId="0" applyNumberFormat="1" applyFont="1" applyFill="1" applyAlignment="1" applyProtection="1">
      <alignment horizontal="left" vertical="center" wrapText="1"/>
      <protection locked="0"/>
    </xf>
    <xf numFmtId="10" fontId="50" fillId="0" borderId="0" xfId="0" applyNumberFormat="1" applyFont="1" applyAlignment="1" applyProtection="1">
      <alignment horizontal="left" vertical="center" wrapText="1"/>
    </xf>
    <xf numFmtId="187" fontId="47" fillId="5" borderId="57" xfId="0" applyNumberFormat="1"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50" fillId="5" borderId="12" xfId="0" applyFont="1" applyFill="1" applyBorder="1" applyAlignment="1" applyProtection="1">
      <alignment horizontal="left" vertical="center" wrapText="1"/>
    </xf>
    <xf numFmtId="0" fontId="50" fillId="5" borderId="59"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55" fillId="5" borderId="43" xfId="0" applyFont="1" applyFill="1" applyBorder="1" applyAlignment="1" applyProtection="1">
      <alignment horizontal="left" vertical="center" wrapText="1"/>
    </xf>
    <xf numFmtId="0" fontId="48" fillId="5" borderId="5" xfId="6" applyFont="1" applyFill="1" applyBorder="1" applyAlignment="1" applyProtection="1">
      <alignment horizontal="left" vertical="center" wrapText="1"/>
      <protection locked="0"/>
    </xf>
    <xf numFmtId="0" fontId="48" fillId="5" borderId="11" xfId="6" applyFont="1" applyFill="1" applyBorder="1" applyAlignment="1" applyProtection="1">
      <alignment horizontal="left" vertical="center" wrapText="1"/>
      <protection locked="0"/>
    </xf>
    <xf numFmtId="0" fontId="48" fillId="5" borderId="79" xfId="6" applyFont="1" applyFill="1" applyBorder="1" applyAlignment="1" applyProtection="1">
      <alignment horizontal="left" vertical="center"/>
      <protection locked="0"/>
    </xf>
    <xf numFmtId="0" fontId="47" fillId="5" borderId="4" xfId="0"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xf>
    <xf numFmtId="0" fontId="48" fillId="5" borderId="7" xfId="6" applyFont="1" applyFill="1" applyBorder="1" applyAlignment="1" applyProtection="1">
      <alignment horizontal="left" vertical="center" wrapText="1"/>
    </xf>
    <xf numFmtId="10" fontId="48" fillId="0" borderId="3" xfId="6" applyNumberFormat="1" applyFont="1" applyFill="1" applyBorder="1" applyAlignment="1" applyProtection="1">
      <alignment horizontal="left" vertical="center" wrapText="1"/>
      <protection locked="0"/>
    </xf>
    <xf numFmtId="10" fontId="50" fillId="5" borderId="6" xfId="6" applyNumberFormat="1"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187" fontId="50" fillId="5" borderId="49" xfId="0" applyNumberFormat="1" applyFont="1" applyFill="1" applyBorder="1" applyAlignment="1" applyProtection="1">
      <alignment horizontal="left" vertical="center" wrapText="1"/>
    </xf>
    <xf numFmtId="187" fontId="50" fillId="5" borderId="60" xfId="0" applyNumberFormat="1"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187" fontId="47" fillId="5" borderId="61" xfId="0" applyNumberFormat="1" applyFont="1" applyFill="1" applyBorder="1" applyAlignment="1" applyProtection="1">
      <alignment horizontal="left" vertical="center" wrapText="1"/>
    </xf>
    <xf numFmtId="0" fontId="50" fillId="5" borderId="4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5" borderId="43" xfId="0" applyFont="1" applyFill="1" applyBorder="1" applyAlignment="1" applyProtection="1">
      <alignment horizontal="left" vertical="center" wrapText="1"/>
    </xf>
    <xf numFmtId="0" fontId="48" fillId="5" borderId="8" xfId="6" applyFont="1" applyFill="1" applyBorder="1" applyAlignment="1" applyProtection="1">
      <alignment horizontal="left" vertical="center" wrapText="1"/>
    </xf>
    <xf numFmtId="10" fontId="48" fillId="0" borderId="56" xfId="6" applyNumberFormat="1" applyFont="1" applyFill="1" applyBorder="1" applyAlignment="1" applyProtection="1">
      <alignment horizontal="left" vertical="center" wrapText="1"/>
      <protection locked="0"/>
    </xf>
    <xf numFmtId="10" fontId="50" fillId="5" borderId="43" xfId="6" applyNumberFormat="1" applyFont="1" applyFill="1" applyBorder="1" applyAlignment="1" applyProtection="1">
      <alignment horizontal="left" vertical="center" wrapText="1"/>
    </xf>
    <xf numFmtId="0" fontId="51" fillId="5" borderId="47" xfId="0" applyFont="1" applyFill="1" applyBorder="1" applyAlignment="1" applyProtection="1">
      <alignment horizontal="left" vertical="center" wrapText="1"/>
    </xf>
    <xf numFmtId="0" fontId="51" fillId="5" borderId="37" xfId="0" applyFont="1" applyFill="1" applyBorder="1" applyAlignment="1" applyProtection="1">
      <alignment horizontal="left" vertical="center" wrapText="1"/>
    </xf>
    <xf numFmtId="0" fontId="50" fillId="5" borderId="60" xfId="0" applyFont="1" applyFill="1" applyBorder="1" applyAlignment="1" applyProtection="1">
      <alignment horizontal="left" vertical="center" wrapText="1"/>
    </xf>
    <xf numFmtId="0" fontId="50" fillId="5" borderId="53" xfId="0" applyFont="1" applyFill="1" applyBorder="1" applyAlignment="1" applyProtection="1">
      <alignment horizontal="left" vertical="center" wrapText="1"/>
    </xf>
    <xf numFmtId="0" fontId="51" fillId="5" borderId="49"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51" fillId="5" borderId="40" xfId="0" applyFont="1" applyFill="1" applyBorder="1" applyAlignment="1" applyProtection="1">
      <alignment horizontal="left" vertical="center" wrapText="1"/>
    </xf>
    <xf numFmtId="0" fontId="50" fillId="5" borderId="30" xfId="0"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9" fontId="50" fillId="5" borderId="6" xfId="0" applyNumberFormat="1" applyFont="1" applyFill="1" applyBorder="1" applyAlignment="1" applyProtection="1">
      <alignment horizontal="left" vertical="center" wrapText="1"/>
    </xf>
    <xf numFmtId="0" fontId="51" fillId="5" borderId="28"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51" fillId="5" borderId="13" xfId="0" applyFont="1" applyFill="1" applyBorder="1" applyAlignment="1" applyProtection="1">
      <alignment horizontal="left" vertical="center" wrapText="1"/>
    </xf>
    <xf numFmtId="9" fontId="50" fillId="5" borderId="8" xfId="0" applyNumberFormat="1" applyFont="1" applyFill="1" applyBorder="1" applyAlignment="1" applyProtection="1">
      <alignment horizontal="left" vertical="center" wrapText="1"/>
    </xf>
    <xf numFmtId="10" fontId="50" fillId="5" borderId="61" xfId="0" applyNumberFormat="1"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50" fillId="0" borderId="1" xfId="0" applyFont="1" applyBorder="1" applyAlignment="1" applyProtection="1">
      <alignment horizontal="left" vertical="center" wrapText="1"/>
      <protection locked="0"/>
    </xf>
    <xf numFmtId="0" fontId="103" fillId="5" borderId="2" xfId="0" applyFont="1" applyFill="1" applyBorder="1" applyAlignment="1" applyProtection="1">
      <alignment horizontal="left" vertical="center"/>
    </xf>
    <xf numFmtId="0" fontId="103" fillId="5" borderId="51" xfId="0" applyFont="1" applyFill="1" applyBorder="1" applyAlignment="1" applyProtection="1">
      <alignment horizontal="left" vertical="center"/>
    </xf>
    <xf numFmtId="0" fontId="103" fillId="5" borderId="41" xfId="0" applyFont="1" applyFill="1" applyBorder="1" applyAlignment="1" applyProtection="1">
      <alignment horizontal="left" vertical="center"/>
    </xf>
    <xf numFmtId="0" fontId="51" fillId="5" borderId="42" xfId="0" applyFont="1" applyFill="1" applyBorder="1" applyAlignment="1" applyProtection="1">
      <alignment horizontal="left" vertical="center" wrapText="1"/>
    </xf>
    <xf numFmtId="0" fontId="50" fillId="0" borderId="61" xfId="0" applyFont="1" applyBorder="1" applyAlignment="1" applyProtection="1">
      <alignment horizontal="left" vertical="center" wrapText="1"/>
      <protection locked="0"/>
    </xf>
    <xf numFmtId="0" fontId="50" fillId="5" borderId="61" xfId="0" applyFont="1" applyFill="1" applyBorder="1" applyAlignment="1" applyProtection="1">
      <alignment horizontal="left" vertical="center"/>
    </xf>
    <xf numFmtId="0" fontId="50" fillId="5" borderId="48" xfId="0" applyFont="1" applyFill="1" applyBorder="1" applyAlignment="1" applyProtection="1">
      <alignment horizontal="left" vertical="center" wrapText="1"/>
    </xf>
    <xf numFmtId="0" fontId="50" fillId="5" borderId="62" xfId="0" applyFont="1" applyFill="1" applyBorder="1" applyAlignment="1" applyProtection="1">
      <alignment horizontal="left" vertical="center" wrapText="1"/>
    </xf>
    <xf numFmtId="0" fontId="51" fillId="5" borderId="22" xfId="0" applyFont="1" applyFill="1" applyBorder="1" applyAlignment="1" applyProtection="1">
      <alignment horizontal="left" vertical="center" wrapText="1"/>
    </xf>
    <xf numFmtId="0" fontId="50" fillId="5" borderId="47" xfId="0" applyFont="1" applyFill="1" applyBorder="1" applyAlignment="1" applyProtection="1">
      <alignment horizontal="left" vertical="center"/>
    </xf>
    <xf numFmtId="0" fontId="50" fillId="5" borderId="28" xfId="0" applyFont="1" applyFill="1" applyBorder="1" applyAlignment="1" applyProtection="1">
      <alignment horizontal="left" vertical="center"/>
    </xf>
    <xf numFmtId="0" fontId="51" fillId="5" borderId="24" xfId="0" applyFont="1" applyFill="1" applyBorder="1" applyAlignment="1" applyProtection="1">
      <alignment horizontal="left" vertical="center" wrapText="1"/>
    </xf>
    <xf numFmtId="0" fontId="103" fillId="5" borderId="24" xfId="0" applyFont="1" applyFill="1" applyBorder="1" applyAlignment="1" applyProtection="1">
      <alignment horizontal="left" vertical="center" wrapText="1"/>
    </xf>
    <xf numFmtId="0" fontId="51" fillId="5" borderId="26" xfId="0" applyFont="1" applyFill="1" applyBorder="1" applyAlignment="1" applyProtection="1">
      <alignment horizontal="left" vertical="center" wrapText="1"/>
    </xf>
    <xf numFmtId="0" fontId="50" fillId="5" borderId="5" xfId="0" applyFont="1" applyFill="1" applyBorder="1" applyAlignment="1" applyProtection="1">
      <alignment horizontal="left" vertical="center"/>
    </xf>
    <xf numFmtId="0" fontId="50" fillId="5" borderId="7" xfId="0" applyFont="1" applyFill="1" applyBorder="1" applyAlignment="1" applyProtection="1">
      <alignment horizontal="left" vertical="center"/>
    </xf>
    <xf numFmtId="9" fontId="50" fillId="5" borderId="6" xfId="0" applyNumberFormat="1" applyFont="1" applyFill="1" applyBorder="1" applyAlignment="1" applyProtection="1">
      <alignment horizontal="left" vertical="center"/>
    </xf>
    <xf numFmtId="0" fontId="103" fillId="5" borderId="56" xfId="0" applyFont="1" applyFill="1" applyBorder="1" applyAlignment="1" applyProtection="1">
      <alignment horizontal="left" vertical="center" wrapText="1"/>
    </xf>
    <xf numFmtId="0" fontId="50" fillId="5" borderId="8" xfId="0" applyFont="1" applyFill="1" applyBorder="1" applyAlignment="1" applyProtection="1">
      <alignment horizontal="left" vertical="center" wrapText="1"/>
    </xf>
    <xf numFmtId="9" fontId="50" fillId="5" borderId="43" xfId="0" applyNumberFormat="1" applyFont="1" applyFill="1" applyBorder="1" applyAlignment="1" applyProtection="1">
      <alignment horizontal="left" vertical="center" wrapText="1"/>
    </xf>
    <xf numFmtId="0" fontId="50" fillId="8" borderId="0" xfId="0" applyFont="1" applyFill="1" applyAlignment="1" applyProtection="1">
      <alignment horizontal="left" vertical="center" wrapText="1"/>
    </xf>
    <xf numFmtId="0" fontId="18" fillId="5" borderId="1" xfId="0" applyFont="1" applyFill="1" applyBorder="1" applyAlignment="1" applyProtection="1">
      <alignment horizontal="left" vertical="center" wrapText="1"/>
    </xf>
    <xf numFmtId="181" fontId="103" fillId="5" borderId="1" xfId="0" applyNumberFormat="1"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protection locked="0"/>
    </xf>
    <xf numFmtId="0" fontId="112" fillId="5" borderId="0" xfId="0" applyFont="1" applyFill="1" applyAlignment="1" applyProtection="1">
      <alignment horizontal="left" vertical="center"/>
    </xf>
    <xf numFmtId="187" fontId="100" fillId="5" borderId="0" xfId="0" applyNumberFormat="1" applyFont="1" applyFill="1" applyAlignment="1" applyProtection="1">
      <alignment horizontal="left" vertical="center" wrapText="1"/>
    </xf>
    <xf numFmtId="0" fontId="112" fillId="5" borderId="46" xfId="0" applyFont="1" applyFill="1" applyBorder="1" applyAlignment="1" applyProtection="1">
      <alignment horizontal="left" vertical="center"/>
    </xf>
    <xf numFmtId="187" fontId="191" fillId="5" borderId="37" xfId="0" applyNumberFormat="1" applyFont="1" applyFill="1" applyBorder="1" applyAlignment="1" applyProtection="1">
      <alignment horizontal="left" vertical="center" wrapText="1"/>
    </xf>
    <xf numFmtId="0" fontId="100" fillId="5" borderId="37" xfId="0" applyFont="1" applyFill="1" applyBorder="1" applyAlignment="1" applyProtection="1">
      <alignment horizontal="left" vertical="center"/>
    </xf>
    <xf numFmtId="0" fontId="112" fillId="5" borderId="47" xfId="0" applyFont="1" applyFill="1" applyBorder="1" applyAlignment="1" applyProtection="1">
      <alignment horizontal="left" vertical="center"/>
    </xf>
    <xf numFmtId="0" fontId="112" fillId="5" borderId="38" xfId="0" applyFont="1" applyFill="1" applyBorder="1" applyAlignment="1" applyProtection="1">
      <alignment horizontal="left" vertical="center"/>
    </xf>
    <xf numFmtId="0" fontId="112" fillId="5" borderId="0" xfId="0" applyFont="1" applyFill="1" applyBorder="1" applyAlignment="1" applyProtection="1">
      <alignment horizontal="left" vertical="center"/>
    </xf>
    <xf numFmtId="0" fontId="50" fillId="5" borderId="0" xfId="0" applyFont="1" applyFill="1" applyAlignment="1" applyProtection="1">
      <alignment horizontal="left" vertical="center" wrapText="1"/>
      <protection locked="0"/>
    </xf>
    <xf numFmtId="0" fontId="103" fillId="5" borderId="7"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wrapText="1"/>
    </xf>
    <xf numFmtId="0" fontId="50" fillId="5" borderId="6" xfId="0" applyFont="1" applyFill="1" applyBorder="1" applyAlignment="1" applyProtection="1">
      <alignment horizontal="left" vertical="center" wrapText="1"/>
    </xf>
    <xf numFmtId="0" fontId="119" fillId="5" borderId="1" xfId="0" applyFont="1" applyFill="1" applyBorder="1" applyAlignment="1" applyProtection="1">
      <alignment horizontal="left" vertical="center" wrapText="1"/>
    </xf>
    <xf numFmtId="49" fontId="103" fillId="5" borderId="1" xfId="0" applyNumberFormat="1" applyFont="1" applyFill="1" applyBorder="1" applyAlignment="1" applyProtection="1">
      <alignment horizontal="left" vertical="center" wrapText="1"/>
    </xf>
    <xf numFmtId="10" fontId="103" fillId="5" borderId="1" xfId="0" applyNumberFormat="1" applyFont="1" applyFill="1" applyBorder="1" applyAlignment="1" applyProtection="1">
      <alignment horizontal="left" vertical="center" wrapText="1"/>
    </xf>
    <xf numFmtId="10" fontId="50" fillId="5" borderId="58" xfId="0" applyNumberFormat="1" applyFont="1" applyFill="1" applyBorder="1" applyAlignment="1" applyProtection="1">
      <alignment horizontal="left" vertical="center" wrapText="1"/>
    </xf>
    <xf numFmtId="10" fontId="50" fillId="5" borderId="0" xfId="0" applyNumberFormat="1" applyFont="1" applyFill="1" applyBorder="1" applyAlignment="1" applyProtection="1">
      <alignment horizontal="left" vertical="center" wrapText="1"/>
    </xf>
    <xf numFmtId="10" fontId="100" fillId="0" borderId="1" xfId="0" applyNumberFormat="1" applyFont="1" applyBorder="1" applyAlignment="1" applyProtection="1">
      <alignment horizontal="left" vertical="center"/>
      <protection locked="0"/>
    </xf>
    <xf numFmtId="10" fontId="100" fillId="5" borderId="1" xfId="0" applyNumberFormat="1" applyFont="1" applyFill="1" applyBorder="1" applyAlignment="1" applyProtection="1">
      <alignment horizontal="left" vertical="center"/>
    </xf>
    <xf numFmtId="9" fontId="103" fillId="5" borderId="1" xfId="0" applyNumberFormat="1" applyFont="1" applyFill="1" applyBorder="1" applyAlignment="1" applyProtection="1">
      <alignment horizontal="left" vertical="center" wrapText="1"/>
    </xf>
    <xf numFmtId="10" fontId="48" fillId="5" borderId="1" xfId="0" applyNumberFormat="1" applyFont="1" applyFill="1" applyBorder="1" applyAlignment="1" applyProtection="1">
      <alignment horizontal="left" vertical="center" wrapText="1"/>
    </xf>
    <xf numFmtId="0" fontId="103" fillId="5" borderId="1" xfId="0" applyNumberFormat="1" applyFont="1" applyFill="1" applyBorder="1" applyAlignment="1" applyProtection="1">
      <alignment horizontal="left" vertical="center" wrapText="1"/>
    </xf>
    <xf numFmtId="10" fontId="50" fillId="5" borderId="50" xfId="0" applyNumberFormat="1" applyFont="1" applyFill="1" applyBorder="1" applyAlignment="1" applyProtection="1">
      <alignment horizontal="left" vertical="center" wrapText="1"/>
    </xf>
    <xf numFmtId="0" fontId="242" fillId="0" borderId="1" xfId="0" applyNumberFormat="1" applyFont="1" applyFill="1" applyBorder="1" applyAlignment="1" applyProtection="1">
      <alignment horizontal="left" vertical="center" wrapText="1"/>
      <protection locked="0"/>
    </xf>
    <xf numFmtId="0" fontId="242" fillId="0" borderId="18" xfId="0" applyNumberFormat="1" applyFont="1" applyFill="1" applyBorder="1" applyAlignment="1" applyProtection="1">
      <alignment horizontal="left" vertical="center" wrapText="1"/>
      <protection locked="0"/>
    </xf>
    <xf numFmtId="0" fontId="103" fillId="5" borderId="19" xfId="0" applyFont="1" applyFill="1" applyBorder="1" applyAlignment="1" applyProtection="1">
      <alignment horizontal="left" vertical="center" wrapText="1"/>
    </xf>
    <xf numFmtId="0" fontId="103" fillId="5" borderId="18" xfId="0" applyNumberFormat="1" applyFont="1" applyFill="1" applyBorder="1" applyAlignment="1" applyProtection="1">
      <alignment horizontal="left" vertical="center" wrapText="1"/>
    </xf>
    <xf numFmtId="0" fontId="103" fillId="5" borderId="8" xfId="0" applyFont="1" applyFill="1" applyBorder="1" applyAlignment="1" applyProtection="1">
      <alignment horizontal="left" vertical="center" wrapText="1"/>
    </xf>
    <xf numFmtId="49" fontId="103" fillId="5" borderId="71" xfId="0" applyNumberFormat="1" applyFont="1" applyFill="1" applyBorder="1" applyAlignment="1" applyProtection="1">
      <alignment horizontal="left" vertical="center" wrapText="1"/>
    </xf>
    <xf numFmtId="10" fontId="50" fillId="5" borderId="73" xfId="0" applyNumberFormat="1" applyFont="1" applyFill="1" applyBorder="1" applyAlignment="1" applyProtection="1">
      <alignment horizontal="left" vertical="center" wrapText="1"/>
    </xf>
    <xf numFmtId="9" fontId="103" fillId="5" borderId="61" xfId="0" applyNumberFormat="1" applyFont="1" applyFill="1" applyBorder="1" applyAlignment="1" applyProtection="1">
      <alignment horizontal="left" vertical="center" wrapText="1"/>
    </xf>
    <xf numFmtId="0" fontId="191" fillId="5" borderId="37" xfId="0" applyNumberFormat="1" applyFont="1" applyFill="1" applyBorder="1" applyAlignment="1" applyProtection="1">
      <alignment horizontal="left" vertical="center" wrapText="1"/>
    </xf>
    <xf numFmtId="49" fontId="103" fillId="5" borderId="61" xfId="0" applyNumberFormat="1" applyFont="1" applyFill="1" applyBorder="1" applyAlignment="1" applyProtection="1">
      <alignment horizontal="left" vertical="center" wrapText="1"/>
    </xf>
    <xf numFmtId="0" fontId="103" fillId="0" borderId="61" xfId="0" applyNumberFormat="1" applyFont="1" applyFill="1" applyBorder="1" applyAlignment="1" applyProtection="1">
      <alignment horizontal="left" vertical="center" wrapText="1"/>
      <protection locked="0"/>
    </xf>
    <xf numFmtId="0" fontId="103" fillId="5" borderId="61" xfId="0" applyNumberFormat="1" applyFont="1" applyFill="1" applyBorder="1" applyAlignment="1" applyProtection="1">
      <alignment horizontal="left" vertical="center" wrapText="1"/>
    </xf>
    <xf numFmtId="0" fontId="103" fillId="6" borderId="61" xfId="0" applyFont="1" applyFill="1" applyBorder="1" applyAlignment="1" applyProtection="1">
      <alignment horizontal="left" vertical="center" wrapText="1"/>
      <protection locked="0"/>
    </xf>
    <xf numFmtId="10" fontId="103" fillId="5" borderId="61" xfId="0" applyNumberFormat="1" applyFont="1" applyFill="1" applyBorder="1" applyAlignment="1" applyProtection="1">
      <alignment horizontal="left" vertical="center" wrapText="1"/>
    </xf>
    <xf numFmtId="0" fontId="104" fillId="5" borderId="0" xfId="0" applyFont="1" applyFill="1" applyAlignment="1" applyProtection="1">
      <alignment horizontal="left" vertical="center"/>
    </xf>
    <xf numFmtId="0" fontId="103" fillId="5" borderId="1" xfId="0" applyFont="1" applyFill="1" applyBorder="1" applyAlignment="1" applyProtection="1">
      <alignment horizontal="left" vertical="center"/>
    </xf>
    <xf numFmtId="0" fontId="103" fillId="5" borderId="3" xfId="0" applyFont="1" applyFill="1" applyBorder="1" applyAlignment="1" applyProtection="1">
      <alignment horizontal="left" vertical="center"/>
    </xf>
    <xf numFmtId="186" fontId="103" fillId="5" borderId="1" xfId="0" applyNumberFormat="1" applyFont="1" applyFill="1" applyBorder="1" applyAlignment="1" applyProtection="1">
      <alignment horizontal="left" vertical="center"/>
    </xf>
    <xf numFmtId="187" fontId="103" fillId="5" borderId="1" xfId="0" applyNumberFormat="1" applyFont="1" applyFill="1" applyBorder="1" applyAlignment="1" applyProtection="1">
      <alignment horizontal="left" vertical="center"/>
    </xf>
    <xf numFmtId="177" fontId="119" fillId="5" borderId="1" xfId="0" applyNumberFormat="1" applyFont="1" applyFill="1" applyBorder="1" applyAlignment="1" applyProtection="1">
      <alignment horizontal="left" vertical="center"/>
    </xf>
    <xf numFmtId="187" fontId="119" fillId="5" borderId="1" xfId="0" applyNumberFormat="1" applyFont="1" applyFill="1" applyBorder="1" applyAlignment="1" applyProtection="1">
      <alignment horizontal="left" vertical="center" wrapText="1"/>
    </xf>
    <xf numFmtId="186" fontId="103" fillId="5" borderId="17" xfId="0" applyNumberFormat="1" applyFont="1" applyFill="1" applyBorder="1" applyAlignment="1" applyProtection="1">
      <alignment horizontal="left" vertical="center" wrapText="1"/>
    </xf>
    <xf numFmtId="179" fontId="119" fillId="5" borderId="1" xfId="0" applyNumberFormat="1" applyFont="1" applyFill="1" applyBorder="1" applyAlignment="1" applyProtection="1">
      <alignment horizontal="left" vertical="center"/>
    </xf>
    <xf numFmtId="0" fontId="50" fillId="5" borderId="49" xfId="0" applyNumberFormat="1" applyFont="1" applyFill="1" applyBorder="1" applyAlignment="1" applyProtection="1">
      <alignment horizontal="left" vertical="center" wrapText="1"/>
    </xf>
    <xf numFmtId="179" fontId="119" fillId="5" borderId="49" xfId="0" applyNumberFormat="1" applyFont="1" applyFill="1" applyBorder="1" applyAlignment="1" applyProtection="1">
      <alignment horizontal="left" vertical="center" wrapText="1"/>
    </xf>
    <xf numFmtId="0" fontId="50" fillId="5" borderId="57" xfId="0" applyNumberFormat="1" applyFont="1" applyFill="1" applyBorder="1" applyAlignment="1" applyProtection="1">
      <alignment horizontal="left" vertical="center" wrapText="1"/>
    </xf>
    <xf numFmtId="0" fontId="119" fillId="5" borderId="37" xfId="0" applyNumberFormat="1" applyFont="1" applyFill="1" applyBorder="1" applyAlignment="1" applyProtection="1">
      <alignment horizontal="left" vertical="center" wrapText="1"/>
    </xf>
    <xf numFmtId="0" fontId="237" fillId="5" borderId="1" xfId="3" applyNumberFormat="1" applyFont="1" applyFill="1" applyBorder="1" applyAlignment="1" applyProtection="1">
      <alignment horizontal="left" vertical="center"/>
    </xf>
    <xf numFmtId="0" fontId="100" fillId="0" borderId="0" xfId="0" applyNumberFormat="1" applyFont="1" applyAlignment="1" applyProtection="1">
      <alignment horizontal="left" vertical="center"/>
    </xf>
    <xf numFmtId="0" fontId="50" fillId="5" borderId="5" xfId="0" applyNumberFormat="1" applyFont="1" applyFill="1" applyBorder="1" applyAlignment="1" applyProtection="1">
      <alignment horizontal="left" vertical="center" wrapText="1"/>
    </xf>
    <xf numFmtId="0" fontId="50" fillId="5" borderId="11" xfId="3" applyNumberFormat="1" applyFont="1" applyFill="1" applyBorder="1" applyAlignment="1" applyProtection="1">
      <alignment horizontal="left" vertical="center"/>
    </xf>
    <xf numFmtId="0" fontId="50" fillId="5" borderId="17" xfId="3" applyNumberFormat="1" applyFont="1" applyFill="1" applyBorder="1" applyAlignment="1" applyProtection="1">
      <alignment horizontal="left" vertical="center"/>
    </xf>
    <xf numFmtId="0" fontId="50" fillId="5" borderId="17" xfId="3" applyNumberFormat="1" applyFont="1" applyFill="1" applyBorder="1" applyAlignment="1" applyProtection="1">
      <alignment horizontal="left" vertical="center" wrapText="1"/>
    </xf>
    <xf numFmtId="0" fontId="50" fillId="5" borderId="57" xfId="3" applyNumberFormat="1" applyFont="1" applyFill="1" applyBorder="1" applyAlignment="1" applyProtection="1">
      <alignment horizontal="left" vertical="center"/>
    </xf>
    <xf numFmtId="0" fontId="50" fillId="5" borderId="59" xfId="3" applyNumberFormat="1" applyFont="1" applyFill="1" applyBorder="1" applyAlignment="1" applyProtection="1">
      <alignment horizontal="left" vertical="center"/>
    </xf>
    <xf numFmtId="0" fontId="50" fillId="5" borderId="7" xfId="0" applyNumberFormat="1" applyFont="1" applyFill="1" applyBorder="1" applyAlignment="1" applyProtection="1">
      <alignment horizontal="left" vertical="center" wrapText="1"/>
    </xf>
    <xf numFmtId="0" fontId="119" fillId="5" borderId="1" xfId="0" applyNumberFormat="1" applyFont="1" applyFill="1" applyBorder="1" applyAlignment="1" applyProtection="1">
      <alignment horizontal="left" vertical="center" wrapText="1"/>
    </xf>
    <xf numFmtId="0" fontId="119" fillId="5" borderId="6" xfId="0" applyNumberFormat="1" applyFont="1" applyFill="1" applyBorder="1" applyAlignment="1" applyProtection="1">
      <alignment horizontal="left" vertical="center" wrapText="1"/>
    </xf>
    <xf numFmtId="0" fontId="50" fillId="5" borderId="8" xfId="0" applyNumberFormat="1" applyFont="1" applyFill="1" applyBorder="1" applyAlignment="1" applyProtection="1">
      <alignment horizontal="left" vertical="center" wrapText="1"/>
    </xf>
    <xf numFmtId="0" fontId="119" fillId="5" borderId="61" xfId="0" applyNumberFormat="1" applyFont="1" applyFill="1" applyBorder="1" applyAlignment="1" applyProtection="1">
      <alignment horizontal="left" vertical="center" wrapText="1"/>
    </xf>
    <xf numFmtId="0" fontId="119" fillId="5" borderId="43" xfId="0" applyNumberFormat="1" applyFont="1" applyFill="1" applyBorder="1" applyAlignment="1" applyProtection="1">
      <alignment horizontal="left" vertical="center" wrapText="1"/>
    </xf>
    <xf numFmtId="0" fontId="104" fillId="0" borderId="0" xfId="7" applyFont="1" applyAlignment="1">
      <alignment horizontal="left" vertical="center"/>
    </xf>
    <xf numFmtId="0" fontId="104" fillId="0" borderId="127" xfId="7" applyFont="1" applyBorder="1" applyAlignment="1">
      <alignment horizontal="left" vertical="center"/>
    </xf>
    <xf numFmtId="0" fontId="99" fillId="5" borderId="127" xfId="8" applyFont="1" applyFill="1" applyBorder="1" applyAlignment="1" applyProtection="1">
      <alignment horizontal="left" vertical="center"/>
    </xf>
    <xf numFmtId="0" fontId="20" fillId="5" borderId="127" xfId="8" applyFont="1" applyFill="1" applyBorder="1" applyAlignment="1" applyProtection="1">
      <alignment horizontal="left" vertical="center"/>
    </xf>
    <xf numFmtId="0" fontId="104" fillId="0" borderId="128" xfId="7" applyFont="1" applyBorder="1" applyAlignment="1">
      <alignment horizontal="left" vertical="center"/>
    </xf>
    <xf numFmtId="0" fontId="170" fillId="17" borderId="0" xfId="7" applyFont="1" applyFill="1" applyAlignment="1">
      <alignment horizontal="left" vertical="center"/>
    </xf>
    <xf numFmtId="0" fontId="100" fillId="17" borderId="0" xfId="8" applyFont="1" applyFill="1" applyAlignment="1" applyProtection="1">
      <alignment horizontal="left" vertical="center"/>
    </xf>
    <xf numFmtId="0" fontId="20" fillId="17" borderId="0" xfId="8" applyFont="1" applyFill="1" applyAlignment="1" applyProtection="1">
      <alignment horizontal="left" vertical="center"/>
    </xf>
    <xf numFmtId="0" fontId="104" fillId="17" borderId="129" xfId="7" applyFont="1" applyFill="1" applyBorder="1" applyAlignment="1">
      <alignment horizontal="left" vertical="center"/>
    </xf>
    <xf numFmtId="0" fontId="104" fillId="17" borderId="0" xfId="7" applyFont="1" applyFill="1" applyBorder="1" applyAlignment="1">
      <alignment horizontal="left" vertical="center"/>
    </xf>
    <xf numFmtId="0" fontId="152" fillId="17" borderId="134" xfId="7" applyFont="1" applyFill="1" applyBorder="1" applyAlignment="1" applyProtection="1">
      <alignment horizontal="left" vertical="center" wrapText="1"/>
    </xf>
    <xf numFmtId="0" fontId="152" fillId="17" borderId="138" xfId="7" applyFont="1" applyFill="1" applyBorder="1" applyAlignment="1" applyProtection="1">
      <alignment horizontal="left" vertical="center" wrapText="1"/>
    </xf>
    <xf numFmtId="0" fontId="104" fillId="17" borderId="0" xfId="7" applyFont="1" applyFill="1" applyAlignment="1">
      <alignment horizontal="left" vertical="center"/>
    </xf>
    <xf numFmtId="0" fontId="149" fillId="17" borderId="0" xfId="7" applyFont="1" applyFill="1" applyAlignment="1">
      <alignment horizontal="left" vertical="center"/>
    </xf>
    <xf numFmtId="0" fontId="103" fillId="17" borderId="0" xfId="7" applyFont="1" applyFill="1" applyAlignment="1">
      <alignment horizontal="left" vertical="center"/>
    </xf>
    <xf numFmtId="10" fontId="103" fillId="17" borderId="0" xfId="7" applyNumberFormat="1" applyFont="1" applyFill="1" applyAlignment="1">
      <alignment horizontal="left" vertical="center"/>
    </xf>
    <xf numFmtId="0" fontId="104" fillId="0" borderId="0" xfId="7" applyFont="1" applyFill="1" applyAlignment="1">
      <alignment horizontal="left" vertical="center"/>
    </xf>
    <xf numFmtId="0" fontId="100" fillId="0" borderId="0" xfId="8" applyFont="1" applyFill="1" applyAlignment="1" applyProtection="1">
      <alignment horizontal="left" vertical="center"/>
    </xf>
    <xf numFmtId="0" fontId="20" fillId="0" borderId="0" xfId="8" applyFont="1" applyFill="1" applyAlignment="1" applyProtection="1">
      <alignment horizontal="left" vertical="center"/>
    </xf>
    <xf numFmtId="0" fontId="104" fillId="0" borderId="129" xfId="7" applyFont="1" applyFill="1" applyBorder="1" applyAlignment="1">
      <alignment horizontal="left" vertical="center"/>
    </xf>
    <xf numFmtId="0" fontId="104" fillId="0" borderId="0" xfId="7" applyFont="1" applyFill="1" applyBorder="1" applyAlignment="1">
      <alignment horizontal="left" vertical="center"/>
    </xf>
    <xf numFmtId="0" fontId="104" fillId="0" borderId="0" xfId="7" applyFont="1" applyFill="1" applyBorder="1" applyAlignment="1" applyProtection="1">
      <alignment horizontal="left" vertical="center"/>
      <protection locked="0"/>
    </xf>
    <xf numFmtId="0" fontId="103" fillId="0" borderId="0" xfId="7" applyFont="1" applyAlignment="1">
      <alignment horizontal="left" vertical="center"/>
    </xf>
    <xf numFmtId="10" fontId="103" fillId="0" borderId="0" xfId="7" applyNumberFormat="1" applyFont="1" applyAlignment="1">
      <alignment horizontal="left" vertical="center"/>
    </xf>
    <xf numFmtId="49" fontId="50" fillId="14" borderId="1" xfId="7" applyNumberFormat="1" applyFont="1" applyFill="1" applyBorder="1" applyAlignment="1" applyProtection="1">
      <alignment horizontal="left" vertical="center" wrapText="1"/>
    </xf>
    <xf numFmtId="186" fontId="153" fillId="14" borderId="0" xfId="7" applyNumberFormat="1" applyFont="1" applyFill="1" applyBorder="1" applyAlignment="1">
      <alignment horizontal="left" vertical="center"/>
    </xf>
    <xf numFmtId="186" fontId="153" fillId="14" borderId="0" xfId="7" applyNumberFormat="1" applyFont="1" applyFill="1" applyAlignment="1">
      <alignment horizontal="left" vertical="center"/>
    </xf>
    <xf numFmtId="0" fontId="152" fillId="12" borderId="133" xfId="7" applyFont="1" applyFill="1" applyBorder="1" applyAlignment="1" applyProtection="1">
      <alignment horizontal="left" vertical="center" wrapText="1"/>
    </xf>
    <xf numFmtId="0" fontId="152" fillId="14" borderId="134" xfId="7" applyFont="1" applyFill="1" applyBorder="1" applyAlignment="1" applyProtection="1">
      <alignment horizontal="left" vertical="center" wrapText="1"/>
    </xf>
    <xf numFmtId="0" fontId="244" fillId="16" borderId="134" xfId="7" applyFont="1" applyFill="1" applyBorder="1" applyAlignment="1" applyProtection="1">
      <alignment horizontal="left" vertical="center" wrapText="1"/>
      <protection locked="0"/>
    </xf>
    <xf numFmtId="0" fontId="244" fillId="16" borderId="138" xfId="7" applyFont="1" applyFill="1" applyBorder="1" applyAlignment="1" applyProtection="1">
      <alignment horizontal="left" vertical="center" wrapText="1"/>
      <protection locked="0"/>
    </xf>
    <xf numFmtId="0" fontId="104" fillId="14" borderId="0" xfId="7" applyFont="1" applyFill="1" applyAlignment="1">
      <alignment horizontal="left" vertical="center"/>
    </xf>
    <xf numFmtId="10" fontId="153" fillId="14" borderId="136" xfId="7" applyNumberFormat="1" applyFont="1" applyFill="1" applyBorder="1" applyAlignment="1">
      <alignment horizontal="left" vertical="center"/>
    </xf>
    <xf numFmtId="0" fontId="119" fillId="6" borderId="0" xfId="7" applyFont="1" applyFill="1" applyAlignment="1">
      <alignment horizontal="left" vertical="center"/>
    </xf>
    <xf numFmtId="0" fontId="103" fillId="14" borderId="0" xfId="7" applyFont="1" applyFill="1" applyAlignment="1">
      <alignment horizontal="left" vertical="center"/>
    </xf>
    <xf numFmtId="10" fontId="103" fillId="14" borderId="0" xfId="7" applyNumberFormat="1" applyFont="1" applyFill="1" applyAlignment="1">
      <alignment horizontal="left" vertical="center"/>
    </xf>
    <xf numFmtId="49" fontId="50" fillId="5" borderId="1" xfId="7" applyNumberFormat="1" applyFont="1" applyFill="1" applyBorder="1" applyAlignment="1" applyProtection="1">
      <alignment horizontal="left" vertical="center" wrapText="1"/>
    </xf>
    <xf numFmtId="186" fontId="103" fillId="0" borderId="0" xfId="7" applyNumberFormat="1" applyFont="1" applyAlignment="1" applyProtection="1">
      <alignment horizontal="left" vertical="center"/>
    </xf>
    <xf numFmtId="0" fontId="152" fillId="13" borderId="134" xfId="7" applyFont="1" applyFill="1" applyBorder="1" applyAlignment="1" applyProtection="1">
      <alignment horizontal="left" vertical="center" wrapText="1"/>
    </xf>
    <xf numFmtId="0" fontId="152" fillId="13" borderId="138" xfId="7" applyFont="1" applyFill="1" applyBorder="1" applyAlignment="1" applyProtection="1">
      <alignment horizontal="left" vertical="center" wrapText="1"/>
    </xf>
    <xf numFmtId="0" fontId="103" fillId="0" borderId="0" xfId="7" applyFont="1" applyAlignment="1" applyProtection="1">
      <alignment horizontal="left" vertical="center"/>
    </xf>
    <xf numFmtId="10" fontId="103" fillId="0" borderId="129" xfId="7" applyNumberFormat="1" applyFont="1" applyBorder="1" applyAlignment="1" applyProtection="1">
      <alignment horizontal="left" vertical="center"/>
    </xf>
    <xf numFmtId="10" fontId="103" fillId="0" borderId="0" xfId="7" applyNumberFormat="1" applyFont="1" applyAlignment="1" applyProtection="1">
      <alignment horizontal="left" vertical="center"/>
    </xf>
    <xf numFmtId="0" fontId="153" fillId="14" borderId="0" xfId="7" applyFont="1" applyFill="1" applyAlignment="1" applyProtection="1">
      <alignment horizontal="left" vertical="center"/>
    </xf>
    <xf numFmtId="0" fontId="152" fillId="12" borderId="131" xfId="7" applyFont="1" applyFill="1" applyBorder="1" applyAlignment="1" applyProtection="1">
      <alignment horizontal="left" vertical="center" wrapText="1"/>
    </xf>
    <xf numFmtId="0" fontId="152" fillId="12" borderId="132" xfId="7" applyFont="1" applyFill="1" applyBorder="1" applyAlignment="1" applyProtection="1">
      <alignment horizontal="left" vertical="center" wrapText="1"/>
    </xf>
    <xf numFmtId="186" fontId="104" fillId="12" borderId="131" xfId="7" applyNumberFormat="1" applyFont="1" applyFill="1" applyBorder="1" applyAlignment="1">
      <alignment horizontal="left" vertical="center" wrapText="1"/>
    </xf>
    <xf numFmtId="186" fontId="104" fillId="12" borderId="137" xfId="7" applyNumberFormat="1" applyFont="1" applyFill="1" applyBorder="1" applyAlignment="1">
      <alignment horizontal="left" vertical="center" wrapText="1"/>
    </xf>
    <xf numFmtId="10" fontId="103" fillId="0" borderId="142" xfId="7" applyNumberFormat="1" applyFont="1" applyBorder="1" applyAlignment="1">
      <alignment horizontal="left" vertical="center"/>
    </xf>
    <xf numFmtId="10" fontId="103" fillId="0" borderId="36" xfId="7" applyNumberFormat="1" applyFont="1" applyBorder="1" applyAlignment="1">
      <alignment horizontal="left" vertical="center"/>
    </xf>
    <xf numFmtId="177" fontId="103" fillId="0" borderId="0" xfId="7" applyNumberFormat="1" applyFont="1" applyAlignment="1">
      <alignment horizontal="left" vertical="center"/>
    </xf>
    <xf numFmtId="181" fontId="103" fillId="0" borderId="129" xfId="7" applyNumberFormat="1" applyFont="1" applyBorder="1" applyAlignment="1">
      <alignment horizontal="left" vertical="center"/>
    </xf>
    <xf numFmtId="181" fontId="103" fillId="0" borderId="0" xfId="7" applyNumberFormat="1" applyFont="1" applyAlignment="1">
      <alignment horizontal="left" vertical="center"/>
    </xf>
    <xf numFmtId="186" fontId="103" fillId="0" borderId="0" xfId="7" applyNumberFormat="1" applyFont="1" applyAlignment="1">
      <alignment horizontal="left" vertical="center"/>
    </xf>
    <xf numFmtId="10" fontId="103" fillId="0" borderId="129" xfId="7" applyNumberFormat="1" applyFont="1" applyBorder="1" applyAlignment="1">
      <alignment horizontal="left" vertical="center"/>
    </xf>
    <xf numFmtId="0" fontId="153" fillId="14" borderId="0" xfId="7" applyFont="1" applyFill="1" applyAlignment="1">
      <alignment horizontal="left" vertical="center"/>
    </xf>
    <xf numFmtId="0" fontId="152" fillId="12" borderId="134" xfId="7" applyFont="1" applyFill="1" applyBorder="1" applyAlignment="1" applyProtection="1">
      <alignment horizontal="left" vertical="center" wrapText="1"/>
    </xf>
    <xf numFmtId="0" fontId="152" fillId="12" borderId="138" xfId="7" applyFont="1" applyFill="1" applyBorder="1" applyAlignment="1" applyProtection="1">
      <alignment horizontal="left" vertical="center" wrapText="1"/>
    </xf>
    <xf numFmtId="10" fontId="103" fillId="0" borderId="136" xfId="7" applyNumberFormat="1" applyFont="1" applyBorder="1" applyAlignment="1">
      <alignment horizontal="left" vertical="center"/>
    </xf>
    <xf numFmtId="10" fontId="103" fillId="0" borderId="65" xfId="7" applyNumberFormat="1" applyFont="1" applyBorder="1" applyAlignment="1">
      <alignment horizontal="left" vertical="center"/>
    </xf>
    <xf numFmtId="10" fontId="103" fillId="0" borderId="0" xfId="7" applyNumberFormat="1" applyFont="1" applyBorder="1" applyAlignment="1">
      <alignment horizontal="left" vertical="center"/>
    </xf>
    <xf numFmtId="0" fontId="103" fillId="0" borderId="0" xfId="7" applyFont="1" applyFill="1" applyAlignment="1">
      <alignment horizontal="left" vertical="center"/>
    </xf>
    <xf numFmtId="10" fontId="103" fillId="0" borderId="0" xfId="7" applyNumberFormat="1" applyFont="1" applyFill="1" applyAlignment="1">
      <alignment horizontal="left" vertical="center"/>
    </xf>
    <xf numFmtId="0" fontId="152" fillId="12" borderId="140" xfId="7" applyFont="1" applyFill="1" applyBorder="1" applyAlignment="1" applyProtection="1">
      <alignment horizontal="left" vertical="center" wrapText="1"/>
    </xf>
    <xf numFmtId="0" fontId="152" fillId="12" borderId="141" xfId="7" applyFont="1" applyFill="1" applyBorder="1" applyAlignment="1" applyProtection="1">
      <alignment horizontal="left" vertical="center" wrapText="1"/>
    </xf>
    <xf numFmtId="0" fontId="103" fillId="0" borderId="129" xfId="7" applyFont="1" applyBorder="1" applyAlignment="1">
      <alignment horizontal="left" vertical="center"/>
    </xf>
    <xf numFmtId="0" fontId="152" fillId="13" borderId="131" xfId="7" applyFont="1" applyFill="1" applyBorder="1" applyAlignment="1" applyProtection="1">
      <alignment horizontal="left" vertical="center" wrapText="1"/>
    </xf>
    <xf numFmtId="0" fontId="152" fillId="13" borderId="132" xfId="7" applyFont="1" applyFill="1" applyBorder="1" applyAlignment="1" applyProtection="1">
      <alignment horizontal="left" vertical="center" wrapText="1"/>
    </xf>
    <xf numFmtId="186" fontId="104" fillId="12" borderId="134" xfId="7" applyNumberFormat="1" applyFont="1" applyFill="1" applyBorder="1" applyAlignment="1">
      <alignment horizontal="left" vertical="center" wrapText="1"/>
    </xf>
    <xf numFmtId="186" fontId="104" fillId="12" borderId="143" xfId="7" applyNumberFormat="1" applyFont="1" applyFill="1" applyBorder="1" applyAlignment="1">
      <alignment horizontal="left" vertical="center" wrapText="1"/>
    </xf>
    <xf numFmtId="0" fontId="103" fillId="13" borderId="131" xfId="7" applyFont="1" applyFill="1" applyBorder="1" applyAlignment="1" applyProtection="1">
      <alignment horizontal="left" vertical="center" wrapText="1"/>
    </xf>
    <xf numFmtId="0" fontId="103" fillId="13" borderId="132" xfId="7" applyFont="1" applyFill="1" applyBorder="1" applyAlignment="1" applyProtection="1">
      <alignment horizontal="left" vertical="center" wrapText="1"/>
    </xf>
    <xf numFmtId="49" fontId="50" fillId="6" borderId="1" xfId="7" applyNumberFormat="1" applyFont="1" applyFill="1" applyBorder="1" applyAlignment="1" applyProtection="1">
      <alignment horizontal="left" vertical="center" wrapText="1"/>
    </xf>
    <xf numFmtId="186" fontId="103" fillId="6" borderId="0" xfId="7" applyNumberFormat="1" applyFont="1" applyFill="1" applyAlignment="1">
      <alignment horizontal="left" vertical="center"/>
    </xf>
    <xf numFmtId="0" fontId="103" fillId="6" borderId="134" xfId="7" applyFont="1" applyFill="1" applyBorder="1" applyAlignment="1" applyProtection="1">
      <alignment horizontal="left" vertical="center" wrapText="1"/>
    </xf>
    <xf numFmtId="0" fontId="103" fillId="6" borderId="138" xfId="7" applyFont="1" applyFill="1" applyBorder="1" applyAlignment="1" applyProtection="1">
      <alignment horizontal="left" vertical="center" wrapText="1"/>
    </xf>
    <xf numFmtId="0" fontId="103" fillId="6" borderId="0" xfId="7" applyFont="1" applyFill="1" applyAlignment="1">
      <alignment horizontal="left" vertical="center"/>
    </xf>
    <xf numFmtId="10" fontId="103" fillId="6" borderId="129" xfId="7" applyNumberFormat="1" applyFont="1" applyFill="1" applyBorder="1" applyAlignment="1">
      <alignment horizontal="left" vertical="center"/>
    </xf>
    <xf numFmtId="10" fontId="103" fillId="6" borderId="0" xfId="7" applyNumberFormat="1" applyFont="1" applyFill="1" applyAlignment="1">
      <alignment horizontal="left" vertical="center"/>
    </xf>
    <xf numFmtId="177" fontId="103" fillId="6" borderId="0" xfId="7" applyNumberFormat="1" applyFont="1" applyFill="1" applyAlignment="1">
      <alignment horizontal="left" vertical="center"/>
    </xf>
    <xf numFmtId="10" fontId="103" fillId="6" borderId="136" xfId="7" applyNumberFormat="1" applyFont="1" applyFill="1" applyBorder="1" applyAlignment="1">
      <alignment horizontal="left" vertical="center"/>
    </xf>
    <xf numFmtId="10" fontId="103" fillId="6" borderId="65" xfId="7" applyNumberFormat="1" applyFont="1" applyFill="1" applyBorder="1" applyAlignment="1">
      <alignment horizontal="left" vertical="center"/>
    </xf>
    <xf numFmtId="0" fontId="140" fillId="6" borderId="0" xfId="7" applyFont="1" applyFill="1" applyAlignment="1">
      <alignment horizontal="left" vertical="center"/>
    </xf>
    <xf numFmtId="0" fontId="103" fillId="6" borderId="0" xfId="7" applyNumberFormat="1" applyFont="1" applyFill="1" applyAlignment="1">
      <alignment horizontal="left" vertical="center"/>
    </xf>
    <xf numFmtId="0" fontId="103" fillId="12" borderId="140" xfId="7" applyFont="1" applyFill="1" applyBorder="1" applyAlignment="1" applyProtection="1">
      <alignment horizontal="left" vertical="center" wrapText="1"/>
    </xf>
    <xf numFmtId="0" fontId="103" fillId="12" borderId="141" xfId="7" applyFont="1" applyFill="1" applyBorder="1" applyAlignment="1" applyProtection="1">
      <alignment horizontal="left" vertical="center" wrapText="1"/>
    </xf>
    <xf numFmtId="14" fontId="103" fillId="0" borderId="0" xfId="7" applyNumberFormat="1" applyFont="1" applyAlignment="1">
      <alignment horizontal="left" vertical="center"/>
    </xf>
    <xf numFmtId="0" fontId="140" fillId="0" borderId="0" xfId="7" applyFont="1" applyAlignment="1">
      <alignment horizontal="left" vertical="center"/>
    </xf>
    <xf numFmtId="0" fontId="103" fillId="0" borderId="0" xfId="7" applyNumberFormat="1" applyFont="1" applyAlignment="1">
      <alignment horizontal="left" vertical="center"/>
    </xf>
    <xf numFmtId="186" fontId="104" fillId="12" borderId="140" xfId="7" applyNumberFormat="1" applyFont="1" applyFill="1" applyBorder="1" applyAlignment="1">
      <alignment horizontal="left" vertical="center" wrapText="1"/>
    </xf>
    <xf numFmtId="186" fontId="104" fillId="12" borderId="144" xfId="7" applyNumberFormat="1" applyFont="1" applyFill="1" applyBorder="1" applyAlignment="1">
      <alignment horizontal="left" vertical="center" wrapText="1"/>
    </xf>
    <xf numFmtId="186" fontId="103" fillId="14" borderId="0" xfId="7" applyNumberFormat="1" applyFont="1" applyFill="1" applyAlignment="1">
      <alignment horizontal="left" vertical="center"/>
    </xf>
    <xf numFmtId="186" fontId="103" fillId="0" borderId="40" xfId="7" applyNumberFormat="1" applyFont="1" applyBorder="1" applyAlignment="1">
      <alignment horizontal="left" vertical="center"/>
    </xf>
    <xf numFmtId="0" fontId="152" fillId="13" borderId="145" xfId="7" applyFont="1" applyFill="1" applyBorder="1" applyAlignment="1" applyProtection="1">
      <alignment horizontal="left" vertical="center" wrapText="1"/>
    </xf>
    <xf numFmtId="0" fontId="152" fillId="13" borderId="146" xfId="7" applyFont="1" applyFill="1" applyBorder="1" applyAlignment="1" applyProtection="1">
      <alignment horizontal="left" vertical="center" wrapText="1"/>
    </xf>
    <xf numFmtId="0" fontId="103" fillId="0" borderId="40" xfId="7" applyFont="1" applyBorder="1" applyAlignment="1">
      <alignment horizontal="left" vertical="center"/>
    </xf>
    <xf numFmtId="10" fontId="103" fillId="0" borderId="147" xfId="7" applyNumberFormat="1" applyFont="1" applyBorder="1" applyAlignment="1">
      <alignment horizontal="left" vertical="center"/>
    </xf>
    <xf numFmtId="10" fontId="103" fillId="0" borderId="40" xfId="7" applyNumberFormat="1" applyFont="1" applyBorder="1" applyAlignment="1">
      <alignment horizontal="left" vertical="center"/>
    </xf>
    <xf numFmtId="177" fontId="103" fillId="0" borderId="40" xfId="7" applyNumberFormat="1" applyFont="1" applyBorder="1" applyAlignment="1">
      <alignment horizontal="left" vertical="center"/>
    </xf>
    <xf numFmtId="0" fontId="152" fillId="12" borderId="148" xfId="7" applyFont="1" applyFill="1" applyBorder="1" applyAlignment="1" applyProtection="1">
      <alignment horizontal="left" vertical="center" wrapText="1"/>
    </xf>
    <xf numFmtId="0" fontId="152" fillId="12" borderId="149" xfId="7" applyFont="1" applyFill="1" applyBorder="1" applyAlignment="1" applyProtection="1">
      <alignment horizontal="left" vertical="center" wrapText="1"/>
    </xf>
    <xf numFmtId="10" fontId="103" fillId="15" borderId="129" xfId="7" applyNumberFormat="1" applyFont="1" applyFill="1" applyBorder="1" applyAlignment="1">
      <alignment horizontal="left" vertical="center"/>
    </xf>
    <xf numFmtId="10" fontId="103" fillId="15" borderId="0" xfId="7" applyNumberFormat="1" applyFont="1" applyFill="1" applyAlignment="1">
      <alignment horizontal="left" vertical="center"/>
    </xf>
    <xf numFmtId="178" fontId="103" fillId="0" borderId="0" xfId="7" applyNumberFormat="1" applyFont="1" applyAlignment="1">
      <alignment horizontal="left" vertical="center"/>
    </xf>
    <xf numFmtId="10" fontId="103" fillId="15" borderId="136" xfId="7" applyNumberFormat="1" applyFont="1" applyFill="1" applyBorder="1" applyAlignment="1">
      <alignment horizontal="left" vertical="center"/>
    </xf>
    <xf numFmtId="10" fontId="103" fillId="15" borderId="65" xfId="7" applyNumberFormat="1" applyFont="1" applyFill="1" applyBorder="1" applyAlignment="1">
      <alignment horizontal="left" vertical="center"/>
    </xf>
    <xf numFmtId="10" fontId="103" fillId="15" borderId="147" xfId="7" applyNumberFormat="1" applyFont="1" applyFill="1" applyBorder="1" applyAlignment="1">
      <alignment horizontal="left" vertical="center"/>
    </xf>
    <xf numFmtId="10" fontId="103" fillId="15" borderId="40" xfId="7" applyNumberFormat="1" applyFont="1" applyFill="1" applyBorder="1" applyAlignment="1">
      <alignment horizontal="left" vertical="center"/>
    </xf>
    <xf numFmtId="178" fontId="103" fillId="0" borderId="40" xfId="7" applyNumberFormat="1" applyFont="1" applyBorder="1" applyAlignment="1">
      <alignment horizontal="left" vertical="center"/>
    </xf>
    <xf numFmtId="0" fontId="104" fillId="13" borderId="150" xfId="7" applyFont="1" applyFill="1" applyBorder="1" applyAlignment="1">
      <alignment horizontal="left" vertical="center" wrapText="1"/>
    </xf>
    <xf numFmtId="0" fontId="104" fillId="13" borderId="151" xfId="7" applyFont="1" applyFill="1" applyBorder="1" applyAlignment="1">
      <alignment horizontal="left" vertical="center" wrapText="1"/>
    </xf>
    <xf numFmtId="180" fontId="103" fillId="0" borderId="0" xfId="7" applyNumberFormat="1" applyFont="1" applyAlignment="1">
      <alignment horizontal="left" vertical="center"/>
    </xf>
    <xf numFmtId="180" fontId="103" fillId="0" borderId="129" xfId="7" applyNumberFormat="1" applyFont="1" applyBorder="1" applyAlignment="1">
      <alignment horizontal="left" vertical="center"/>
    </xf>
    <xf numFmtId="177" fontId="103" fillId="15" borderId="0" xfId="7" applyNumberFormat="1" applyFont="1" applyFill="1" applyAlignment="1">
      <alignment horizontal="left" vertical="center"/>
    </xf>
    <xf numFmtId="0" fontId="152" fillId="13" borderId="140" xfId="7" applyFont="1" applyFill="1" applyBorder="1" applyAlignment="1" applyProtection="1">
      <alignment horizontal="left" vertical="center" wrapText="1"/>
    </xf>
    <xf numFmtId="0" fontId="104" fillId="12" borderId="140" xfId="7" applyFont="1" applyFill="1" applyBorder="1" applyAlignment="1">
      <alignment horizontal="left" vertical="center" wrapText="1"/>
    </xf>
    <xf numFmtId="0" fontId="104" fillId="12" borderId="144" xfId="7" applyFont="1" applyFill="1" applyBorder="1" applyAlignment="1">
      <alignment horizontal="left" vertical="center" wrapText="1"/>
    </xf>
    <xf numFmtId="0" fontId="152" fillId="6" borderId="134" xfId="7" applyFont="1" applyFill="1" applyBorder="1" applyAlignment="1" applyProtection="1">
      <alignment horizontal="left" vertical="center" wrapText="1"/>
    </xf>
    <xf numFmtId="180" fontId="103" fillId="6" borderId="0" xfId="7" applyNumberFormat="1" applyFont="1" applyFill="1" applyAlignment="1">
      <alignment horizontal="left" vertical="center"/>
    </xf>
    <xf numFmtId="0" fontId="103" fillId="6" borderId="129" xfId="7" applyFont="1" applyFill="1" applyBorder="1" applyAlignment="1">
      <alignment horizontal="left" vertical="center"/>
    </xf>
    <xf numFmtId="178" fontId="103" fillId="6" borderId="0" xfId="7" applyNumberFormat="1" applyFont="1" applyFill="1" applyAlignment="1">
      <alignment horizontal="left" vertical="center"/>
    </xf>
    <xf numFmtId="0" fontId="104" fillId="12" borderId="152" xfId="7" applyFont="1" applyFill="1" applyBorder="1" applyAlignment="1">
      <alignment horizontal="left" vertical="center" wrapText="1"/>
    </xf>
    <xf numFmtId="0" fontId="104" fillId="12" borderId="153" xfId="7" applyFont="1" applyFill="1" applyBorder="1" applyAlignment="1">
      <alignment horizontal="left" vertical="center" wrapText="1"/>
    </xf>
    <xf numFmtId="0" fontId="104" fillId="12" borderId="154" xfId="7" applyFont="1" applyFill="1" applyBorder="1" applyAlignment="1">
      <alignment horizontal="left" vertical="center" wrapText="1"/>
    </xf>
    <xf numFmtId="0" fontId="145" fillId="0" borderId="0" xfId="7" applyFont="1" applyAlignment="1">
      <alignment horizontal="left" vertical="center"/>
    </xf>
    <xf numFmtId="0" fontId="119" fillId="0" borderId="0" xfId="7" applyFont="1" applyAlignment="1">
      <alignment horizontal="left" vertical="center"/>
    </xf>
    <xf numFmtId="0" fontId="119" fillId="0" borderId="129" xfId="7" applyFont="1" applyBorder="1" applyAlignment="1">
      <alignment horizontal="left" vertical="center"/>
    </xf>
    <xf numFmtId="180" fontId="119" fillId="0" borderId="0" xfId="7" applyNumberFormat="1" applyFont="1" applyAlignment="1">
      <alignment horizontal="left" vertical="center"/>
    </xf>
    <xf numFmtId="180" fontId="119" fillId="0" borderId="129" xfId="7" applyNumberFormat="1" applyFont="1" applyBorder="1" applyAlignment="1">
      <alignment horizontal="left" vertical="center"/>
    </xf>
    <xf numFmtId="0" fontId="152" fillId="13" borderId="155" xfId="7" applyFont="1" applyFill="1" applyBorder="1" applyAlignment="1">
      <alignment horizontal="left" vertical="center" wrapText="1"/>
    </xf>
    <xf numFmtId="0" fontId="152" fillId="13" borderId="131" xfId="7" applyFont="1" applyFill="1" applyBorder="1" applyAlignment="1">
      <alignment horizontal="left" vertical="center" wrapText="1"/>
    </xf>
    <xf numFmtId="0" fontId="152" fillId="12" borderId="156" xfId="7" applyFont="1" applyFill="1" applyBorder="1" applyAlignment="1">
      <alignment horizontal="left" vertical="center" wrapText="1"/>
    </xf>
    <xf numFmtId="0" fontId="152" fillId="12" borderId="134" xfId="7" applyFont="1" applyFill="1" applyBorder="1" applyAlignment="1">
      <alignment horizontal="left" vertical="center" wrapText="1"/>
    </xf>
    <xf numFmtId="0" fontId="152" fillId="13" borderId="156" xfId="7" applyFont="1" applyFill="1" applyBorder="1" applyAlignment="1">
      <alignment horizontal="left" vertical="center" wrapText="1"/>
    </xf>
    <xf numFmtId="0" fontId="152" fillId="13" borderId="134" xfId="7" applyFont="1" applyFill="1" applyBorder="1" applyAlignment="1">
      <alignment horizontal="left" vertical="center" wrapText="1"/>
    </xf>
    <xf numFmtId="0" fontId="152" fillId="12" borderId="157" xfId="7" applyFont="1" applyFill="1" applyBorder="1" applyAlignment="1">
      <alignment horizontal="left" vertical="center" wrapText="1"/>
    </xf>
    <xf numFmtId="0" fontId="152" fillId="12" borderId="140" xfId="7" applyFont="1" applyFill="1" applyBorder="1" applyAlignment="1">
      <alignment horizontal="left" vertical="center" wrapText="1"/>
    </xf>
    <xf numFmtId="0" fontId="61" fillId="5" borderId="90" xfId="0" applyFont="1" applyFill="1" applyBorder="1" applyAlignment="1" applyProtection="1">
      <alignment horizontal="left" vertical="center"/>
      <protection locked="0"/>
    </xf>
    <xf numFmtId="0" fontId="55" fillId="5" borderId="17" xfId="0" applyFont="1" applyFill="1" applyBorder="1" applyAlignment="1" applyProtection="1">
      <alignment horizontal="left" vertical="center"/>
    </xf>
    <xf numFmtId="0" fontId="59" fillId="5" borderId="39" xfId="0" applyFont="1" applyFill="1" applyBorder="1" applyAlignment="1" applyProtection="1">
      <alignment horizontal="left" vertical="center"/>
    </xf>
    <xf numFmtId="0" fontId="55" fillId="0" borderId="16" xfId="0" applyNumberFormat="1" applyFont="1" applyFill="1" applyBorder="1" applyAlignment="1" applyProtection="1">
      <alignment horizontal="left" vertical="center" wrapText="1"/>
      <protection locked="0"/>
    </xf>
    <xf numFmtId="0" fontId="55" fillId="5" borderId="23" xfId="0" applyNumberFormat="1" applyFont="1" applyFill="1" applyBorder="1" applyAlignment="1" applyProtection="1">
      <alignment horizontal="left" vertical="center" wrapText="1"/>
    </xf>
    <xf numFmtId="0" fontId="55" fillId="5" borderId="26" xfId="0" applyNumberFormat="1" applyFont="1" applyFill="1" applyBorder="1" applyAlignment="1" applyProtection="1">
      <alignment horizontal="left" vertical="center" wrapText="1"/>
    </xf>
    <xf numFmtId="49" fontId="48" fillId="5" borderId="16" xfId="0" applyNumberFormat="1" applyFont="1" applyFill="1" applyBorder="1" applyAlignment="1" applyProtection="1">
      <alignment horizontal="left" vertical="center" wrapText="1"/>
    </xf>
    <xf numFmtId="0" fontId="41" fillId="2" borderId="23" xfId="0" applyNumberFormat="1" applyFont="1" applyFill="1" applyBorder="1" applyAlignment="1" applyProtection="1">
      <alignment horizontal="left" vertical="center" wrapText="1"/>
      <protection locked="0"/>
    </xf>
    <xf numFmtId="17" fontId="46" fillId="0" borderId="19" xfId="0" applyNumberFormat="1" applyFont="1" applyFill="1" applyBorder="1" applyAlignment="1" applyProtection="1">
      <alignment horizontal="left" vertical="center" wrapText="1"/>
      <protection locked="0"/>
    </xf>
    <xf numFmtId="0" fontId="46" fillId="0" borderId="19" xfId="0" applyNumberFormat="1" applyFont="1" applyFill="1" applyBorder="1" applyAlignment="1" applyProtection="1">
      <alignment horizontal="left" vertical="center" wrapText="1"/>
      <protection locked="0"/>
    </xf>
    <xf numFmtId="0" fontId="48" fillId="5" borderId="39" xfId="0" applyFont="1" applyFill="1" applyBorder="1" applyAlignment="1" applyProtection="1">
      <alignment horizontal="left" vertical="center"/>
      <protection locked="0"/>
    </xf>
    <xf numFmtId="0" fontId="70" fillId="5" borderId="39" xfId="0" applyFont="1" applyFill="1" applyBorder="1" applyAlignment="1" applyProtection="1">
      <alignment horizontal="left" vertical="center"/>
      <protection locked="0"/>
    </xf>
    <xf numFmtId="0" fontId="48" fillId="5" borderId="39" xfId="0" applyFont="1" applyFill="1" applyBorder="1" applyAlignment="1" applyProtection="1">
      <alignment horizontal="left"/>
      <protection locked="0"/>
    </xf>
    <xf numFmtId="9" fontId="41" fillId="5" borderId="0" xfId="0" applyNumberFormat="1" applyFont="1" applyFill="1" applyBorder="1" applyAlignment="1" applyProtection="1">
      <alignment horizontal="left" vertical="center" wrapText="1"/>
      <protection locked="0"/>
    </xf>
    <xf numFmtId="0" fontId="48" fillId="0" borderId="49" xfId="0" applyNumberFormat="1" applyFont="1" applyFill="1" applyBorder="1" applyAlignment="1" applyProtection="1">
      <alignment horizontal="left" vertical="center" wrapText="1"/>
      <protection locked="0"/>
    </xf>
    <xf numFmtId="0" fontId="70" fillId="0" borderId="50" xfId="0" applyNumberFormat="1" applyFont="1" applyFill="1" applyBorder="1" applyAlignment="1" applyProtection="1">
      <alignment horizontal="left" vertical="center" wrapText="1"/>
      <protection locked="0"/>
    </xf>
    <xf numFmtId="0" fontId="100" fillId="0" borderId="32" xfId="0" applyNumberFormat="1" applyFont="1" applyFill="1" applyBorder="1" applyAlignment="1" applyProtection="1">
      <alignment horizontal="left" vertical="center" wrapText="1"/>
      <protection locked="0"/>
    </xf>
    <xf numFmtId="0" fontId="59" fillId="5" borderId="91" xfId="0" applyFont="1" applyFill="1" applyBorder="1" applyAlignment="1" applyProtection="1">
      <alignment horizontal="left" vertical="center"/>
    </xf>
    <xf numFmtId="0" fontId="55" fillId="5" borderId="166" xfId="0" applyFont="1" applyFill="1" applyBorder="1" applyAlignment="1" applyProtection="1">
      <alignment horizontal="left" vertical="center"/>
      <protection locked="0"/>
    </xf>
    <xf numFmtId="0" fontId="59" fillId="5" borderId="25" xfId="0" applyFont="1" applyFill="1" applyBorder="1" applyAlignment="1" applyProtection="1">
      <alignment horizontal="left" vertical="center"/>
    </xf>
    <xf numFmtId="0" fontId="59" fillId="5" borderId="27" xfId="0" applyFont="1" applyFill="1" applyBorder="1" applyAlignment="1" applyProtection="1">
      <alignment horizontal="left" vertical="center"/>
    </xf>
    <xf numFmtId="0" fontId="41" fillId="0" borderId="24" xfId="0" applyNumberFormat="1" applyFont="1" applyFill="1" applyBorder="1" applyAlignment="1" applyProtection="1">
      <alignment horizontal="left" vertical="center" wrapText="1"/>
      <protection locked="0"/>
    </xf>
    <xf numFmtId="0" fontId="41" fillId="0" borderId="42" xfId="0" applyNumberFormat="1" applyFont="1" applyFill="1" applyBorder="1" applyAlignment="1" applyProtection="1">
      <alignment horizontal="left" vertical="center" wrapText="1"/>
      <protection locked="0"/>
    </xf>
    <xf numFmtId="0" fontId="41" fillId="5" borderId="59"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xf>
    <xf numFmtId="0" fontId="41" fillId="5" borderId="58" xfId="0" applyFont="1" applyFill="1" applyBorder="1" applyAlignment="1" applyProtection="1">
      <alignment horizontal="left" vertical="center" wrapText="1"/>
    </xf>
    <xf numFmtId="0" fontId="41" fillId="5" borderId="34" xfId="0" applyFont="1" applyFill="1" applyBorder="1" applyAlignment="1" applyProtection="1">
      <alignment horizontal="left" vertical="center" wrapText="1"/>
    </xf>
    <xf numFmtId="0" fontId="41" fillId="5" borderId="50" xfId="0" applyFont="1" applyFill="1" applyBorder="1" applyAlignment="1" applyProtection="1">
      <alignment horizontal="left" vertical="center" wrapText="1"/>
    </xf>
    <xf numFmtId="0" fontId="48" fillId="0" borderId="51" xfId="0" applyNumberFormat="1" applyFont="1" applyFill="1" applyBorder="1" applyAlignment="1" applyProtection="1">
      <alignment horizontal="left" vertical="center" wrapText="1"/>
      <protection locked="0"/>
    </xf>
    <xf numFmtId="0" fontId="41" fillId="2" borderId="24" xfId="0" applyNumberFormat="1"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48" fillId="0" borderId="48"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protection locked="0"/>
    </xf>
    <xf numFmtId="49" fontId="41" fillId="0" borderId="0" xfId="0" applyNumberFormat="1" applyFont="1" applyFill="1" applyBorder="1" applyAlignment="1" applyProtection="1">
      <alignment horizontal="left" vertical="center"/>
      <protection locked="0"/>
    </xf>
    <xf numFmtId="0" fontId="41" fillId="0" borderId="73"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horizontal="left" vertical="center" wrapText="1"/>
    </xf>
    <xf numFmtId="0" fontId="48" fillId="0" borderId="33"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7" fillId="5" borderId="42" xfId="0" applyNumberFormat="1" applyFont="1" applyFill="1" applyBorder="1" applyAlignment="1" applyProtection="1">
      <alignment horizontal="left" vertical="center" wrapText="1"/>
      <protection locked="0"/>
    </xf>
    <xf numFmtId="176" fontId="48" fillId="5" borderId="41" xfId="0" applyNumberFormat="1" applyFont="1" applyFill="1" applyBorder="1" applyAlignment="1" applyProtection="1">
      <alignment horizontal="left" vertical="center" wrapText="1"/>
    </xf>
    <xf numFmtId="176" fontId="48" fillId="18" borderId="41" xfId="0" applyNumberFormat="1"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4" fillId="8" borderId="1"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0" fontId="108" fillId="8" borderId="1" xfId="0" applyNumberFormat="1" applyFont="1" applyFill="1" applyBorder="1" applyAlignment="1" applyProtection="1">
      <alignment horizontal="left" vertical="center"/>
    </xf>
    <xf numFmtId="9" fontId="108" fillId="8" borderId="1" xfId="0" applyNumberFormat="1" applyFont="1" applyFill="1" applyBorder="1" applyAlignment="1" applyProtection="1">
      <alignment horizontal="left" vertical="center"/>
    </xf>
    <xf numFmtId="0" fontId="108" fillId="8" borderId="18" xfId="0" applyFont="1" applyFill="1" applyBorder="1" applyAlignment="1" applyProtection="1">
      <alignment horizontal="left" vertical="center" wrapText="1"/>
    </xf>
    <xf numFmtId="0" fontId="103" fillId="8" borderId="18" xfId="0" applyFont="1" applyFill="1" applyBorder="1" applyAlignment="1" applyProtection="1">
      <alignment horizontal="left" vertical="center" wrapText="1"/>
    </xf>
    <xf numFmtId="9" fontId="108" fillId="8" borderId="18" xfId="0" applyNumberFormat="1" applyFont="1" applyFill="1" applyBorder="1" applyAlignment="1" applyProtection="1">
      <alignment horizontal="left" vertical="center"/>
    </xf>
    <xf numFmtId="0" fontId="103" fillId="8" borderId="2" xfId="0" applyFont="1" applyFill="1" applyBorder="1" applyAlignment="1" applyProtection="1">
      <alignment horizontal="left" vertical="center" wrapText="1"/>
    </xf>
    <xf numFmtId="0" fontId="108" fillId="8" borderId="35" xfId="0" applyFont="1" applyFill="1" applyBorder="1" applyAlignment="1" applyProtection="1">
      <alignment horizontal="left" vertical="center" wrapText="1"/>
    </xf>
    <xf numFmtId="0" fontId="108" fillId="8" borderId="36" xfId="0" applyFont="1" applyFill="1" applyBorder="1" applyAlignment="1" applyProtection="1">
      <alignment horizontal="left" vertical="center" wrapText="1"/>
    </xf>
    <xf numFmtId="0" fontId="108" fillId="8" borderId="27" xfId="0" applyFont="1" applyFill="1" applyBorder="1" applyAlignment="1" applyProtection="1">
      <alignment horizontal="left" vertical="center" wrapText="1"/>
    </xf>
    <xf numFmtId="0" fontId="108" fillId="8" borderId="2" xfId="0" applyFont="1" applyFill="1" applyBorder="1" applyAlignment="1" applyProtection="1">
      <alignment horizontal="left" vertical="center" wrapText="1"/>
    </xf>
    <xf numFmtId="0" fontId="108" fillId="8" borderId="51" xfId="0" applyFont="1" applyFill="1" applyBorder="1" applyAlignment="1" applyProtection="1">
      <alignment horizontal="left" vertical="center"/>
    </xf>
    <xf numFmtId="0" fontId="108" fillId="8" borderId="3" xfId="0" applyFont="1" applyFill="1" applyBorder="1" applyAlignment="1" applyProtection="1">
      <alignment horizontal="left" vertical="center" wrapText="1"/>
    </xf>
    <xf numFmtId="0" fontId="108" fillId="8" borderId="60" xfId="0" applyFont="1" applyFill="1" applyBorder="1" applyAlignment="1" applyProtection="1">
      <alignment horizontal="left" vertical="center" wrapText="1"/>
    </xf>
    <xf numFmtId="0" fontId="108" fillId="8" borderId="0" xfId="0" applyFont="1" applyFill="1" applyBorder="1" applyAlignment="1" applyProtection="1">
      <alignment horizontal="left" vertical="center" wrapText="1"/>
    </xf>
    <xf numFmtId="0" fontId="108" fillId="8" borderId="25" xfId="0" applyFont="1" applyFill="1" applyBorder="1" applyAlignment="1" applyProtection="1">
      <alignment horizontal="left" vertical="center" wrapText="1"/>
    </xf>
    <xf numFmtId="0" fontId="108" fillId="8" borderId="64" xfId="0" applyFont="1" applyFill="1" applyBorder="1" applyAlignment="1" applyProtection="1">
      <alignment horizontal="left" vertical="center" wrapText="1"/>
    </xf>
    <xf numFmtId="0" fontId="108" fillId="8" borderId="65" xfId="0" applyFont="1" applyFill="1" applyBorder="1" applyAlignment="1" applyProtection="1">
      <alignment horizontal="left" vertical="center" wrapText="1"/>
    </xf>
    <xf numFmtId="0" fontId="108" fillId="8" borderId="24" xfId="0" applyFont="1" applyFill="1" applyBorder="1" applyAlignment="1" applyProtection="1">
      <alignment horizontal="left" vertical="center" wrapText="1"/>
    </xf>
    <xf numFmtId="0" fontId="44" fillId="8" borderId="0" xfId="0" applyFont="1" applyFill="1" applyAlignment="1" applyProtection="1">
      <alignment horizontal="left" vertical="center"/>
    </xf>
    <xf numFmtId="181" fontId="44" fillId="5" borderId="0" xfId="0" applyNumberFormat="1" applyFont="1" applyFill="1" applyAlignment="1" applyProtection="1">
      <alignment horizontal="left" vertical="center"/>
    </xf>
    <xf numFmtId="0" fontId="110" fillId="8" borderId="1" xfId="0" applyFont="1" applyFill="1" applyBorder="1" applyAlignment="1" applyProtection="1">
      <alignment horizontal="left" vertical="center" wrapText="1"/>
    </xf>
    <xf numFmtId="0" fontId="118" fillId="8" borderId="1" xfId="0" applyFont="1" applyFill="1" applyBorder="1" applyAlignment="1" applyProtection="1">
      <alignment horizontal="left" vertical="center" wrapText="1"/>
    </xf>
    <xf numFmtId="0" fontId="248" fillId="8" borderId="1" xfId="0" applyFont="1" applyFill="1" applyBorder="1" applyAlignment="1" applyProtection="1">
      <alignment horizontal="left" vertical="center" wrapText="1"/>
    </xf>
    <xf numFmtId="10" fontId="248" fillId="8" borderId="1" xfId="0" applyNumberFormat="1" applyFont="1" applyFill="1" applyBorder="1" applyAlignment="1" applyProtection="1">
      <alignment horizontal="left" vertical="center"/>
    </xf>
    <xf numFmtId="9" fontId="248" fillId="8" borderId="1" xfId="0" applyNumberFormat="1" applyFont="1" applyFill="1" applyBorder="1" applyAlignment="1" applyProtection="1">
      <alignment horizontal="left" vertical="center"/>
    </xf>
    <xf numFmtId="0" fontId="248" fillId="8" borderId="18" xfId="0" applyFont="1" applyFill="1" applyBorder="1" applyAlignment="1" applyProtection="1">
      <alignment horizontal="left" vertical="center" wrapText="1"/>
    </xf>
    <xf numFmtId="0" fontId="110" fillId="8" borderId="18" xfId="0" applyFont="1" applyFill="1" applyBorder="1" applyAlignment="1" applyProtection="1">
      <alignment horizontal="left" vertical="center" wrapText="1"/>
    </xf>
    <xf numFmtId="9" fontId="248" fillId="8" borderId="18" xfId="0" applyNumberFormat="1" applyFont="1" applyFill="1" applyBorder="1" applyAlignment="1" applyProtection="1">
      <alignment horizontal="left" vertical="center"/>
    </xf>
    <xf numFmtId="0" fontId="110" fillId="8" borderId="2" xfId="0" applyFont="1" applyFill="1" applyBorder="1" applyAlignment="1" applyProtection="1">
      <alignment horizontal="left" vertical="center" wrapText="1"/>
    </xf>
    <xf numFmtId="0" fontId="248" fillId="8" borderId="35" xfId="0" applyFont="1" applyFill="1" applyBorder="1" applyAlignment="1" applyProtection="1">
      <alignment horizontal="left" vertical="center" wrapText="1"/>
    </xf>
    <xf numFmtId="0" fontId="248" fillId="8" borderId="36" xfId="0" applyFont="1" applyFill="1" applyBorder="1" applyAlignment="1" applyProtection="1">
      <alignment horizontal="left" vertical="center" wrapText="1"/>
    </xf>
    <xf numFmtId="0" fontId="248" fillId="8" borderId="27" xfId="0" applyFont="1" applyFill="1" applyBorder="1" applyAlignment="1" applyProtection="1">
      <alignment horizontal="left" vertical="center" wrapText="1"/>
    </xf>
    <xf numFmtId="0" fontId="248" fillId="8" borderId="2" xfId="0" applyFont="1" applyFill="1" applyBorder="1" applyAlignment="1" applyProtection="1">
      <alignment horizontal="left" vertical="center" wrapText="1"/>
    </xf>
    <xf numFmtId="0" fontId="248" fillId="8" borderId="51" xfId="0" applyFont="1" applyFill="1" applyBorder="1" applyAlignment="1" applyProtection="1">
      <alignment horizontal="left" vertical="center"/>
    </xf>
    <xf numFmtId="0" fontId="248" fillId="8" borderId="3" xfId="0" applyFont="1" applyFill="1" applyBorder="1" applyAlignment="1" applyProtection="1">
      <alignment horizontal="left" vertical="center" wrapText="1"/>
    </xf>
    <xf numFmtId="0" fontId="248" fillId="8" borderId="60" xfId="0" applyFont="1" applyFill="1" applyBorder="1" applyAlignment="1" applyProtection="1">
      <alignment horizontal="left" vertical="center" wrapText="1"/>
    </xf>
    <xf numFmtId="0" fontId="248" fillId="8" borderId="0" xfId="0" applyFont="1" applyFill="1" applyBorder="1" applyAlignment="1" applyProtection="1">
      <alignment horizontal="left" vertical="center" wrapText="1"/>
    </xf>
    <xf numFmtId="0" fontId="248" fillId="8" borderId="25" xfId="0" applyFont="1" applyFill="1" applyBorder="1" applyAlignment="1" applyProtection="1">
      <alignment horizontal="left" vertical="center" wrapText="1"/>
    </xf>
    <xf numFmtId="0" fontId="248" fillId="8" borderId="64" xfId="0" applyFont="1" applyFill="1" applyBorder="1" applyAlignment="1" applyProtection="1">
      <alignment horizontal="left" vertical="center" wrapText="1"/>
    </xf>
    <xf numFmtId="0" fontId="248" fillId="8" borderId="65" xfId="0" applyFont="1" applyFill="1" applyBorder="1" applyAlignment="1" applyProtection="1">
      <alignment horizontal="left" vertical="center" wrapText="1"/>
    </xf>
    <xf numFmtId="0" fontId="248" fillId="8" borderId="24" xfId="0" applyFont="1" applyFill="1" applyBorder="1" applyAlignment="1" applyProtection="1">
      <alignment horizontal="left" vertical="center" wrapText="1"/>
    </xf>
    <xf numFmtId="0" fontId="199" fillId="8" borderId="0" xfId="0" applyFont="1" applyFill="1" applyAlignment="1" applyProtection="1">
      <alignment horizontal="left" vertical="center"/>
    </xf>
    <xf numFmtId="0" fontId="249" fillId="5" borderId="1" xfId="0" applyFont="1" applyFill="1" applyBorder="1" applyAlignment="1" applyProtection="1">
      <alignment horizontal="left" vertical="center" wrapText="1"/>
    </xf>
    <xf numFmtId="0" fontId="199" fillId="5" borderId="1" xfId="0" applyFont="1" applyFill="1" applyBorder="1" applyAlignment="1" applyProtection="1">
      <alignment horizontal="left" vertical="center"/>
    </xf>
    <xf numFmtId="181" fontId="199" fillId="5" borderId="0" xfId="0" applyNumberFormat="1" applyFont="1" applyFill="1" applyAlignment="1" applyProtection="1">
      <alignment horizontal="left" vertical="center"/>
    </xf>
    <xf numFmtId="9" fontId="44" fillId="6" borderId="36" xfId="0" applyNumberFormat="1" applyFont="1" applyFill="1" applyBorder="1" applyAlignment="1" applyProtection="1">
      <alignment horizontal="left" vertical="center"/>
      <protection locked="0"/>
    </xf>
    <xf numFmtId="0" fontId="44" fillId="5" borderId="27" xfId="0" applyFont="1" applyFill="1" applyBorder="1" applyAlignment="1" applyProtection="1">
      <alignment horizontal="left" vertical="center"/>
    </xf>
    <xf numFmtId="0" fontId="44" fillId="5" borderId="0" xfId="0" applyFont="1" applyFill="1" applyAlignment="1" applyProtection="1">
      <alignment horizontal="left" vertical="center"/>
    </xf>
    <xf numFmtId="9" fontId="44" fillId="5" borderId="6" xfId="0" applyNumberFormat="1" applyFont="1" applyFill="1" applyBorder="1" applyAlignment="1" applyProtection="1">
      <alignment horizontal="left" vertical="center"/>
    </xf>
    <xf numFmtId="10" fontId="44" fillId="5" borderId="17" xfId="0" applyNumberFormat="1" applyFont="1" applyFill="1" applyBorder="1" applyAlignment="1" applyProtection="1">
      <alignment horizontal="left" vertical="center"/>
    </xf>
    <xf numFmtId="0" fontId="45" fillId="0" borderId="6" xfId="0" applyFont="1" applyFill="1" applyBorder="1" applyAlignment="1" applyProtection="1">
      <alignment horizontal="left" vertical="center" wrapText="1"/>
      <protection locked="0"/>
    </xf>
    <xf numFmtId="0" fontId="44" fillId="6" borderId="3" xfId="0" applyFont="1" applyFill="1" applyBorder="1" applyAlignment="1" applyProtection="1">
      <alignment horizontal="left" vertical="center"/>
      <protection locked="0"/>
    </xf>
    <xf numFmtId="0" fontId="44" fillId="5" borderId="35"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77" fillId="18" borderId="0" xfId="0" applyFont="1" applyFill="1" applyAlignment="1" applyProtection="1">
      <alignment horizontal="left" vertical="center"/>
    </xf>
    <xf numFmtId="10" fontId="44" fillId="18" borderId="0" xfId="0" applyNumberFormat="1" applyFont="1" applyFill="1" applyAlignment="1" applyProtection="1">
      <alignment horizontal="left" vertical="center"/>
    </xf>
    <xf numFmtId="0" fontId="44" fillId="5" borderId="60" xfId="0" applyFont="1" applyFill="1" applyBorder="1" applyAlignment="1" applyProtection="1">
      <alignment horizontal="left" vertical="center"/>
    </xf>
    <xf numFmtId="0" fontId="44" fillId="18" borderId="0" xfId="0" applyFont="1" applyFill="1" applyAlignment="1" applyProtection="1">
      <alignment horizontal="left" vertical="center"/>
    </xf>
    <xf numFmtId="0" fontId="44" fillId="5" borderId="23" xfId="0"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xf>
    <xf numFmtId="0" fontId="44" fillId="5" borderId="6" xfId="0" applyFont="1" applyFill="1" applyBorder="1" applyAlignment="1" applyProtection="1">
      <alignment horizontal="left" vertical="center"/>
    </xf>
    <xf numFmtId="0" fontId="119" fillId="0" borderId="6"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44" fillId="18" borderId="44" xfId="0" applyFont="1" applyFill="1" applyBorder="1" applyAlignment="1" applyProtection="1">
      <alignment horizontal="left" vertical="center"/>
    </xf>
    <xf numFmtId="10" fontId="44" fillId="18" borderId="61" xfId="0" applyNumberFormat="1" applyFont="1" applyFill="1" applyBorder="1" applyAlignment="1" applyProtection="1">
      <alignment horizontal="left" vertical="center"/>
    </xf>
    <xf numFmtId="0" fontId="173" fillId="5" borderId="1" xfId="13" applyFont="1" applyFill="1" applyBorder="1" applyAlignment="1" applyProtection="1">
      <alignment horizontal="left" vertical="center" wrapText="1"/>
    </xf>
    <xf numFmtId="0" fontId="172"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3" fillId="5" borderId="1" xfId="13" applyNumberFormat="1" applyFont="1" applyFill="1" applyBorder="1" applyAlignment="1" applyProtection="1">
      <alignment horizontal="left" vertical="center" wrapText="1"/>
    </xf>
    <xf numFmtId="0" fontId="173" fillId="13" borderId="1" xfId="13" applyFont="1" applyFill="1" applyBorder="1" applyAlignment="1" applyProtection="1">
      <alignment horizontal="left" vertical="center" wrapText="1"/>
      <protection locked="0"/>
    </xf>
    <xf numFmtId="0" fontId="172" fillId="5" borderId="1" xfId="13" applyFill="1" applyBorder="1" applyAlignment="1" applyProtection="1">
      <alignment horizontal="left" vertical="center"/>
    </xf>
    <xf numFmtId="0" fontId="173" fillId="5" borderId="18" xfId="13" applyFont="1" applyFill="1" applyBorder="1" applyAlignment="1" applyProtection="1">
      <alignment horizontal="left" vertical="center" wrapText="1"/>
    </xf>
    <xf numFmtId="0" fontId="95" fillId="0" borderId="1" xfId="13" applyFont="1" applyFill="1" applyBorder="1" applyAlignment="1" applyProtection="1">
      <alignment horizontal="left"/>
      <protection locked="0"/>
    </xf>
    <xf numFmtId="0" fontId="172" fillId="0" borderId="1" xfId="13" applyBorder="1" applyAlignment="1" applyProtection="1">
      <alignment horizontal="left"/>
      <protection locked="0"/>
    </xf>
    <xf numFmtId="0" fontId="49" fillId="5" borderId="87" xfId="0" applyFont="1" applyFill="1" applyBorder="1" applyAlignment="1" applyProtection="1">
      <alignment vertical="center"/>
    </xf>
    <xf numFmtId="0" fontId="49" fillId="5" borderId="88" xfId="0" applyFont="1" applyFill="1" applyBorder="1" applyAlignment="1" applyProtection="1">
      <alignment vertical="center"/>
    </xf>
    <xf numFmtId="14" fontId="44" fillId="0" borderId="54" xfId="0" applyNumberFormat="1" applyFont="1" applyFill="1" applyBorder="1" applyAlignment="1" applyProtection="1">
      <alignment vertical="center"/>
      <protection locked="0"/>
    </xf>
    <xf numFmtId="0" fontId="44" fillId="5" borderId="124" xfId="0" applyFont="1" applyFill="1" applyBorder="1" applyAlignment="1" applyProtection="1">
      <alignment vertical="center"/>
    </xf>
    <xf numFmtId="14" fontId="44" fillId="6" borderId="75" xfId="0" applyNumberFormat="1" applyFont="1" applyFill="1" applyBorder="1" applyAlignment="1" applyProtection="1">
      <alignment vertical="center"/>
      <protection locked="0"/>
    </xf>
    <xf numFmtId="0" fontId="44" fillId="5" borderId="75" xfId="0" applyFont="1" applyFill="1" applyBorder="1" applyAlignment="1" applyProtection="1">
      <alignment vertical="center" wrapText="1"/>
    </xf>
    <xf numFmtId="0" fontId="44" fillId="5" borderId="75" xfId="0" applyNumberFormat="1" applyFont="1" applyFill="1" applyBorder="1" applyAlignment="1" applyProtection="1">
      <alignment vertical="center"/>
    </xf>
    <xf numFmtId="0" fontId="44" fillId="2" borderId="1" xfId="0" applyFont="1" applyFill="1" applyBorder="1" applyAlignment="1" applyProtection="1">
      <alignment vertical="center" wrapText="1"/>
      <protection locked="0"/>
    </xf>
    <xf numFmtId="0" fontId="44" fillId="0" borderId="3" xfId="0" applyFont="1" applyFill="1" applyBorder="1" applyAlignment="1" applyProtection="1">
      <alignment vertical="center" wrapText="1"/>
      <protection locked="0"/>
    </xf>
    <xf numFmtId="0" fontId="119" fillId="5" borderId="0" xfId="0" applyFont="1" applyFill="1" applyBorder="1" applyAlignment="1" applyProtection="1">
      <alignment vertical="center"/>
    </xf>
    <xf numFmtId="0" fontId="44" fillId="2" borderId="75" xfId="0" applyFont="1" applyFill="1" applyBorder="1" applyAlignment="1" applyProtection="1">
      <alignment vertical="center" wrapText="1"/>
      <protection locked="0"/>
    </xf>
    <xf numFmtId="0" fontId="44" fillId="5" borderId="22" xfId="0" applyFont="1" applyFill="1" applyBorder="1" applyAlignment="1" applyProtection="1">
      <alignment vertical="center" wrapText="1"/>
    </xf>
    <xf numFmtId="49" fontId="44" fillId="5" borderId="28" xfId="0" applyNumberFormat="1" applyFont="1" applyFill="1" applyBorder="1" applyAlignment="1" applyProtection="1">
      <alignment vertical="center" wrapText="1"/>
    </xf>
    <xf numFmtId="0" fontId="44" fillId="5" borderId="31" xfId="0" applyNumberFormat="1" applyFont="1" applyFill="1" applyBorder="1" applyAlignment="1" applyProtection="1">
      <alignment vertical="center" wrapText="1"/>
    </xf>
    <xf numFmtId="49" fontId="44" fillId="6" borderId="3" xfId="0" applyNumberFormat="1" applyFont="1" applyFill="1" applyBorder="1" applyAlignment="1" applyProtection="1">
      <alignment vertical="center" wrapText="1"/>
      <protection locked="0"/>
    </xf>
    <xf numFmtId="49" fontId="44" fillId="0" borderId="6" xfId="0" applyNumberFormat="1" applyFont="1" applyFill="1" applyBorder="1" applyAlignment="1" applyProtection="1">
      <alignment vertical="center" wrapText="1"/>
      <protection locked="0"/>
    </xf>
    <xf numFmtId="49" fontId="44" fillId="6" borderId="61" xfId="0" applyNumberFormat="1" applyFont="1" applyFill="1" applyBorder="1" applyAlignment="1" applyProtection="1">
      <alignment vertical="center" wrapText="1"/>
      <protection locked="0"/>
    </xf>
    <xf numFmtId="49" fontId="44" fillId="0" borderId="43" xfId="0" applyNumberFormat="1" applyFont="1" applyFill="1" applyBorder="1" applyAlignment="1" applyProtection="1">
      <alignment vertical="center" wrapText="1"/>
      <protection locked="0"/>
    </xf>
    <xf numFmtId="0" fontId="44" fillId="5" borderId="29" xfId="0" applyFont="1" applyFill="1" applyBorder="1" applyAlignment="1" applyProtection="1">
      <alignment vertical="center" wrapText="1"/>
    </xf>
    <xf numFmtId="0" fontId="44" fillId="0" borderId="73" xfId="0" applyFont="1" applyFill="1" applyBorder="1" applyAlignment="1" applyProtection="1">
      <alignment vertical="center" wrapText="1"/>
      <protection locked="0"/>
    </xf>
    <xf numFmtId="0" fontId="44" fillId="5" borderId="92" xfId="0" applyFont="1" applyFill="1" applyBorder="1" applyAlignment="1" applyProtection="1">
      <alignment vertical="center" wrapText="1"/>
    </xf>
    <xf numFmtId="0" fontId="44" fillId="6" borderId="40" xfId="0" applyFont="1" applyFill="1" applyBorder="1" applyAlignment="1" applyProtection="1">
      <alignment vertical="center" wrapText="1"/>
      <protection locked="0"/>
    </xf>
    <xf numFmtId="0" fontId="44" fillId="6" borderId="73" xfId="0" applyFont="1" applyFill="1" applyBorder="1" applyAlignment="1" applyProtection="1">
      <alignment vertical="center" wrapText="1"/>
      <protection locked="0"/>
    </xf>
    <xf numFmtId="0" fontId="52" fillId="6" borderId="1" xfId="0" applyFont="1" applyFill="1" applyBorder="1" applyAlignment="1" applyProtection="1">
      <alignment vertical="center" wrapText="1"/>
      <protection locked="0"/>
    </xf>
    <xf numFmtId="0" fontId="52" fillId="6" borderId="1" xfId="0" applyFont="1" applyFill="1" applyBorder="1" applyAlignment="1" applyProtection="1">
      <alignment vertical="center" wrapText="1" shrinkToFit="1"/>
      <protection locked="0"/>
    </xf>
    <xf numFmtId="0" fontId="44" fillId="5" borderId="21" xfId="0" applyFont="1" applyFill="1" applyBorder="1" applyAlignment="1" applyProtection="1">
      <alignment vertical="center" wrapText="1"/>
    </xf>
    <xf numFmtId="184" fontId="44" fillId="0" borderId="38" xfId="0" applyNumberFormat="1" applyFont="1" applyFill="1" applyBorder="1" applyAlignment="1" applyProtection="1">
      <alignment vertical="center" wrapText="1"/>
      <protection locked="0"/>
    </xf>
    <xf numFmtId="0" fontId="44" fillId="5" borderId="5" xfId="0" applyFont="1" applyFill="1" applyBorder="1" applyAlignment="1" applyProtection="1">
      <alignment vertical="center" wrapText="1"/>
    </xf>
    <xf numFmtId="0" fontId="44" fillId="5" borderId="25" xfId="0" applyFont="1" applyFill="1" applyBorder="1" applyAlignment="1" applyProtection="1">
      <alignment vertical="center" wrapText="1"/>
    </xf>
    <xf numFmtId="0" fontId="44" fillId="0" borderId="6" xfId="0" applyFont="1" applyFill="1" applyBorder="1" applyAlignment="1" applyProtection="1">
      <alignment vertical="center" wrapText="1"/>
      <protection locked="0"/>
    </xf>
    <xf numFmtId="0" fontId="44" fillId="0" borderId="1" xfId="0" applyFont="1" applyFill="1" applyBorder="1" applyAlignment="1" applyProtection="1">
      <alignment vertical="center" wrapText="1"/>
      <protection locked="0"/>
    </xf>
    <xf numFmtId="0" fontId="44" fillId="0" borderId="43"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xf>
    <xf numFmtId="0" fontId="49" fillId="5" borderId="37" xfId="0" applyFont="1" applyFill="1" applyBorder="1" applyAlignment="1" applyProtection="1">
      <alignment vertical="center"/>
    </xf>
    <xf numFmtId="0" fontId="49" fillId="5" borderId="79" xfId="0" applyFont="1" applyFill="1" applyBorder="1" applyAlignment="1" applyProtection="1">
      <alignment vertical="center" wrapText="1"/>
    </xf>
    <xf numFmtId="0" fontId="49" fillId="6" borderId="37" xfId="0" applyFont="1" applyFill="1" applyBorder="1" applyAlignment="1" applyProtection="1">
      <alignment vertical="center" wrapText="1"/>
      <protection locked="0"/>
    </xf>
    <xf numFmtId="0" fontId="49" fillId="6" borderId="79" xfId="0" applyFont="1" applyFill="1" applyBorder="1" applyAlignment="1" applyProtection="1">
      <alignment vertical="center" wrapText="1"/>
      <protection locked="0"/>
    </xf>
    <xf numFmtId="0" fontId="44" fillId="5" borderId="6" xfId="0" applyFont="1" applyFill="1" applyBorder="1" applyAlignment="1" applyProtection="1">
      <alignment vertical="center" wrapText="1"/>
      <protection locked="0"/>
    </xf>
    <xf numFmtId="184" fontId="44" fillId="0" borderId="43" xfId="0" applyNumberFormat="1" applyFont="1" applyFill="1" applyBorder="1" applyAlignment="1" applyProtection="1">
      <alignment vertical="center"/>
      <protection locked="0"/>
    </xf>
    <xf numFmtId="0" fontId="44" fillId="5" borderId="28" xfId="0" applyFont="1" applyFill="1" applyBorder="1" applyAlignment="1" applyProtection="1">
      <alignment vertical="center" wrapText="1"/>
    </xf>
    <xf numFmtId="0" fontId="44" fillId="6" borderId="34" xfId="0" applyFont="1" applyFill="1" applyBorder="1" applyAlignment="1" applyProtection="1">
      <alignment vertical="center" wrapText="1"/>
      <protection locked="0"/>
    </xf>
    <xf numFmtId="0" fontId="44" fillId="6" borderId="50" xfId="0" applyFont="1" applyFill="1" applyBorder="1" applyAlignment="1" applyProtection="1">
      <alignment vertical="center" wrapText="1"/>
      <protection locked="0"/>
    </xf>
    <xf numFmtId="184" fontId="44" fillId="0" borderId="31" xfId="0" applyNumberFormat="1" applyFont="1" applyFill="1" applyBorder="1" applyAlignment="1" applyProtection="1">
      <alignment vertical="center"/>
      <protection locked="0"/>
    </xf>
    <xf numFmtId="179" fontId="44" fillId="5" borderId="0" xfId="0" applyNumberFormat="1" applyFont="1" applyFill="1" applyAlignment="1" applyProtection="1">
      <alignment horizontal="left" vertical="center"/>
      <protection locked="0"/>
    </xf>
    <xf numFmtId="0" fontId="44" fillId="0" borderId="0" xfId="0" applyFont="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179" fontId="41" fillId="5" borderId="0" xfId="0" applyNumberFormat="1"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6" borderId="15" xfId="0" applyNumberFormat="1" applyFont="1" applyFill="1" applyBorder="1" applyAlignment="1" applyProtection="1">
      <alignment horizontal="left" vertical="center"/>
      <protection locked="0"/>
    </xf>
    <xf numFmtId="0" fontId="41" fillId="6" borderId="53" xfId="0" applyNumberFormat="1" applyFont="1" applyFill="1" applyBorder="1" applyAlignment="1" applyProtection="1">
      <alignment horizontal="left" vertical="center"/>
      <protection locked="0"/>
    </xf>
    <xf numFmtId="0" fontId="43" fillId="5" borderId="55" xfId="0" applyFont="1" applyFill="1" applyBorder="1" applyAlignment="1" applyProtection="1">
      <alignment horizontal="left" vertical="center" wrapText="1"/>
      <protection locked="0"/>
    </xf>
    <xf numFmtId="0" fontId="41" fillId="5" borderId="15" xfId="0" applyFont="1" applyFill="1" applyBorder="1" applyAlignment="1" applyProtection="1">
      <alignment horizontal="left" vertical="center"/>
      <protection locked="0"/>
    </xf>
    <xf numFmtId="0" fontId="41" fillId="0" borderId="1" xfId="0" applyNumberFormat="1"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wrapText="1"/>
      <protection locked="0"/>
    </xf>
    <xf numFmtId="0" fontId="41" fillId="5" borderId="73"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177" fontId="41" fillId="2" borderId="31" xfId="1" applyNumberFormat="1" applyFont="1" applyFill="1" applyBorder="1" applyAlignment="1" applyProtection="1">
      <alignment horizontal="left" vertical="center"/>
      <protection locked="0"/>
    </xf>
    <xf numFmtId="0" fontId="41" fillId="5" borderId="14" xfId="0" applyFont="1" applyFill="1" applyBorder="1" applyAlignment="1" applyProtection="1">
      <alignment horizontal="left" vertical="center"/>
    </xf>
    <xf numFmtId="177" fontId="44" fillId="6" borderId="6" xfId="1" applyNumberFormat="1" applyFont="1" applyFill="1" applyBorder="1" applyAlignment="1" applyProtection="1">
      <alignment horizontal="left" vertical="center"/>
      <protection locked="0"/>
    </xf>
    <xf numFmtId="0" fontId="50" fillId="0" borderId="31" xfId="1" applyNumberFormat="1" applyFont="1" applyFill="1" applyBorder="1" applyAlignment="1" applyProtection="1">
      <alignment horizontal="left" vertical="center"/>
      <protection locked="0"/>
    </xf>
    <xf numFmtId="0" fontId="41" fillId="0" borderId="0" xfId="0" applyFont="1" applyAlignment="1" applyProtection="1">
      <alignment horizontal="left" vertical="center" wrapText="1"/>
      <protection locked="0"/>
    </xf>
    <xf numFmtId="184" fontId="58" fillId="0" borderId="1" xfId="0" applyNumberFormat="1" applyFont="1" applyFill="1" applyBorder="1" applyAlignment="1" applyProtection="1">
      <alignment horizontal="left" vertical="center" shrinkToFit="1"/>
      <protection locked="0"/>
    </xf>
    <xf numFmtId="0" fontId="50" fillId="0" borderId="6" xfId="1" applyNumberFormat="1" applyFont="1" applyFill="1" applyBorder="1" applyAlignment="1" applyProtection="1">
      <alignment horizontal="left" vertical="center"/>
      <protection locked="0"/>
    </xf>
    <xf numFmtId="0" fontId="50" fillId="0" borderId="43" xfId="1" applyNumberFormat="1" applyFont="1" applyFill="1" applyBorder="1" applyAlignment="1" applyProtection="1">
      <alignment horizontal="left" vertical="center"/>
      <protection locked="0"/>
    </xf>
    <xf numFmtId="0" fontId="50" fillId="0" borderId="34" xfId="1" applyNumberFormat="1" applyFont="1" applyFill="1" applyBorder="1" applyAlignment="1" applyProtection="1">
      <alignment horizontal="left" vertical="center"/>
      <protection locked="0"/>
    </xf>
    <xf numFmtId="181" fontId="41" fillId="0" borderId="6" xfId="0" applyNumberFormat="1" applyFont="1" applyFill="1" applyBorder="1" applyAlignment="1" applyProtection="1">
      <alignment horizontal="left" vertical="center"/>
      <protection locked="0"/>
    </xf>
    <xf numFmtId="0" fontId="50" fillId="0" borderId="58" xfId="1" applyNumberFormat="1" applyFont="1" applyFill="1" applyBorder="1" applyAlignment="1" applyProtection="1">
      <alignment horizontal="left" vertical="center"/>
      <protection locked="0"/>
    </xf>
    <xf numFmtId="177" fontId="44" fillId="0" borderId="31" xfId="1" applyNumberFormat="1" applyFont="1" applyFill="1" applyBorder="1" applyAlignment="1" applyProtection="1">
      <alignment horizontal="left" vertical="center"/>
      <protection locked="0"/>
    </xf>
    <xf numFmtId="0" fontId="44" fillId="5" borderId="82" xfId="0" applyFont="1" applyFill="1" applyBorder="1" applyAlignment="1" applyProtection="1">
      <alignment horizontal="left" vertical="center"/>
      <protection locked="0"/>
    </xf>
    <xf numFmtId="176" fontId="48" fillId="0" borderId="31" xfId="1" applyNumberFormat="1" applyFont="1" applyFill="1" applyBorder="1" applyAlignment="1" applyProtection="1">
      <alignment horizontal="left" vertical="center"/>
      <protection locked="0"/>
    </xf>
    <xf numFmtId="10" fontId="44" fillId="0" borderId="6" xfId="1" applyNumberFormat="1" applyFont="1" applyFill="1" applyBorder="1" applyAlignment="1" applyProtection="1">
      <alignment horizontal="left" vertical="center"/>
      <protection locked="0"/>
    </xf>
    <xf numFmtId="176" fontId="41" fillId="0" borderId="6" xfId="1" applyNumberFormat="1" applyFont="1" applyFill="1" applyBorder="1" applyAlignment="1" applyProtection="1">
      <alignment horizontal="left" vertical="center"/>
      <protection locked="0"/>
    </xf>
    <xf numFmtId="181" fontId="44" fillId="0" borderId="31" xfId="0" applyNumberFormat="1" applyFont="1" applyFill="1" applyBorder="1" applyAlignment="1" applyProtection="1">
      <alignment horizontal="left" vertical="center"/>
      <protection locked="0"/>
    </xf>
    <xf numFmtId="0" fontId="119" fillId="5" borderId="0" xfId="0" applyFont="1" applyFill="1" applyAlignment="1" applyProtection="1">
      <alignment horizontal="left" vertical="center"/>
      <protection locked="0"/>
    </xf>
    <xf numFmtId="176" fontId="41" fillId="0" borderId="58" xfId="1" applyNumberFormat="1" applyFont="1" applyFill="1" applyBorder="1" applyAlignment="1" applyProtection="1">
      <alignment horizontal="left" vertical="center"/>
      <protection locked="0"/>
    </xf>
    <xf numFmtId="181" fontId="44" fillId="0" borderId="6" xfId="0" applyNumberFormat="1" applyFont="1" applyFill="1" applyBorder="1" applyAlignment="1" applyProtection="1">
      <alignment horizontal="left" vertical="center"/>
      <protection locked="0"/>
    </xf>
    <xf numFmtId="181" fontId="44" fillId="0" borderId="43" xfId="0" applyNumberFormat="1" applyFont="1" applyFill="1" applyBorder="1" applyAlignment="1" applyProtection="1">
      <alignment horizontal="left" vertical="center"/>
      <protection locked="0"/>
    </xf>
    <xf numFmtId="0" fontId="41" fillId="0" borderId="15" xfId="0" applyNumberFormat="1" applyFont="1" applyFill="1" applyBorder="1" applyAlignment="1" applyProtection="1">
      <alignment horizontal="left" vertical="center"/>
      <protection locked="0"/>
    </xf>
    <xf numFmtId="0" fontId="44" fillId="6" borderId="31" xfId="0" applyFont="1" applyFill="1" applyBorder="1" applyAlignment="1" applyProtection="1">
      <alignment horizontal="left" vertical="center"/>
      <protection locked="0"/>
    </xf>
    <xf numFmtId="9" fontId="44" fillId="0" borderId="43" xfId="0" applyNumberFormat="1"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10" fontId="41" fillId="0" borderId="58" xfId="0" applyNumberFormat="1" applyFont="1" applyFill="1" applyBorder="1" applyAlignment="1" applyProtection="1">
      <alignment horizontal="left" vertical="center"/>
      <protection locked="0"/>
    </xf>
    <xf numFmtId="10" fontId="41" fillId="2" borderId="58" xfId="0" applyNumberFormat="1" applyFont="1" applyFill="1" applyBorder="1" applyAlignment="1" applyProtection="1">
      <alignment horizontal="left" vertical="center"/>
      <protection locked="0"/>
    </xf>
    <xf numFmtId="0" fontId="103" fillId="5" borderId="0" xfId="0" applyFont="1" applyFill="1" applyAlignment="1" applyProtection="1">
      <alignment horizontal="left" vertical="center"/>
      <protection locked="0"/>
    </xf>
    <xf numFmtId="0" fontId="41" fillId="0" borderId="58" xfId="0" applyFont="1" applyFill="1" applyBorder="1" applyAlignment="1" applyProtection="1">
      <alignment horizontal="left" vertical="center"/>
      <protection locked="0"/>
    </xf>
    <xf numFmtId="0" fontId="44" fillId="0" borderId="0" xfId="0" applyFont="1" applyFill="1" applyAlignment="1" applyProtection="1">
      <alignment horizontal="left" vertical="center"/>
      <protection locked="0"/>
    </xf>
    <xf numFmtId="0" fontId="41" fillId="5" borderId="38" xfId="0" applyFont="1" applyFill="1" applyBorder="1" applyAlignment="1" applyProtection="1">
      <alignment horizontal="left" vertical="center"/>
    </xf>
    <xf numFmtId="10" fontId="41" fillId="0" borderId="43" xfId="0" applyNumberFormat="1" applyFont="1" applyFill="1" applyBorder="1" applyAlignment="1" applyProtection="1">
      <alignment horizontal="left" vertical="center"/>
      <protection locked="0"/>
    </xf>
    <xf numFmtId="0" fontId="41" fillId="0" borderId="34" xfId="0" applyFont="1" applyFill="1" applyBorder="1" applyAlignment="1" applyProtection="1">
      <alignment horizontal="left" vertical="center"/>
      <protection locked="0"/>
    </xf>
    <xf numFmtId="10" fontId="41" fillId="0" borderId="50" xfId="0" applyNumberFormat="1" applyFont="1" applyFill="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2" borderId="6" xfId="0" applyFont="1" applyFill="1" applyBorder="1" applyAlignment="1" applyProtection="1">
      <alignment horizontal="left" vertical="center"/>
      <protection locked="0"/>
    </xf>
    <xf numFmtId="0" fontId="41" fillId="6" borderId="6"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wrapText="1"/>
      <protection locked="0"/>
    </xf>
    <xf numFmtId="10" fontId="41" fillId="0" borderId="6" xfId="0" applyNumberFormat="1" applyFont="1" applyBorder="1" applyAlignment="1" applyProtection="1">
      <alignment horizontal="left" vertical="center"/>
      <protection locked="0"/>
    </xf>
    <xf numFmtId="183" fontId="41" fillId="0" borderId="6" xfId="0" applyNumberFormat="1" applyFont="1" applyBorder="1" applyAlignment="1" applyProtection="1">
      <alignment horizontal="left" vertical="center"/>
      <protection locked="0"/>
    </xf>
    <xf numFmtId="181" fontId="41" fillId="0" borderId="43" xfId="0" applyNumberFormat="1" applyFont="1" applyBorder="1" applyAlignment="1" applyProtection="1">
      <alignment horizontal="left" vertical="center"/>
      <protection locked="0"/>
    </xf>
    <xf numFmtId="0" fontId="41" fillId="0" borderId="8" xfId="0" applyFont="1" applyBorder="1" applyAlignment="1" applyProtection="1">
      <alignment horizontal="left" vertical="center" wrapText="1"/>
      <protection locked="0"/>
    </xf>
    <xf numFmtId="0" fontId="41" fillId="0" borderId="43" xfId="0" applyFont="1" applyBorder="1" applyAlignment="1" applyProtection="1">
      <alignment horizontal="left" vertical="center"/>
      <protection locked="0"/>
    </xf>
    <xf numFmtId="0" fontId="44" fillId="0" borderId="0" xfId="0" applyFont="1" applyAlignment="1" applyProtection="1">
      <alignment horizontal="left" vertical="center" wrapText="1"/>
      <protection locked="0"/>
    </xf>
    <xf numFmtId="179" fontId="44" fillId="0" borderId="0" xfId="0" applyNumberFormat="1" applyFont="1" applyAlignment="1" applyProtection="1">
      <alignment horizontal="left" vertical="center"/>
      <protection locked="0"/>
    </xf>
    <xf numFmtId="0" fontId="222" fillId="8" borderId="112" xfId="0" applyFont="1" applyFill="1" applyBorder="1" applyAlignment="1" applyProtection="1">
      <alignment horizontal="left" vertical="center" wrapText="1"/>
      <protection locked="0"/>
    </xf>
    <xf numFmtId="0" fontId="222" fillId="8" borderId="112" xfId="0" applyNumberFormat="1" applyFont="1" applyFill="1" applyBorder="1" applyAlignment="1" applyProtection="1">
      <alignment horizontal="left" vertical="center" wrapText="1"/>
      <protection locked="0"/>
    </xf>
    <xf numFmtId="0" fontId="222" fillId="8" borderId="113" xfId="0" applyFont="1" applyFill="1" applyBorder="1" applyAlignment="1" applyProtection="1">
      <alignment horizontal="left" vertical="center" wrapText="1"/>
      <protection locked="0"/>
    </xf>
    <xf numFmtId="0" fontId="223" fillId="8" borderId="0" xfId="0" applyNumberFormat="1" applyFont="1" applyFill="1" applyAlignment="1" applyProtection="1">
      <alignment horizontal="left" vertical="center"/>
      <protection locked="0"/>
    </xf>
    <xf numFmtId="0" fontId="223" fillId="8" borderId="0" xfId="0" applyFont="1" applyFill="1" applyAlignment="1" applyProtection="1">
      <alignment horizontal="left" vertical="center"/>
      <protection locked="0"/>
    </xf>
    <xf numFmtId="0" fontId="223" fillId="0" borderId="0" xfId="0" applyFont="1" applyAlignment="1" applyProtection="1">
      <alignment horizontal="left" vertical="center"/>
      <protection locked="0"/>
    </xf>
    <xf numFmtId="0" fontId="43" fillId="5" borderId="0" xfId="0" applyFont="1" applyFill="1" applyBorder="1" applyAlignment="1" applyProtection="1">
      <alignment horizontal="left" vertical="center" wrapText="1"/>
    </xf>
    <xf numFmtId="0" fontId="41" fillId="8" borderId="0" xfId="0" applyFont="1" applyFill="1" applyAlignment="1" applyProtection="1">
      <alignment horizontal="left" vertical="center"/>
      <protection locked="0"/>
    </xf>
    <xf numFmtId="49" fontId="41" fillId="5" borderId="0" xfId="0" applyNumberFormat="1" applyFont="1" applyFill="1" applyBorder="1" applyAlignment="1" applyProtection="1">
      <alignment horizontal="left" vertical="center" wrapText="1"/>
      <protection locked="0"/>
    </xf>
    <xf numFmtId="0" fontId="41"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xf>
    <xf numFmtId="0" fontId="222" fillId="8" borderId="0" xfId="0" applyFont="1" applyFill="1" applyBorder="1" applyAlignment="1" applyProtection="1">
      <alignment horizontal="left" vertical="center" wrapText="1"/>
      <protection locked="0"/>
    </xf>
    <xf numFmtId="0" fontId="222" fillId="8" borderId="0" xfId="0" applyNumberFormat="1" applyFont="1" applyFill="1" applyBorder="1" applyAlignment="1" applyProtection="1">
      <alignment horizontal="left" vertical="center" wrapText="1"/>
      <protection locked="0"/>
    </xf>
    <xf numFmtId="0" fontId="222" fillId="8" borderId="25" xfId="0" applyNumberFormat="1" applyFont="1" applyFill="1" applyBorder="1" applyAlignment="1" applyProtection="1">
      <alignment horizontal="left" vertical="center" wrapText="1"/>
      <protection locked="0"/>
    </xf>
    <xf numFmtId="0" fontId="223" fillId="8" borderId="0" xfId="0" applyFont="1" applyFill="1" applyAlignment="1" applyProtection="1">
      <alignment horizontal="left" vertical="center" wrapText="1"/>
      <protection locked="0"/>
    </xf>
    <xf numFmtId="0" fontId="223" fillId="8" borderId="0" xfId="0" applyNumberFormat="1" applyFont="1" applyFill="1" applyAlignment="1" applyProtection="1">
      <alignment horizontal="left" vertical="center" wrapText="1"/>
      <protection locked="0"/>
    </xf>
    <xf numFmtId="0" fontId="40" fillId="5" borderId="116" xfId="0" applyFont="1" applyFill="1" applyBorder="1" applyAlignment="1" applyProtection="1">
      <alignment horizontal="left" vertical="center"/>
    </xf>
    <xf numFmtId="0" fontId="41" fillId="8" borderId="0" xfId="0" applyFont="1" applyFill="1" applyAlignment="1" applyProtection="1">
      <alignment horizontal="left" vertical="center" wrapText="1"/>
      <protection locked="0"/>
    </xf>
    <xf numFmtId="0" fontId="41" fillId="8" borderId="0" xfId="0" applyNumberFormat="1" applyFont="1" applyFill="1" applyAlignment="1" applyProtection="1">
      <alignment horizontal="left" vertical="center" wrapText="1"/>
      <protection locked="0"/>
    </xf>
    <xf numFmtId="0" fontId="41" fillId="8" borderId="0" xfId="0" applyNumberFormat="1" applyFont="1" applyFill="1" applyAlignment="1" applyProtection="1">
      <alignment horizontal="left" vertical="center"/>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5" borderId="18" xfId="0" applyFont="1" applyFill="1" applyBorder="1" applyAlignment="1" applyProtection="1">
      <alignment horizontal="left" vertical="center" wrapText="1"/>
    </xf>
    <xf numFmtId="0" fontId="100" fillId="2" borderId="18" xfId="0" applyFont="1" applyFill="1" applyBorder="1" applyAlignment="1" applyProtection="1">
      <alignment horizontal="left" vertical="center"/>
      <protection locked="0"/>
    </xf>
    <xf numFmtId="0" fontId="43" fillId="5" borderId="2" xfId="0" applyFont="1" applyFill="1" applyBorder="1" applyAlignment="1" applyProtection="1">
      <alignment horizontal="left" vertical="center"/>
    </xf>
    <xf numFmtId="0" fontId="41" fillId="5" borderId="17" xfId="0" applyFont="1" applyFill="1" applyBorder="1" applyAlignment="1" applyProtection="1">
      <alignment horizontal="left" vertical="center"/>
    </xf>
    <xf numFmtId="0" fontId="43" fillId="5" borderId="60" xfId="0" applyFont="1" applyFill="1" applyBorder="1" applyAlignment="1" applyProtection="1">
      <alignment horizontal="left" vertical="center"/>
    </xf>
    <xf numFmtId="0" fontId="41" fillId="5" borderId="0" xfId="0" applyFont="1" applyFill="1" applyAlignment="1" applyProtection="1">
      <alignment horizontal="left" vertical="center"/>
    </xf>
    <xf numFmtId="179" fontId="41" fillId="5" borderId="18" xfId="0" applyNumberFormat="1" applyFont="1" applyFill="1" applyBorder="1" applyAlignment="1" applyProtection="1">
      <alignment horizontal="left" vertical="center"/>
    </xf>
    <xf numFmtId="0" fontId="43" fillId="5" borderId="5" xfId="0" applyFont="1" applyFill="1" applyBorder="1" applyAlignment="1" applyProtection="1">
      <alignment horizontal="left" vertical="center"/>
    </xf>
    <xf numFmtId="0" fontId="41" fillId="5" borderId="11" xfId="0" applyFont="1" applyFill="1" applyBorder="1" applyAlignment="1" applyProtection="1">
      <alignment horizontal="left" vertical="center"/>
    </xf>
    <xf numFmtId="0" fontId="100" fillId="5" borderId="11" xfId="0" applyFont="1" applyFill="1" applyBorder="1" applyAlignment="1" applyProtection="1">
      <alignment horizontal="left" vertical="center"/>
    </xf>
    <xf numFmtId="0" fontId="100" fillId="5" borderId="31" xfId="0" applyFont="1" applyFill="1" applyBorder="1" applyAlignment="1" applyProtection="1">
      <alignment horizontal="left" vertical="center"/>
    </xf>
    <xf numFmtId="0" fontId="41" fillId="5" borderId="13" xfId="0" applyFont="1" applyFill="1" applyBorder="1" applyAlignment="1" applyProtection="1">
      <alignment horizontal="left" vertical="center"/>
    </xf>
    <xf numFmtId="0" fontId="51" fillId="5" borderId="38" xfId="1" applyFont="1" applyFill="1" applyBorder="1" applyAlignment="1" applyProtection="1">
      <alignment horizontal="left" vertical="center"/>
    </xf>
    <xf numFmtId="0" fontId="43" fillId="5" borderId="39" xfId="0" applyFont="1" applyFill="1" applyBorder="1" applyAlignment="1" applyProtection="1">
      <alignment horizontal="left" vertical="center"/>
    </xf>
    <xf numFmtId="0" fontId="44" fillId="5" borderId="41" xfId="0" applyFont="1" applyFill="1" applyBorder="1" applyAlignment="1" applyProtection="1">
      <alignment horizontal="left" vertical="center"/>
    </xf>
    <xf numFmtId="0" fontId="43" fillId="5" borderId="29" xfId="0" applyFont="1" applyFill="1" applyBorder="1" applyAlignment="1" applyProtection="1">
      <alignment horizontal="left" vertical="center"/>
    </xf>
    <xf numFmtId="0" fontId="41" fillId="5" borderId="6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41" fillId="5" borderId="44" xfId="0" applyFont="1" applyFill="1" applyBorder="1" applyAlignment="1" applyProtection="1">
      <alignment horizontal="left" vertical="center"/>
    </xf>
    <xf numFmtId="0" fontId="44" fillId="5" borderId="62" xfId="0" applyFont="1" applyFill="1" applyBorder="1" applyAlignment="1" applyProtection="1">
      <alignment horizontal="left" vertical="center"/>
    </xf>
    <xf numFmtId="0" fontId="41" fillId="5" borderId="55" xfId="0" applyFont="1" applyFill="1" applyBorder="1" applyAlignment="1" applyProtection="1">
      <alignment horizontal="left" vertical="center"/>
    </xf>
    <xf numFmtId="0" fontId="41" fillId="5" borderId="67" xfId="0" applyFont="1" applyFill="1" applyBorder="1" applyAlignment="1" applyProtection="1">
      <alignment horizontal="left" vertical="center"/>
    </xf>
    <xf numFmtId="181" fontId="107" fillId="5" borderId="81" xfId="0" applyNumberFormat="1"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0" fontId="41" fillId="5" borderId="41" xfId="0" applyFont="1" applyFill="1" applyBorder="1" applyAlignment="1" applyProtection="1">
      <alignment horizontal="left" vertical="center"/>
    </xf>
    <xf numFmtId="0" fontId="101" fillId="0" borderId="7" xfId="0" applyFont="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101" fillId="0" borderId="6" xfId="0" applyFont="1" applyFill="1" applyBorder="1" applyAlignment="1" applyProtection="1">
      <alignment horizontal="left" vertical="center"/>
      <protection locked="0"/>
    </xf>
    <xf numFmtId="0" fontId="41" fillId="6" borderId="41" xfId="0" applyFont="1" applyFill="1" applyBorder="1" applyAlignment="1" applyProtection="1">
      <alignment horizontal="left" vertical="center"/>
      <protection locked="0"/>
    </xf>
    <xf numFmtId="0" fontId="145" fillId="5" borderId="0" xfId="0" applyFont="1" applyFill="1" applyAlignment="1" applyProtection="1">
      <alignment horizontal="left" vertical="center"/>
    </xf>
    <xf numFmtId="0" fontId="43" fillId="5" borderId="23" xfId="0" applyFont="1" applyFill="1" applyBorder="1" applyAlignment="1" applyProtection="1">
      <alignment horizontal="left" vertical="center"/>
    </xf>
    <xf numFmtId="0" fontId="44" fillId="6" borderId="64" xfId="0" applyFont="1" applyFill="1" applyBorder="1" applyAlignment="1" applyProtection="1">
      <alignment horizontal="left" vertical="center"/>
    </xf>
    <xf numFmtId="0" fontId="43" fillId="6" borderId="1" xfId="0" applyFont="1" applyFill="1" applyBorder="1" applyAlignment="1" applyProtection="1">
      <alignment horizontal="left" vertical="center"/>
      <protection locked="0"/>
    </xf>
    <xf numFmtId="0" fontId="44" fillId="5" borderId="28"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0" fontId="41" fillId="5" borderId="24" xfId="0" applyFont="1" applyFill="1" applyBorder="1" applyAlignment="1" applyProtection="1">
      <alignment horizontal="left" vertical="center"/>
    </xf>
    <xf numFmtId="0" fontId="43" fillId="5" borderId="64" xfId="0" applyFont="1" applyFill="1" applyBorder="1" applyAlignment="1" applyProtection="1">
      <alignment horizontal="left" vertical="center"/>
    </xf>
    <xf numFmtId="181" fontId="41" fillId="5" borderId="64" xfId="0" applyNumberFormat="1" applyFont="1" applyFill="1" applyBorder="1" applyAlignment="1" applyProtection="1">
      <alignment horizontal="left" vertical="center"/>
    </xf>
    <xf numFmtId="0" fontId="44" fillId="0" borderId="6" xfId="0" applyFont="1" applyBorder="1" applyAlignment="1" applyProtection="1">
      <alignment horizontal="left" vertical="center"/>
      <protection locked="0"/>
    </xf>
    <xf numFmtId="0" fontId="41" fillId="5" borderId="27" xfId="0" applyFont="1" applyFill="1" applyBorder="1" applyAlignment="1" applyProtection="1">
      <alignment horizontal="left" vertical="center"/>
    </xf>
    <xf numFmtId="0" fontId="43" fillId="5" borderId="35" xfId="0" applyFont="1" applyFill="1" applyBorder="1" applyAlignment="1" applyProtection="1">
      <alignment horizontal="left" vertical="center"/>
    </xf>
    <xf numFmtId="181" fontId="41" fillId="5" borderId="35" xfId="0" applyNumberFormat="1" applyFont="1" applyFill="1" applyBorder="1" applyAlignment="1" applyProtection="1">
      <alignment horizontal="left" vertical="center"/>
    </xf>
    <xf numFmtId="0" fontId="44" fillId="5" borderId="8" xfId="0" applyFont="1" applyFill="1" applyBorder="1" applyAlignment="1" applyProtection="1">
      <alignment horizontal="left" vertical="center"/>
    </xf>
    <xf numFmtId="0" fontId="44" fillId="0" borderId="43" xfId="0" applyFont="1" applyBorder="1" applyAlignment="1" applyProtection="1">
      <alignment horizontal="left" vertical="center"/>
      <protection locked="0"/>
    </xf>
    <xf numFmtId="0" fontId="43" fillId="0" borderId="3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0" fontId="41" fillId="0" borderId="81" xfId="0" applyFont="1" applyFill="1" applyBorder="1" applyAlignment="1" applyProtection="1">
      <alignment horizontal="left" vertical="center"/>
      <protection locked="0"/>
    </xf>
    <xf numFmtId="0" fontId="101" fillId="0" borderId="4" xfId="0" applyFont="1" applyFill="1" applyBorder="1" applyAlignment="1" applyProtection="1">
      <alignment horizontal="left" vertical="center"/>
      <protection locked="0"/>
    </xf>
    <xf numFmtId="0" fontId="101" fillId="0" borderId="11" xfId="0" applyFont="1" applyFill="1" applyBorder="1" applyAlignment="1" applyProtection="1">
      <alignment horizontal="left" vertical="center"/>
      <protection locked="0"/>
    </xf>
    <xf numFmtId="0" fontId="101" fillId="0" borderId="31" xfId="0" applyFont="1" applyFill="1" applyBorder="1" applyAlignment="1" applyProtection="1">
      <alignment horizontal="left" vertical="center"/>
      <protection locked="0"/>
    </xf>
    <xf numFmtId="0" fontId="44" fillId="5" borderId="39"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4" fillId="0" borderId="6" xfId="0" applyFont="1" applyFill="1" applyBorder="1" applyAlignment="1" applyProtection="1">
      <alignment horizontal="left" vertical="center"/>
      <protection locked="0"/>
    </xf>
    <xf numFmtId="0" fontId="44" fillId="5" borderId="29" xfId="0" applyFont="1" applyFill="1" applyBorder="1" applyAlignment="1" applyProtection="1">
      <alignment horizontal="left" vertical="center"/>
    </xf>
    <xf numFmtId="0" fontId="44" fillId="0" borderId="8" xfId="0" applyFont="1" applyBorder="1" applyAlignment="1" applyProtection="1">
      <alignment horizontal="left" vertical="center"/>
      <protection locked="0"/>
    </xf>
    <xf numFmtId="0" fontId="44" fillId="0" borderId="61" xfId="0" applyFont="1" applyBorder="1" applyAlignment="1" applyProtection="1">
      <alignment horizontal="left" vertical="center"/>
      <protection locked="0"/>
    </xf>
    <xf numFmtId="0" fontId="119" fillId="5" borderId="0" xfId="0" applyFont="1" applyFill="1" applyAlignment="1" applyProtection="1">
      <alignment horizontal="left" vertical="center"/>
    </xf>
    <xf numFmtId="0" fontId="77" fillId="5" borderId="0" xfId="0" applyFont="1" applyFill="1" applyAlignment="1" applyProtection="1">
      <alignment horizontal="left" vertical="center"/>
    </xf>
    <xf numFmtId="0" fontId="101" fillId="0" borderId="18" xfId="0" applyFont="1" applyFill="1" applyBorder="1" applyAlignment="1" applyProtection="1">
      <alignment horizontal="left" vertical="center"/>
    </xf>
    <xf numFmtId="0" fontId="101" fillId="0" borderId="18"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3" fillId="5" borderId="3" xfId="0" applyFont="1" applyFill="1" applyBorder="1" applyAlignment="1" applyProtection="1">
      <alignment horizontal="left" vertical="center"/>
    </xf>
    <xf numFmtId="0" fontId="41" fillId="5" borderId="6" xfId="0" applyFont="1" applyFill="1" applyBorder="1" applyAlignment="1" applyProtection="1">
      <alignment horizontal="left" vertical="center"/>
    </xf>
    <xf numFmtId="0" fontId="44" fillId="5" borderId="0" xfId="0" applyNumberFormat="1" applyFont="1" applyFill="1" applyAlignment="1" applyProtection="1">
      <alignment horizontal="left" vertical="center"/>
    </xf>
    <xf numFmtId="0" fontId="43" fillId="5" borderId="56"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3" fillId="5" borderId="43" xfId="0" applyFont="1" applyFill="1" applyBorder="1" applyAlignment="1" applyProtection="1">
      <alignment horizontal="left" vertical="center"/>
    </xf>
    <xf numFmtId="0" fontId="223" fillId="5" borderId="0" xfId="0" applyFont="1" applyFill="1" applyBorder="1" applyAlignment="1" applyProtection="1">
      <alignment horizontal="left" vertical="center"/>
    </xf>
    <xf numFmtId="10" fontId="44" fillId="5" borderId="61" xfId="0" applyNumberFormat="1" applyFont="1" applyFill="1" applyBorder="1" applyAlignment="1" applyProtection="1">
      <alignment horizontal="left" vertical="center"/>
    </xf>
    <xf numFmtId="177" fontId="51" fillId="5" borderId="17" xfId="0" applyNumberFormat="1" applyFont="1" applyFill="1" applyBorder="1" applyAlignment="1" applyProtection="1">
      <alignment horizontal="left" vertical="center" wrapText="1"/>
    </xf>
    <xf numFmtId="177" fontId="50" fillId="5" borderId="1" xfId="0" applyNumberFormat="1" applyFont="1" applyFill="1" applyBorder="1" applyAlignment="1" applyProtection="1">
      <alignment horizontal="left" vertical="center" wrapText="1"/>
    </xf>
    <xf numFmtId="177" fontId="50" fillId="0" borderId="1" xfId="0" applyNumberFormat="1" applyFont="1" applyFill="1" applyBorder="1" applyAlignment="1" applyProtection="1">
      <alignment horizontal="left" vertical="center" wrapText="1"/>
      <protection locked="0"/>
    </xf>
    <xf numFmtId="0" fontId="51" fillId="0" borderId="1" xfId="0" applyFont="1" applyFill="1" applyBorder="1" applyAlignment="1" applyProtection="1">
      <alignment horizontal="left" vertical="center" wrapText="1"/>
      <protection locked="0"/>
    </xf>
    <xf numFmtId="177" fontId="51" fillId="5" borderId="1" xfId="0" applyNumberFormat="1" applyFont="1" applyFill="1" applyBorder="1" applyAlignment="1" applyProtection="1">
      <alignment horizontal="left" vertical="center" wrapText="1"/>
    </xf>
    <xf numFmtId="177" fontId="51" fillId="5" borderId="61" xfId="0" applyNumberFormat="1" applyFont="1" applyFill="1" applyBorder="1" applyAlignment="1" applyProtection="1">
      <alignment horizontal="left" vertical="center" wrapText="1"/>
    </xf>
    <xf numFmtId="177" fontId="51" fillId="5" borderId="0" xfId="0" applyNumberFormat="1" applyFont="1" applyFill="1" applyBorder="1" applyAlignment="1" applyProtection="1">
      <alignment horizontal="left" vertical="center" wrapText="1"/>
    </xf>
    <xf numFmtId="0" fontId="100" fillId="5" borderId="0" xfId="2" applyFont="1" applyFill="1" applyAlignment="1" applyProtection="1">
      <alignment horizontal="left" vertical="center" wrapText="1"/>
    </xf>
    <xf numFmtId="0" fontId="41" fillId="2" borderId="1" xfId="2" applyFont="1" applyFill="1" applyBorder="1" applyAlignment="1" applyProtection="1">
      <alignment horizontal="left" vertical="center" wrapText="1"/>
      <protection locked="0"/>
    </xf>
    <xf numFmtId="177" fontId="50" fillId="0" borderId="6" xfId="0" applyNumberFormat="1" applyFont="1" applyFill="1" applyBorder="1" applyAlignment="1" applyProtection="1">
      <alignment horizontal="left" vertical="center" wrapText="1"/>
      <protection locked="0"/>
    </xf>
    <xf numFmtId="9" fontId="41" fillId="5" borderId="0" xfId="0" applyNumberFormat="1" applyFont="1" applyFill="1" applyBorder="1" applyAlignment="1" applyProtection="1">
      <alignment horizontal="left" vertical="center"/>
    </xf>
    <xf numFmtId="10" fontId="50" fillId="5" borderId="1" xfId="0" applyNumberFormat="1" applyFont="1" applyFill="1" applyBorder="1" applyAlignment="1" applyProtection="1">
      <alignment horizontal="left" vertical="center" wrapText="1"/>
    </xf>
    <xf numFmtId="191" fontId="50" fillId="5" borderId="1" xfId="0" applyNumberFormat="1" applyFont="1" applyFill="1" applyBorder="1" applyAlignment="1" applyProtection="1">
      <alignment horizontal="left" vertical="center" wrapText="1"/>
    </xf>
    <xf numFmtId="10" fontId="49" fillId="5" borderId="2" xfId="0" applyNumberFormat="1" applyFont="1" applyFill="1" applyBorder="1" applyAlignment="1" applyProtection="1">
      <alignment horizontal="left" vertical="center" wrapText="1"/>
    </xf>
    <xf numFmtId="181" fontId="51" fillId="5" borderId="1"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50" fillId="5" borderId="2" xfId="0" applyFont="1" applyFill="1" applyBorder="1" applyAlignment="1" applyProtection="1">
      <alignment horizontal="left" vertical="center" wrapText="1"/>
    </xf>
    <xf numFmtId="191" fontId="50" fillId="0" borderId="1" xfId="0" applyNumberFormat="1" applyFont="1" applyFill="1" applyBorder="1" applyAlignment="1" applyProtection="1">
      <alignment horizontal="left" vertical="center" wrapText="1"/>
      <protection locked="0"/>
    </xf>
    <xf numFmtId="0" fontId="100" fillId="0" borderId="7" xfId="0" applyFont="1" applyFill="1" applyBorder="1" applyAlignment="1" applyProtection="1">
      <alignment horizontal="left" vertical="center"/>
      <protection locked="0"/>
    </xf>
    <xf numFmtId="0" fontId="106" fillId="5" borderId="1" xfId="0" applyFont="1" applyFill="1" applyBorder="1" applyAlignment="1" applyProtection="1">
      <alignment horizontal="left" vertical="center" wrapText="1"/>
    </xf>
    <xf numFmtId="0" fontId="106" fillId="5" borderId="6" xfId="0" applyFont="1" applyFill="1" applyBorder="1" applyAlignment="1" applyProtection="1">
      <alignment horizontal="left" vertical="center" wrapText="1"/>
    </xf>
    <xf numFmtId="0" fontId="44" fillId="0" borderId="0" xfId="0" applyFont="1" applyBorder="1" applyAlignment="1" applyProtection="1">
      <alignment horizontal="left" vertical="center"/>
    </xf>
    <xf numFmtId="0" fontId="44" fillId="5" borderId="43" xfId="0" applyFont="1" applyFill="1" applyBorder="1" applyAlignment="1" applyProtection="1">
      <alignment horizontal="left" vertical="center" wrapText="1"/>
    </xf>
    <xf numFmtId="0" fontId="174" fillId="5" borderId="6" xfId="0" applyFont="1" applyFill="1" applyBorder="1" applyAlignment="1" applyProtection="1">
      <alignment horizontal="left" vertical="center" wrapText="1"/>
    </xf>
    <xf numFmtId="0" fontId="174" fillId="5" borderId="18" xfId="0" applyFont="1" applyFill="1" applyBorder="1" applyAlignment="1" applyProtection="1">
      <alignment horizontal="left" vertical="center" wrapText="1"/>
    </xf>
    <xf numFmtId="0" fontId="174" fillId="5" borderId="58" xfId="0" applyFont="1" applyFill="1" applyBorder="1" applyAlignment="1" applyProtection="1">
      <alignment horizontal="left" vertical="center" wrapText="1"/>
    </xf>
    <xf numFmtId="0" fontId="174" fillId="5" borderId="41" xfId="0" applyFont="1" applyFill="1" applyBorder="1" applyAlignment="1" applyProtection="1">
      <alignment horizontal="left" vertical="center" wrapText="1"/>
    </xf>
    <xf numFmtId="0" fontId="103" fillId="5" borderId="64" xfId="0" applyFont="1" applyFill="1" applyBorder="1" applyAlignment="1" applyProtection="1">
      <alignment horizontal="left" vertical="center"/>
    </xf>
    <xf numFmtId="0" fontId="174" fillId="5" borderId="2" xfId="0" applyFont="1" applyFill="1" applyBorder="1" applyAlignment="1" applyProtection="1">
      <alignment horizontal="left" vertical="center" wrapText="1"/>
    </xf>
    <xf numFmtId="0" fontId="174" fillId="5" borderId="80" xfId="0" applyFont="1" applyFill="1" applyBorder="1" applyAlignment="1" applyProtection="1">
      <alignment horizontal="left" vertical="center" wrapText="1"/>
    </xf>
    <xf numFmtId="0" fontId="103" fillId="5" borderId="44" xfId="0" applyFont="1" applyFill="1" applyBorder="1" applyAlignment="1" applyProtection="1">
      <alignment horizontal="left" vertical="center"/>
    </xf>
    <xf numFmtId="0" fontId="174" fillId="5" borderId="44" xfId="0" applyFont="1" applyFill="1" applyBorder="1" applyAlignment="1" applyProtection="1">
      <alignment horizontal="left" vertical="center" wrapText="1"/>
    </xf>
    <xf numFmtId="0" fontId="174" fillId="5" borderId="62"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shrinkToFit="1"/>
    </xf>
    <xf numFmtId="0" fontId="49" fillId="5" borderId="6" xfId="0" applyFont="1" applyFill="1" applyBorder="1" applyAlignment="1" applyProtection="1">
      <alignment horizontal="left" vertical="center" wrapText="1"/>
    </xf>
    <xf numFmtId="0" fontId="174" fillId="5" borderId="1" xfId="0" applyFont="1" applyFill="1" applyBorder="1" applyAlignment="1" applyProtection="1">
      <alignment horizontal="left" vertical="center" shrinkToFit="1"/>
    </xf>
    <xf numFmtId="0" fontId="44" fillId="18" borderId="6" xfId="0" applyFont="1" applyFill="1" applyBorder="1" applyAlignment="1" applyProtection="1">
      <alignment horizontal="left" vertical="center" wrapText="1"/>
    </xf>
    <xf numFmtId="0" fontId="44" fillId="5" borderId="6" xfId="0" applyFont="1" applyFill="1" applyBorder="1" applyAlignment="1" applyProtection="1">
      <alignment horizontal="left" vertical="center" shrinkToFit="1"/>
    </xf>
    <xf numFmtId="0" fontId="103" fillId="5" borderId="61" xfId="0" applyFont="1" applyFill="1" applyBorder="1" applyAlignment="1" applyProtection="1">
      <alignment horizontal="left" vertical="center" shrinkToFit="1"/>
    </xf>
    <xf numFmtId="0" fontId="145" fillId="0" borderId="43" xfId="0" applyFont="1" applyFill="1" applyBorder="1" applyAlignment="1" applyProtection="1">
      <alignment horizontal="left" vertical="center" wrapText="1"/>
      <protection locked="0"/>
    </xf>
    <xf numFmtId="181" fontId="44" fillId="18" borderId="41" xfId="0" applyNumberFormat="1" applyFont="1" applyFill="1" applyBorder="1" applyAlignment="1" applyProtection="1">
      <alignment horizontal="center" vertical="center" wrapText="1"/>
    </xf>
    <xf numFmtId="0" fontId="44" fillId="18" borderId="1" xfId="0" applyFont="1" applyFill="1" applyBorder="1" applyAlignment="1" applyProtection="1">
      <alignment horizontal="center" vertical="center"/>
    </xf>
    <xf numFmtId="0" fontId="43" fillId="5" borderId="168" xfId="0" applyFont="1" applyFill="1" applyBorder="1" applyAlignment="1" applyProtection="1">
      <alignment horizontal="left" vertical="center"/>
    </xf>
    <xf numFmtId="0" fontId="43" fillId="5" borderId="169"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44" fillId="5" borderId="170" xfId="0" applyFont="1" applyFill="1" applyBorder="1" applyAlignment="1" applyProtection="1">
      <alignment horizontal="left" vertical="center"/>
    </xf>
    <xf numFmtId="0" fontId="44" fillId="8" borderId="170" xfId="0" applyFont="1" applyFill="1" applyBorder="1" applyProtection="1">
      <alignment vertical="center"/>
      <protection locked="0"/>
    </xf>
    <xf numFmtId="0" fontId="44" fillId="8" borderId="170" xfId="0" applyFont="1" applyFill="1" applyBorder="1" applyProtection="1">
      <alignment vertical="center"/>
    </xf>
    <xf numFmtId="0" fontId="44" fillId="0" borderId="170" xfId="0" applyFont="1" applyBorder="1" applyProtection="1">
      <alignment vertical="center"/>
    </xf>
    <xf numFmtId="0" fontId="178" fillId="5" borderId="171" xfId="0" applyFont="1" applyFill="1" applyBorder="1" applyAlignment="1" applyProtection="1">
      <alignment horizontal="left"/>
    </xf>
    <xf numFmtId="0" fontId="102" fillId="5" borderId="171" xfId="0" applyFont="1" applyFill="1" applyBorder="1" applyAlignment="1" applyProtection="1">
      <alignment horizontal="left"/>
    </xf>
    <xf numFmtId="0" fontId="178" fillId="5" borderId="171" xfId="0" applyFont="1" applyFill="1" applyBorder="1" applyAlignment="1" applyProtection="1">
      <alignment horizontal="right"/>
    </xf>
    <xf numFmtId="0" fontId="102" fillId="8" borderId="171" xfId="0" applyFont="1" applyFill="1" applyBorder="1" applyAlignment="1" applyProtection="1">
      <protection locked="0"/>
    </xf>
    <xf numFmtId="0" fontId="102" fillId="8" borderId="171" xfId="0" applyFont="1" applyFill="1" applyBorder="1" applyAlignment="1" applyProtection="1"/>
    <xf numFmtId="0" fontId="102" fillId="0" borderId="171" xfId="0" applyFont="1" applyFill="1" applyBorder="1" applyAlignment="1" applyProtection="1"/>
    <xf numFmtId="0" fontId="170" fillId="5" borderId="0" xfId="0" applyFont="1" applyFill="1" applyBorder="1" applyAlignment="1" applyProtection="1">
      <alignment horizontal="right" vertical="center"/>
    </xf>
    <xf numFmtId="181" fontId="49" fillId="6" borderId="2" xfId="0" applyNumberFormat="1" applyFont="1" applyFill="1" applyBorder="1" applyAlignment="1" applyProtection="1">
      <alignment horizontal="left" vertical="center" wrapText="1"/>
      <protection locked="0"/>
    </xf>
    <xf numFmtId="0" fontId="44" fillId="19" borderId="0" xfId="0" applyFont="1" applyFill="1" applyProtection="1">
      <alignment vertical="center"/>
    </xf>
    <xf numFmtId="0" fontId="225" fillId="19" borderId="0" xfId="0" applyFont="1" applyFill="1" applyAlignment="1" applyProtection="1">
      <alignment horizontal="center" vertical="center"/>
    </xf>
    <xf numFmtId="0" fontId="44" fillId="19" borderId="0" xfId="0" applyFont="1" applyFill="1" applyBorder="1" applyAlignment="1" applyProtection="1">
      <alignment horizontal="center" vertical="center"/>
    </xf>
    <xf numFmtId="0" fontId="44" fillId="19" borderId="0" xfId="0" applyFont="1" applyFill="1" applyBorder="1" applyAlignment="1" applyProtection="1">
      <alignment horizontal="left" vertical="center" wrapText="1"/>
    </xf>
    <xf numFmtId="0" fontId="44" fillId="19" borderId="0" xfId="0" applyFont="1" applyFill="1" applyAlignment="1" applyProtection="1">
      <alignment horizontal="left" vertical="center"/>
    </xf>
    <xf numFmtId="0" fontId="77" fillId="19" borderId="0" xfId="0" applyFont="1" applyFill="1" applyAlignment="1" applyProtection="1">
      <alignment horizontal="left" vertical="center"/>
    </xf>
    <xf numFmtId="0" fontId="178" fillId="19" borderId="171" xfId="0" applyFont="1" applyFill="1" applyBorder="1" applyAlignment="1" applyProtection="1">
      <alignment horizontal="right"/>
    </xf>
    <xf numFmtId="0" fontId="44" fillId="19" borderId="17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19" fillId="19" borderId="0" xfId="0" applyFont="1" applyFill="1" applyAlignment="1" applyProtection="1">
      <alignment horizontal="left" vertical="center"/>
    </xf>
    <xf numFmtId="0" fontId="170" fillId="19" borderId="0" xfId="0" applyFont="1" applyFill="1" applyBorder="1" applyAlignment="1" applyProtection="1">
      <alignment horizontal="right" vertical="center"/>
    </xf>
    <xf numFmtId="9" fontId="44" fillId="19" borderId="0" xfId="0" applyNumberFormat="1" applyFont="1" applyFill="1" applyAlignment="1" applyProtection="1">
      <alignment horizontal="left" vertical="center"/>
    </xf>
    <xf numFmtId="10" fontId="44" fillId="19" borderId="0" xfId="0" applyNumberFormat="1" applyFont="1" applyFill="1" applyAlignment="1" applyProtection="1">
      <alignment horizontal="left" vertical="center"/>
    </xf>
    <xf numFmtId="0" fontId="44" fillId="19" borderId="0" xfId="2" applyFont="1" applyFill="1" applyBorder="1" applyAlignment="1" applyProtection="1">
      <alignment horizontal="left" vertical="center" wrapText="1"/>
    </xf>
    <xf numFmtId="0" fontId="100" fillId="19" borderId="0" xfId="2" applyFont="1" applyFill="1" applyAlignment="1" applyProtection="1">
      <alignment vertical="center" wrapText="1"/>
    </xf>
    <xf numFmtId="0" fontId="100" fillId="19" borderId="0" xfId="0" applyFont="1" applyFill="1" applyProtection="1">
      <alignment vertical="center"/>
    </xf>
    <xf numFmtId="0" fontId="100" fillId="19" borderId="0" xfId="2" applyFont="1" applyFill="1" applyProtection="1"/>
    <xf numFmtId="0" fontId="100" fillId="19" borderId="0" xfId="0" applyFont="1" applyFill="1" applyBorder="1" applyProtection="1">
      <alignment vertical="center"/>
      <protection locked="0"/>
    </xf>
    <xf numFmtId="0" fontId="42" fillId="19" borderId="0" xfId="0" applyFont="1" applyFill="1" applyBorder="1" applyAlignment="1" applyProtection="1">
      <alignment horizontal="center" vertical="center" wrapText="1"/>
    </xf>
    <xf numFmtId="0" fontId="49" fillId="19" borderId="0" xfId="0" applyFont="1" applyFill="1" applyBorder="1" applyAlignment="1" applyProtection="1">
      <alignment horizontal="left" vertical="center" wrapText="1"/>
    </xf>
    <xf numFmtId="0" fontId="103" fillId="19" borderId="0" xfId="0" applyFont="1" applyFill="1" applyBorder="1" applyAlignment="1" applyProtection="1">
      <alignment horizontal="left" vertical="center" shrinkToFit="1"/>
    </xf>
    <xf numFmtId="0" fontId="103" fillId="19" borderId="0" xfId="0" applyFont="1" applyFill="1" applyBorder="1" applyAlignment="1" applyProtection="1">
      <alignment horizontal="left" vertical="center" wrapText="1"/>
    </xf>
    <xf numFmtId="0" fontId="44" fillId="19" borderId="0" xfId="0" applyFont="1" applyFill="1" applyBorder="1" applyAlignment="1" applyProtection="1">
      <alignment horizontal="left" vertical="center" shrinkToFit="1"/>
    </xf>
    <xf numFmtId="0" fontId="131" fillId="19" borderId="0" xfId="0" applyFont="1" applyFill="1" applyBorder="1" applyAlignment="1" applyProtection="1">
      <alignment horizontal="center" vertical="center" shrinkToFit="1"/>
    </xf>
    <xf numFmtId="0" fontId="103" fillId="19" borderId="0" xfId="0" applyFont="1" applyFill="1" applyBorder="1" applyAlignment="1" applyProtection="1">
      <alignment horizontal="left" vertical="center"/>
    </xf>
    <xf numFmtId="0" fontId="43" fillId="19" borderId="0" xfId="0" applyFont="1" applyFill="1" applyBorder="1" applyAlignment="1" applyProtection="1">
      <alignment horizontal="center" vertical="center"/>
    </xf>
    <xf numFmtId="182" fontId="44" fillId="19" borderId="0" xfId="0" applyNumberFormat="1" applyFont="1" applyFill="1" applyBorder="1" applyAlignment="1" applyProtection="1">
      <alignment horizontal="left" vertical="center" shrinkToFit="1"/>
    </xf>
    <xf numFmtId="182" fontId="44" fillId="19" borderId="0" xfId="0" applyNumberFormat="1" applyFont="1" applyFill="1" applyBorder="1" applyAlignment="1" applyProtection="1">
      <alignment horizontal="left" vertical="center" wrapText="1"/>
    </xf>
    <xf numFmtId="0" fontId="44" fillId="19" borderId="0" xfId="0" applyFont="1" applyFill="1" applyBorder="1" applyAlignment="1" applyProtection="1">
      <alignment horizontal="left" vertical="center"/>
    </xf>
    <xf numFmtId="0" fontId="44" fillId="19" borderId="0" xfId="0" applyFont="1" applyFill="1" applyBorder="1" applyProtection="1">
      <alignment vertical="center"/>
      <protection locked="0"/>
    </xf>
    <xf numFmtId="0" fontId="44" fillId="19" borderId="0" xfId="0" applyFont="1" applyFill="1" applyProtection="1">
      <alignment vertical="center"/>
      <protection locked="0"/>
    </xf>
    <xf numFmtId="0" fontId="44" fillId="19" borderId="0" xfId="0" applyFont="1" applyFill="1" applyBorder="1" applyAlignment="1" applyProtection="1">
      <alignment horizontal="right" vertical="center"/>
      <protection locked="0"/>
    </xf>
    <xf numFmtId="0" fontId="228" fillId="19" borderId="0" xfId="0" applyFont="1" applyFill="1" applyAlignment="1" applyProtection="1">
      <alignment horizontal="center" vertical="center"/>
    </xf>
    <xf numFmtId="0" fontId="228" fillId="19" borderId="0" xfId="0" applyFont="1" applyFill="1" applyBorder="1" applyAlignment="1" applyProtection="1">
      <alignment horizontal="left" vertical="center"/>
    </xf>
    <xf numFmtId="0" fontId="223" fillId="19" borderId="0" xfId="0" applyFont="1" applyFill="1" applyBorder="1" applyAlignment="1" applyProtection="1">
      <alignment horizontal="left" vertical="center"/>
    </xf>
    <xf numFmtId="0" fontId="100" fillId="19" borderId="0" xfId="2" applyFont="1" applyFill="1" applyAlignment="1" applyProtection="1">
      <alignment horizontal="left" vertical="center" wrapText="1"/>
    </xf>
    <xf numFmtId="0" fontId="100" fillId="19" borderId="0" xfId="0" applyFont="1" applyFill="1" applyAlignment="1" applyProtection="1">
      <alignment horizontal="left" vertical="center"/>
    </xf>
    <xf numFmtId="0" fontId="100" fillId="19" borderId="0" xfId="2" applyFont="1" applyFill="1" applyAlignment="1" applyProtection="1">
      <alignment horizontal="left"/>
    </xf>
    <xf numFmtId="0" fontId="100" fillId="19" borderId="0" xfId="0" applyFont="1" applyFill="1" applyBorder="1" applyAlignment="1" applyProtection="1">
      <alignment horizontal="left" vertical="center"/>
      <protection locked="0"/>
    </xf>
    <xf numFmtId="0" fontId="43" fillId="19" borderId="0" xfId="0" applyFont="1" applyFill="1" applyBorder="1" applyAlignment="1" applyProtection="1">
      <alignment horizontal="center" vertical="center" wrapText="1"/>
    </xf>
    <xf numFmtId="0" fontId="77" fillId="18" borderId="0" xfId="0" applyFont="1" applyFill="1" applyBorder="1" applyAlignment="1" applyProtection="1">
      <alignment horizontal="left" vertical="center" wrapText="1"/>
    </xf>
    <xf numFmtId="0" fontId="77" fillId="18" borderId="0" xfId="0" applyFont="1" applyFill="1" applyProtection="1">
      <alignment vertical="center"/>
    </xf>
    <xf numFmtId="0" fontId="44" fillId="0" borderId="0" xfId="0" applyFont="1" applyBorder="1" applyAlignment="1" applyProtection="1">
      <alignment vertical="center" wrapText="1"/>
    </xf>
    <xf numFmtId="0" fontId="44" fillId="0" borderId="41" xfId="0" applyFont="1" applyFill="1" applyBorder="1" applyAlignment="1" applyProtection="1">
      <alignment vertical="center" wrapText="1"/>
      <protection locked="0"/>
    </xf>
    <xf numFmtId="0" fontId="95" fillId="6" borderId="1" xfId="13" applyFont="1" applyFill="1" applyBorder="1" applyAlignment="1" applyProtection="1">
      <alignment horizontal="left"/>
      <protection locked="0"/>
    </xf>
    <xf numFmtId="10" fontId="51" fillId="18" borderId="2" xfId="1" applyNumberFormat="1" applyFont="1" applyFill="1" applyBorder="1" applyAlignment="1" applyProtection="1">
      <alignment horizontal="center" vertical="center"/>
    </xf>
    <xf numFmtId="9" fontId="51" fillId="18" borderId="2" xfId="1" applyNumberFormat="1" applyFont="1" applyFill="1" applyBorder="1" applyAlignment="1" applyProtection="1">
      <alignment horizontal="center" vertical="center"/>
    </xf>
    <xf numFmtId="0" fontId="51" fillId="18" borderId="1" xfId="0" applyFont="1" applyFill="1" applyBorder="1" applyAlignment="1" applyProtection="1">
      <alignment horizontal="left" vertical="center" wrapText="1"/>
    </xf>
    <xf numFmtId="0" fontId="44" fillId="20" borderId="54" xfId="0" applyFont="1" applyFill="1" applyBorder="1" applyAlignment="1" applyProtection="1">
      <alignment vertical="center" wrapText="1"/>
    </xf>
    <xf numFmtId="0" fontId="44" fillId="20" borderId="32" xfId="0" applyFont="1" applyFill="1" applyBorder="1" applyAlignment="1" applyProtection="1">
      <alignment vertical="center" wrapText="1"/>
    </xf>
    <xf numFmtId="0" fontId="44" fillId="20" borderId="1" xfId="0" applyFont="1" applyFill="1" applyBorder="1" applyAlignment="1" applyProtection="1">
      <alignment vertical="center"/>
    </xf>
    <xf numFmtId="0" fontId="44" fillId="20" borderId="1" xfId="0" applyFont="1" applyFill="1" applyBorder="1" applyAlignment="1" applyProtection="1">
      <alignment vertical="center" wrapText="1"/>
    </xf>
    <xf numFmtId="0" fontId="44" fillId="20" borderId="7" xfId="0" applyFont="1" applyFill="1" applyBorder="1" applyAlignment="1" applyProtection="1">
      <alignment vertical="center"/>
    </xf>
    <xf numFmtId="0" fontId="44" fillId="20" borderId="124" xfId="0" applyFont="1" applyFill="1" applyBorder="1" applyAlignment="1" applyProtection="1">
      <alignment vertical="center"/>
    </xf>
    <xf numFmtId="0" fontId="44" fillId="20" borderId="23" xfId="0" applyFont="1" applyFill="1" applyBorder="1" applyAlignment="1" applyProtection="1">
      <alignment vertical="center" wrapText="1"/>
    </xf>
    <xf numFmtId="0" fontId="44" fillId="20" borderId="42" xfId="0" applyFont="1" applyFill="1" applyBorder="1" applyAlignment="1" applyProtection="1">
      <alignment vertical="center" wrapText="1"/>
    </xf>
    <xf numFmtId="0" fontId="44" fillId="20" borderId="11" xfId="0" applyFont="1" applyFill="1" applyBorder="1" applyAlignment="1" applyProtection="1">
      <alignment vertical="center" wrapText="1"/>
    </xf>
    <xf numFmtId="0" fontId="44" fillId="20" borderId="61" xfId="0" applyFont="1" applyFill="1" applyBorder="1" applyAlignment="1" applyProtection="1">
      <alignment vertical="center" wrapText="1"/>
    </xf>
    <xf numFmtId="0" fontId="44" fillId="20" borderId="93" xfId="0" applyFont="1" applyFill="1" applyBorder="1" applyAlignment="1" applyProtection="1">
      <alignment vertical="center" wrapText="1"/>
    </xf>
    <xf numFmtId="0" fontId="42" fillId="0" borderId="172" xfId="0" applyFont="1" applyBorder="1" applyAlignment="1" applyProtection="1">
      <alignment vertical="center" wrapText="1"/>
    </xf>
    <xf numFmtId="0" fontId="44" fillId="0" borderId="0" xfId="0" applyFont="1" applyAlignment="1" applyProtection="1">
      <alignment vertical="center"/>
      <protection locked="0"/>
    </xf>
    <xf numFmtId="0" fontId="44" fillId="0" borderId="0" xfId="0" applyFont="1" applyAlignment="1" applyProtection="1">
      <alignment vertical="center" wrapText="1"/>
      <protection locked="0"/>
    </xf>
    <xf numFmtId="49" fontId="44" fillId="0" borderId="0" xfId="0" applyNumberFormat="1" applyFont="1" applyAlignment="1" applyProtection="1">
      <alignment vertical="center" wrapText="1"/>
      <protection locked="0"/>
    </xf>
    <xf numFmtId="0" fontId="44" fillId="0" borderId="0" xfId="0" applyFont="1" applyBorder="1" applyAlignment="1" applyProtection="1">
      <alignment vertical="center" wrapText="1"/>
      <protection locked="0"/>
    </xf>
    <xf numFmtId="0" fontId="141" fillId="0" borderId="0" xfId="0" applyFont="1" applyBorder="1" applyAlignment="1" applyProtection="1">
      <alignment vertical="center"/>
      <protection locked="0"/>
    </xf>
    <xf numFmtId="0" fontId="167" fillId="0" borderId="172" xfId="0" applyFont="1" applyBorder="1" applyAlignment="1" applyProtection="1">
      <alignment horizontal="center" vertical="center"/>
      <protection locked="0"/>
    </xf>
    <xf numFmtId="0" fontId="141" fillId="0" borderId="172" xfId="0" applyFont="1" applyBorder="1" applyAlignment="1" applyProtection="1">
      <alignment vertical="center"/>
      <protection locked="0"/>
    </xf>
    <xf numFmtId="0" fontId="42" fillId="0" borderId="172" xfId="0" applyFont="1" applyBorder="1" applyAlignment="1" applyProtection="1">
      <alignment vertical="center" wrapText="1"/>
      <protection locked="0"/>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49" fontId="44" fillId="0" borderId="0" xfId="0" applyNumberFormat="1" applyFont="1" applyAlignment="1" applyProtection="1">
      <alignment vertical="center"/>
      <protection locked="0"/>
    </xf>
    <xf numFmtId="0" fontId="44" fillId="5" borderId="11" xfId="0" applyFont="1" applyFill="1" applyBorder="1" applyAlignment="1" applyProtection="1">
      <alignment vertical="center" wrapText="1"/>
    </xf>
    <xf numFmtId="0" fontId="41"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173" fillId="0" borderId="18" xfId="13" applyFont="1" applyFill="1" applyBorder="1" applyAlignment="1" applyProtection="1">
      <alignment horizontal="left" vertical="center" wrapText="1"/>
      <protection locked="0"/>
    </xf>
    <xf numFmtId="0" fontId="173" fillId="0" borderId="1" xfId="13" applyFont="1" applyFill="1" applyBorder="1" applyAlignment="1" applyProtection="1">
      <alignment horizontal="left" vertical="center" wrapText="1"/>
      <protection locked="0"/>
    </xf>
    <xf numFmtId="0" fontId="44" fillId="5" borderId="0" xfId="0" applyFont="1" applyFill="1" applyAlignment="1" applyProtection="1">
      <alignment vertical="center"/>
    </xf>
    <xf numFmtId="0" fontId="44" fillId="5" borderId="0" xfId="0" applyFont="1" applyFill="1" applyBorder="1" applyAlignment="1" applyProtection="1">
      <alignment vertical="center"/>
    </xf>
    <xf numFmtId="49" fontId="44" fillId="5" borderId="0" xfId="0" applyNumberFormat="1" applyFont="1" applyFill="1" applyAlignment="1" applyProtection="1">
      <alignment vertical="center" wrapText="1"/>
    </xf>
    <xf numFmtId="0" fontId="105" fillId="5" borderId="0" xfId="0" applyFont="1" applyFill="1" applyAlignment="1" applyProtection="1">
      <alignment horizontal="left" vertical="center" wrapText="1"/>
      <protection locked="0"/>
    </xf>
    <xf numFmtId="0" fontId="43" fillId="5" borderId="9" xfId="0" applyFont="1" applyFill="1" applyBorder="1" applyAlignment="1" applyProtection="1">
      <alignment horizontal="left" vertical="center" wrapText="1"/>
      <protection locked="0"/>
    </xf>
    <xf numFmtId="14" fontId="41" fillId="5" borderId="15" xfId="0" applyNumberFormat="1" applyFont="1" applyFill="1" applyBorder="1" applyAlignment="1" applyProtection="1">
      <alignment horizontal="left" vertical="center"/>
      <protection locked="0"/>
    </xf>
    <xf numFmtId="179" fontId="43" fillId="5" borderId="1" xfId="0" applyNumberFormat="1" applyFont="1" applyFill="1" applyBorder="1" applyAlignment="1" applyProtection="1">
      <alignment horizontal="left" vertical="center"/>
      <protection locked="0"/>
    </xf>
    <xf numFmtId="0" fontId="41" fillId="5" borderId="4" xfId="1" applyFont="1" applyFill="1" applyBorder="1" applyAlignment="1" applyProtection="1">
      <alignment horizontal="left" vertical="center" wrapText="1"/>
      <protection locked="0"/>
    </xf>
    <xf numFmtId="0" fontId="41" fillId="5" borderId="14" xfId="0" applyFont="1" applyFill="1" applyBorder="1" applyAlignment="1" applyProtection="1">
      <alignment horizontal="left" vertical="center"/>
      <protection locked="0"/>
    </xf>
    <xf numFmtId="180" fontId="48" fillId="5" borderId="7" xfId="1" applyNumberFormat="1" applyFont="1" applyFill="1" applyBorder="1" applyAlignment="1" applyProtection="1">
      <alignment horizontal="left" vertical="center" wrapText="1"/>
      <protection locked="0"/>
    </xf>
    <xf numFmtId="0" fontId="41" fillId="5" borderId="4" xfId="0" applyFont="1" applyFill="1" applyBorder="1" applyAlignment="1" applyProtection="1">
      <alignment horizontal="left" vertical="center" wrapText="1"/>
      <protection locked="0"/>
    </xf>
    <xf numFmtId="0" fontId="41" fillId="5" borderId="7" xfId="0" applyFont="1" applyFill="1" applyBorder="1" applyAlignment="1" applyProtection="1">
      <alignment horizontal="left" vertical="center" wrapText="1"/>
      <protection locked="0"/>
    </xf>
    <xf numFmtId="179" fontId="41" fillId="5" borderId="7" xfId="0" applyNumberFormat="1" applyFont="1" applyFill="1" applyBorder="1" applyAlignment="1" applyProtection="1">
      <alignment horizontal="left" vertical="center" wrapText="1"/>
      <protection locked="0"/>
    </xf>
    <xf numFmtId="179" fontId="48" fillId="5" borderId="6" xfId="1" applyNumberFormat="1" applyFont="1" applyFill="1" applyBorder="1" applyAlignment="1" applyProtection="1">
      <alignment horizontal="left" vertical="center"/>
      <protection locked="0"/>
    </xf>
    <xf numFmtId="0" fontId="41" fillId="5" borderId="8" xfId="0" applyFont="1" applyFill="1" applyBorder="1" applyAlignment="1" applyProtection="1">
      <alignment horizontal="left" vertical="center" wrapText="1"/>
      <protection locked="0"/>
    </xf>
    <xf numFmtId="180" fontId="48" fillId="5" borderId="6" xfId="1" applyNumberFormat="1"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protection locked="0"/>
    </xf>
    <xf numFmtId="0" fontId="48" fillId="5" borderId="6" xfId="1" applyNumberFormat="1" applyFont="1" applyFill="1" applyBorder="1" applyAlignment="1" applyProtection="1">
      <alignment horizontal="left" vertical="center"/>
      <protection locked="0"/>
    </xf>
    <xf numFmtId="0" fontId="41" fillId="5" borderId="16" xfId="0" applyFont="1" applyFill="1" applyBorder="1" applyAlignment="1" applyProtection="1">
      <alignment horizontal="left" vertical="center" wrapText="1"/>
      <protection locked="0"/>
    </xf>
    <xf numFmtId="0" fontId="100" fillId="5" borderId="8" xfId="0" applyFont="1" applyFill="1" applyBorder="1" applyAlignment="1" applyProtection="1">
      <alignment horizontal="left" vertical="center" wrapText="1"/>
      <protection locked="0"/>
    </xf>
    <xf numFmtId="179" fontId="41" fillId="5" borderId="7" xfId="1" applyNumberFormat="1" applyFont="1" applyFill="1" applyBorder="1" applyAlignment="1" applyProtection="1">
      <alignment horizontal="left" vertical="center" wrapText="1"/>
      <protection locked="0"/>
    </xf>
    <xf numFmtId="0" fontId="41" fillId="5" borderId="6" xfId="1" applyNumberFormat="1" applyFont="1" applyFill="1" applyBorder="1" applyAlignment="1" applyProtection="1">
      <alignment horizontal="left" vertical="center"/>
      <protection locked="0"/>
    </xf>
    <xf numFmtId="0" fontId="43" fillId="5" borderId="10" xfId="0" applyFont="1" applyFill="1" applyBorder="1" applyAlignment="1" applyProtection="1">
      <alignment horizontal="left" vertical="center" wrapText="1"/>
      <protection locked="0"/>
    </xf>
    <xf numFmtId="176" fontId="48" fillId="5" borderId="4" xfId="1" applyNumberFormat="1" applyFont="1" applyFill="1" applyBorder="1" applyAlignment="1" applyProtection="1">
      <alignment horizontal="left" vertical="center" wrapText="1"/>
      <protection locked="0"/>
    </xf>
    <xf numFmtId="0" fontId="41" fillId="5" borderId="7" xfId="0" applyFont="1" applyFill="1" applyBorder="1" applyAlignment="1" applyProtection="1">
      <alignment horizontal="left" vertical="center"/>
      <protection locked="0"/>
    </xf>
    <xf numFmtId="176" fontId="48" fillId="5" borderId="7" xfId="1" applyNumberFormat="1" applyFont="1" applyFill="1" applyBorder="1" applyAlignment="1" applyProtection="1">
      <alignment horizontal="left" vertical="center" wrapText="1"/>
      <protection locked="0"/>
    </xf>
    <xf numFmtId="176" fontId="48" fillId="5" borderId="16" xfId="1" applyNumberFormat="1" applyFont="1" applyFill="1" applyBorder="1" applyAlignment="1" applyProtection="1">
      <alignment horizontal="left" vertical="center" wrapText="1"/>
      <protection locked="0"/>
    </xf>
    <xf numFmtId="176" fontId="48" fillId="5" borderId="8" xfId="1" applyNumberFormat="1" applyFont="1" applyFill="1" applyBorder="1" applyAlignment="1" applyProtection="1">
      <alignment horizontal="left" vertical="center" wrapText="1"/>
      <protection locked="0"/>
    </xf>
    <xf numFmtId="176" fontId="48" fillId="5" borderId="43" xfId="1" applyNumberFormat="1" applyFont="1" applyFill="1" applyBorder="1" applyAlignment="1" applyProtection="1">
      <alignment horizontal="left" vertical="center"/>
      <protection locked="0"/>
    </xf>
    <xf numFmtId="176" fontId="41" fillId="5" borderId="7" xfId="1" applyNumberFormat="1" applyFont="1" applyFill="1" applyBorder="1" applyAlignment="1" applyProtection="1">
      <alignment horizontal="left" vertical="center" wrapText="1"/>
      <protection locked="0"/>
    </xf>
    <xf numFmtId="176" fontId="48" fillId="5" borderId="31" xfId="1" applyNumberFormat="1" applyFont="1" applyFill="1" applyBorder="1" applyAlignment="1" applyProtection="1">
      <alignment horizontal="left" vertical="center"/>
      <protection locked="0"/>
    </xf>
    <xf numFmtId="176" fontId="48" fillId="5" borderId="73" xfId="1" applyNumberFormat="1" applyFont="1" applyFill="1" applyBorder="1" applyAlignment="1" applyProtection="1">
      <alignment horizontal="left" vertical="center"/>
      <protection locked="0"/>
    </xf>
    <xf numFmtId="179" fontId="43" fillId="5" borderId="9" xfId="0" applyNumberFormat="1" applyFont="1" applyFill="1" applyBorder="1" applyAlignment="1" applyProtection="1">
      <alignment horizontal="left" vertical="center"/>
      <protection locked="0"/>
    </xf>
    <xf numFmtId="10" fontId="44" fillId="5" borderId="6" xfId="0" applyNumberFormat="1" applyFont="1" applyFill="1" applyBorder="1" applyAlignment="1" applyProtection="1">
      <alignment horizontal="left" vertical="center"/>
      <protection locked="0"/>
    </xf>
    <xf numFmtId="0" fontId="41" fillId="5" borderId="5" xfId="0" applyFont="1" applyFill="1" applyBorder="1" applyAlignment="1" applyProtection="1">
      <alignment horizontal="left" vertical="center"/>
      <protection locked="0"/>
    </xf>
    <xf numFmtId="10" fontId="41" fillId="5" borderId="34" xfId="0" applyNumberFormat="1" applyFont="1" applyFill="1" applyBorder="1" applyAlignment="1" applyProtection="1">
      <alignment horizontal="left" vertical="center"/>
      <protection locked="0"/>
    </xf>
    <xf numFmtId="10" fontId="41" fillId="5" borderId="6" xfId="0" applyNumberFormat="1" applyFont="1" applyFill="1" applyBorder="1" applyAlignment="1" applyProtection="1">
      <alignment horizontal="left" vertical="center"/>
      <protection locked="0"/>
    </xf>
    <xf numFmtId="181" fontId="101" fillId="5" borderId="0" xfId="0" applyNumberFormat="1" applyFont="1" applyFill="1" applyAlignment="1" applyProtection="1">
      <alignment horizontal="left" vertical="center"/>
      <protection locked="0"/>
    </xf>
    <xf numFmtId="183" fontId="41" fillId="5" borderId="58" xfId="0" applyNumberFormat="1" applyFont="1" applyFill="1" applyBorder="1" applyAlignment="1" applyProtection="1">
      <alignment horizontal="left" vertical="center"/>
      <protection locked="0"/>
    </xf>
    <xf numFmtId="179" fontId="41" fillId="5" borderId="6" xfId="0" applyNumberFormat="1" applyFont="1" applyFill="1" applyBorder="1" applyAlignment="1" applyProtection="1">
      <alignment horizontal="left" vertical="center"/>
      <protection locked="0"/>
    </xf>
    <xf numFmtId="0" fontId="112" fillId="5" borderId="46" xfId="0" applyFont="1" applyFill="1" applyBorder="1" applyAlignment="1" applyProtection="1">
      <alignment horizontal="left" vertical="center"/>
      <protection locked="0"/>
    </xf>
    <xf numFmtId="0" fontId="41" fillId="5" borderId="38" xfId="0" applyFont="1" applyFill="1" applyBorder="1" applyAlignment="1" applyProtection="1">
      <alignment horizontal="left" vertical="center"/>
      <protection locked="0"/>
    </xf>
    <xf numFmtId="0" fontId="41" fillId="5" borderId="26" xfId="0" applyFont="1" applyFill="1" applyBorder="1" applyAlignment="1" applyProtection="1">
      <alignment horizontal="left" vertical="center" wrapText="1"/>
      <protection locked="0"/>
    </xf>
    <xf numFmtId="0" fontId="41" fillId="5" borderId="22" xfId="0" applyFont="1" applyFill="1" applyBorder="1" applyAlignment="1" applyProtection="1">
      <alignment horizontal="left" vertical="center" wrapText="1"/>
      <protection locked="0"/>
    </xf>
    <xf numFmtId="10" fontId="41" fillId="5" borderId="59" xfId="0" applyNumberFormat="1" applyFont="1" applyFill="1" applyBorder="1" applyAlignment="1" applyProtection="1">
      <alignment horizontal="left" vertical="center"/>
      <protection locked="0"/>
    </xf>
    <xf numFmtId="10" fontId="41" fillId="5" borderId="43" xfId="0" applyNumberFormat="1" applyFont="1" applyFill="1" applyBorder="1" applyAlignment="1" applyProtection="1">
      <alignment horizontal="left" vertical="center"/>
      <protection locked="0"/>
    </xf>
    <xf numFmtId="179" fontId="41" fillId="5" borderId="58" xfId="0" applyNumberFormat="1" applyFont="1" applyFill="1" applyBorder="1" applyAlignment="1" applyProtection="1">
      <alignment horizontal="left" vertical="center"/>
      <protection locked="0"/>
    </xf>
    <xf numFmtId="178" fontId="41" fillId="5" borderId="59" xfId="0"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179" fontId="44" fillId="0"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41" fillId="0" borderId="0" xfId="0" applyFont="1" applyFill="1" applyBorder="1" applyAlignment="1" applyProtection="1">
      <alignment horizontal="left" vertical="center"/>
      <protection locked="0"/>
    </xf>
    <xf numFmtId="0" fontId="43" fillId="0" borderId="0" xfId="0" applyFont="1" applyFill="1" applyBorder="1" applyAlignment="1" applyProtection="1">
      <alignment horizontal="left" vertical="center" wrapText="1"/>
      <protection locked="0"/>
    </xf>
    <xf numFmtId="179" fontId="43" fillId="0" borderId="0" xfId="0" applyNumberFormat="1" applyFont="1" applyFill="1" applyBorder="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121" fillId="8" borderId="0" xfId="0" applyFont="1" applyFill="1" applyProtection="1">
      <alignment vertical="center"/>
    </xf>
    <xf numFmtId="0" fontId="101" fillId="8" borderId="0" xfId="0" applyFont="1" applyFill="1" applyProtection="1">
      <alignment vertical="center"/>
    </xf>
    <xf numFmtId="0" fontId="119" fillId="5" borderId="0" xfId="0" applyFont="1" applyFill="1" applyBorder="1" applyAlignment="1" applyProtection="1">
      <alignment horizontal="left" vertical="center"/>
      <protection locked="0"/>
    </xf>
    <xf numFmtId="0" fontId="44" fillId="5" borderId="0" xfId="0" applyFont="1" applyFill="1" applyBorder="1" applyAlignment="1" applyProtection="1">
      <alignment horizontal="left" vertical="center"/>
      <protection locked="0"/>
    </xf>
    <xf numFmtId="0" fontId="44" fillId="5" borderId="170" xfId="0" applyFont="1" applyFill="1" applyBorder="1" applyAlignment="1" applyProtection="1">
      <alignment horizontal="left" vertical="center"/>
      <protection locked="0"/>
    </xf>
    <xf numFmtId="9" fontId="44" fillId="5" borderId="0" xfId="0" applyNumberFormat="1" applyFont="1" applyFill="1" applyAlignment="1" applyProtection="1">
      <alignment horizontal="left" vertical="center"/>
      <protection locked="0"/>
    </xf>
    <xf numFmtId="10" fontId="44" fillId="5" borderId="0" xfId="0" applyNumberFormat="1"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44" fillId="5" borderId="0" xfId="0" applyFont="1" applyFill="1" applyBorder="1" applyAlignment="1" applyProtection="1">
      <alignment horizontal="left" vertical="center" wrapText="1"/>
      <protection locked="0"/>
    </xf>
    <xf numFmtId="0" fontId="44" fillId="5" borderId="0" xfId="0" applyFont="1" applyFill="1" applyBorder="1" applyAlignment="1" applyProtection="1">
      <alignment horizontal="center" vertical="center" wrapText="1"/>
      <protection locked="0"/>
    </xf>
    <xf numFmtId="0" fontId="77" fillId="5" borderId="0" xfId="0" applyFont="1" applyFill="1" applyBorder="1" applyAlignment="1" applyProtection="1">
      <alignment horizontal="left" vertical="center"/>
      <protection locked="0"/>
    </xf>
    <xf numFmtId="0" fontId="44" fillId="5" borderId="0" xfId="0" applyFont="1" applyFill="1" applyBorder="1" applyAlignment="1" applyProtection="1">
      <alignment horizontal="center" vertical="center"/>
      <protection locked="0"/>
    </xf>
    <xf numFmtId="0" fontId="54"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103" fillId="5" borderId="3" xfId="0" applyFont="1" applyFill="1" applyBorder="1" applyProtection="1">
      <alignment vertical="center"/>
    </xf>
    <xf numFmtId="0" fontId="103" fillId="5" borderId="51" xfId="0" applyFont="1" applyFill="1" applyBorder="1" applyAlignment="1" applyProtection="1">
      <alignment horizontal="center" vertical="center"/>
    </xf>
    <xf numFmtId="0" fontId="103" fillId="5" borderId="3" xfId="0" applyFont="1" applyFill="1" applyBorder="1" applyAlignment="1" applyProtection="1">
      <alignment horizontal="center" vertical="center"/>
    </xf>
    <xf numFmtId="0" fontId="104" fillId="5" borderId="1" xfId="0" applyFont="1" applyFill="1" applyBorder="1" applyProtection="1">
      <alignment vertical="center"/>
    </xf>
    <xf numFmtId="0" fontId="44" fillId="0" borderId="1" xfId="0"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protection locked="0"/>
    </xf>
    <xf numFmtId="189" fontId="54" fillId="0" borderId="0" xfId="0" applyNumberFormat="1" applyFont="1" applyFill="1" applyBorder="1" applyAlignment="1" applyProtection="1">
      <alignment horizontal="left" vertical="center"/>
      <protection locked="0"/>
    </xf>
    <xf numFmtId="181" fontId="54" fillId="0" borderId="0" xfId="0" applyNumberFormat="1" applyFont="1" applyFill="1" applyBorder="1" applyAlignment="1" applyProtection="1">
      <alignment horizontal="left" vertical="center"/>
      <protection locked="0"/>
    </xf>
    <xf numFmtId="0" fontId="218" fillId="0" borderId="0" xfId="0" applyFont="1" applyFill="1" applyBorder="1" applyAlignment="1" applyProtection="1">
      <alignment horizontal="left" vertical="center"/>
      <protection locked="0"/>
    </xf>
    <xf numFmtId="181" fontId="41"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protection locked="0"/>
    </xf>
    <xf numFmtId="181" fontId="69" fillId="0" borderId="0" xfId="0" applyNumberFormat="1" applyFont="1" applyFill="1" applyBorder="1" applyAlignment="1" applyProtection="1">
      <alignment horizontal="left" vertical="center" wrapText="1"/>
      <protection locked="0"/>
    </xf>
    <xf numFmtId="0" fontId="69" fillId="0" borderId="0" xfId="0" applyFont="1" applyFill="1" applyBorder="1" applyAlignment="1" applyProtection="1">
      <alignment horizontal="left" vertical="center"/>
      <protection locked="0"/>
    </xf>
    <xf numFmtId="181" fontId="46" fillId="0" borderId="0" xfId="0" applyNumberFormat="1" applyFont="1" applyFill="1" applyBorder="1" applyAlignment="1" applyProtection="1">
      <alignment horizontal="left" vertical="center" wrapText="1"/>
      <protection locked="0"/>
    </xf>
    <xf numFmtId="181" fontId="70" fillId="0" borderId="0" xfId="0" applyNumberFormat="1" applyFont="1" applyFill="1" applyBorder="1" applyAlignment="1" applyProtection="1">
      <alignment horizontal="left" vertical="center" wrapText="1"/>
      <protection locked="0"/>
    </xf>
    <xf numFmtId="181" fontId="48" fillId="0" borderId="0" xfId="0" applyNumberFormat="1" applyFont="1" applyFill="1" applyBorder="1" applyAlignment="1" applyProtection="1">
      <alignment horizontal="left" vertical="center" wrapText="1"/>
      <protection locked="0"/>
    </xf>
    <xf numFmtId="181" fontId="70" fillId="0" borderId="0" xfId="0" applyNumberFormat="1" applyFont="1" applyFill="1" applyAlignment="1" applyProtection="1">
      <alignment horizontal="left" vertical="center"/>
      <protection locked="0"/>
    </xf>
    <xf numFmtId="181" fontId="48" fillId="0" borderId="0" xfId="0" applyNumberFormat="1" applyFont="1" applyFill="1" applyBorder="1" applyAlignment="1" applyProtection="1">
      <alignment horizontal="left"/>
      <protection locked="0"/>
    </xf>
    <xf numFmtId="0" fontId="48" fillId="0" borderId="0" xfId="0" applyFont="1" applyFill="1" applyBorder="1" applyAlignment="1" applyProtection="1">
      <alignment horizontal="left"/>
      <protection locked="0"/>
    </xf>
    <xf numFmtId="9" fontId="48" fillId="0" borderId="0" xfId="0" applyNumberFormat="1" applyFont="1" applyFill="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189" fontId="70" fillId="0" borderId="0" xfId="0" applyNumberFormat="1" applyFont="1" applyFill="1" applyAlignment="1" applyProtection="1">
      <alignment horizontal="left" vertical="center"/>
      <protection locked="0"/>
    </xf>
    <xf numFmtId="0" fontId="67" fillId="0" borderId="0" xfId="0" applyFont="1" applyFill="1" applyBorder="1" applyAlignment="1" applyProtection="1">
      <alignment horizontal="left" vertical="center"/>
      <protection locked="0"/>
    </xf>
    <xf numFmtId="0" fontId="59" fillId="0" borderId="0" xfId="0" applyFont="1" applyFill="1" applyBorder="1" applyAlignment="1" applyProtection="1">
      <alignment horizontal="left" vertical="center"/>
      <protection locked="0"/>
    </xf>
    <xf numFmtId="189" fontId="59" fillId="0" borderId="0" xfId="0" applyNumberFormat="1"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protection locked="0"/>
    </xf>
    <xf numFmtId="0" fontId="41" fillId="0" borderId="0" xfId="0" applyNumberFormat="1" applyFont="1" applyFill="1" applyBorder="1" applyAlignment="1" applyProtection="1">
      <alignment horizontal="left" vertical="center" wrapText="1"/>
      <protection locked="0"/>
    </xf>
    <xf numFmtId="0" fontId="70" fillId="0" borderId="0"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59" fillId="5" borderId="35" xfId="0" applyFont="1" applyFill="1" applyBorder="1" applyAlignment="1" applyProtection="1">
      <alignment horizontal="left" vertical="center"/>
    </xf>
    <xf numFmtId="0" fontId="59" fillId="0" borderId="0" xfId="0" applyFont="1" applyFill="1" applyBorder="1" applyAlignment="1" applyProtection="1">
      <alignment vertical="center"/>
      <protection locked="0"/>
    </xf>
    <xf numFmtId="181" fontId="59" fillId="0" borderId="0" xfId="0" applyNumberFormat="1"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protection locked="0"/>
    </xf>
    <xf numFmtId="189" fontId="59" fillId="0" borderId="0" xfId="0" applyNumberFormat="1" applyFont="1" applyFill="1" applyBorder="1" applyAlignment="1" applyProtection="1">
      <alignment horizontal="center" vertical="center"/>
      <protection locked="0"/>
    </xf>
    <xf numFmtId="181" fontId="41" fillId="0" borderId="0" xfId="0" applyNumberFormat="1" applyFont="1" applyFill="1" applyBorder="1" applyAlignment="1" applyProtection="1">
      <alignment vertical="center" wrapText="1"/>
      <protection locked="0"/>
    </xf>
    <xf numFmtId="0" fontId="48" fillId="0" borderId="0" xfId="0" applyFont="1" applyFill="1" applyBorder="1" applyAlignment="1" applyProtection="1">
      <alignment horizontal="center" vertical="center"/>
      <protection locked="0"/>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protection locked="0"/>
    </xf>
    <xf numFmtId="0" fontId="69"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horizontal="center" vertical="center" wrapText="1"/>
      <protection locked="0"/>
    </xf>
    <xf numFmtId="0" fontId="48" fillId="0" borderId="25" xfId="0" applyFont="1" applyFill="1" applyBorder="1" applyAlignment="1" applyProtection="1">
      <alignment horizontal="center" vertical="center"/>
      <protection locked="0"/>
    </xf>
    <xf numFmtId="181" fontId="70"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48" fillId="0" borderId="0" xfId="0" applyNumberFormat="1" applyFont="1" applyFill="1" applyBorder="1" applyAlignment="1" applyProtection="1">
      <alignment vertical="center" wrapText="1"/>
      <protection locked="0"/>
    </xf>
    <xf numFmtId="181" fontId="70" fillId="0" borderId="0" xfId="0" applyNumberFormat="1" applyFont="1" applyFill="1" applyAlignment="1" applyProtection="1">
      <alignment horizontal="center" vertical="center"/>
      <protection locked="0"/>
    </xf>
    <xf numFmtId="14" fontId="48" fillId="0" borderId="0" xfId="0" applyNumberFormat="1" applyFont="1" applyFill="1" applyAlignment="1" applyProtection="1">
      <alignment horizontal="center" vertical="center"/>
      <protection locked="0"/>
    </xf>
    <xf numFmtId="9" fontId="48" fillId="0" borderId="0" xfId="0" applyNumberFormat="1" applyFont="1" applyFill="1" applyAlignment="1" applyProtection="1">
      <alignment horizontal="center" vertical="center"/>
      <protection locked="0"/>
    </xf>
    <xf numFmtId="189" fontId="70" fillId="0" borderId="0" xfId="0" applyNumberFormat="1" applyFont="1" applyFill="1" applyAlignment="1" applyProtection="1">
      <alignment horizontal="center" vertical="center"/>
      <protection locked="0"/>
    </xf>
    <xf numFmtId="176" fontId="48" fillId="0" borderId="0" xfId="0" applyNumberFormat="1" applyFont="1" applyFill="1" applyAlignment="1" applyProtection="1">
      <alignment horizontal="center" vertical="center"/>
      <protection locked="0"/>
    </xf>
    <xf numFmtId="0" fontId="48" fillId="0" borderId="0" xfId="0" applyFont="1" applyFill="1" applyBorder="1" applyAlignment="1" applyProtection="1">
      <protection locked="0"/>
    </xf>
    <xf numFmtId="0" fontId="41" fillId="0" borderId="25" xfId="0" applyFont="1" applyFill="1" applyBorder="1" applyAlignment="1" applyProtection="1">
      <alignment horizontal="left" vertical="center"/>
      <protection locked="0"/>
    </xf>
    <xf numFmtId="0" fontId="69" fillId="0" borderId="25" xfId="0" applyFont="1" applyFill="1" applyBorder="1" applyAlignment="1" applyProtection="1">
      <alignment horizontal="left" vertical="center"/>
      <protection locked="0"/>
    </xf>
    <xf numFmtId="0" fontId="48"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50" fillId="0" borderId="0" xfId="0" applyFont="1" applyFill="1" applyAlignment="1" applyProtection="1">
      <alignment horizontal="left"/>
      <protection locked="0"/>
    </xf>
    <xf numFmtId="0" fontId="50" fillId="0" borderId="0" xfId="0" applyFont="1" applyFill="1" applyAlignment="1" applyProtection="1">
      <protection locked="0"/>
    </xf>
    <xf numFmtId="0" fontId="50" fillId="0" borderId="0" xfId="0" applyFont="1" applyFill="1" applyAlignment="1" applyProtection="1">
      <alignment horizontal="left" vertical="center" wrapText="1"/>
      <protection locked="0"/>
    </xf>
    <xf numFmtId="0" fontId="50"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48" fillId="5" borderId="22" xfId="6" applyFont="1" applyFill="1" applyBorder="1" applyAlignment="1" applyProtection="1">
      <alignment horizontal="left" vertical="center" wrapText="1"/>
      <protection locked="0"/>
    </xf>
    <xf numFmtId="0" fontId="48" fillId="5" borderId="0" xfId="6" applyFont="1" applyFill="1" applyBorder="1" applyAlignment="1" applyProtection="1">
      <alignment horizontal="left" vertical="center" wrapText="1"/>
      <protection locked="0"/>
    </xf>
    <xf numFmtId="10" fontId="50" fillId="5" borderId="58" xfId="6" applyNumberFormat="1"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50" fillId="5" borderId="31" xfId="0" applyFont="1" applyFill="1" applyBorder="1" applyAlignment="1" applyProtection="1">
      <alignment horizontal="left" vertical="center" wrapText="1"/>
    </xf>
    <xf numFmtId="0" fontId="50" fillId="0" borderId="0" xfId="0" applyFont="1" applyFill="1" applyAlignment="1" applyProtection="1">
      <alignment horizontal="left" vertical="center" wrapText="1"/>
    </xf>
    <xf numFmtId="0" fontId="123" fillId="0" borderId="0" xfId="5" applyFont="1" applyAlignment="1">
      <alignment horizontal="left" vertical="center"/>
    </xf>
    <xf numFmtId="0" fontId="157" fillId="0" borderId="0" xfId="5" applyFont="1" applyAlignment="1">
      <alignment horizontal="left" vertical="center"/>
    </xf>
    <xf numFmtId="0" fontId="157" fillId="0" borderId="0" xfId="5" applyFont="1" applyFill="1" applyAlignment="1">
      <alignment horizontal="left" vertical="center"/>
    </xf>
    <xf numFmtId="14" fontId="157" fillId="0" borderId="0" xfId="5" applyNumberFormat="1" applyFont="1" applyAlignment="1">
      <alignment horizontal="left" vertical="center"/>
    </xf>
    <xf numFmtId="0" fontId="126"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53" fillId="0" borderId="0" xfId="5" applyFont="1" applyAlignment="1">
      <alignment horizontal="left" vertical="center"/>
    </xf>
    <xf numFmtId="0" fontId="124" fillId="6" borderId="18" xfId="5" applyFont="1" applyFill="1" applyBorder="1" applyAlignment="1">
      <alignment horizontal="left" vertical="center"/>
    </xf>
    <xf numFmtId="0" fontId="125" fillId="0" borderId="1" xfId="5" applyFont="1" applyBorder="1" applyAlignment="1">
      <alignment horizontal="left" vertical="center"/>
    </xf>
    <xf numFmtId="0" fontId="125" fillId="0" borderId="2" xfId="5" applyFont="1" applyBorder="1" applyAlignment="1">
      <alignment horizontal="left" vertical="center"/>
    </xf>
    <xf numFmtId="192" fontId="125" fillId="0" borderId="1" xfId="5" applyNumberFormat="1" applyFont="1" applyFill="1" applyBorder="1" applyAlignment="1">
      <alignment horizontal="left" vertical="center"/>
    </xf>
    <xf numFmtId="184" fontId="125" fillId="0" borderId="1" xfId="5" applyNumberFormat="1" applyFont="1" applyFill="1" applyBorder="1" applyAlignment="1">
      <alignment horizontal="left" vertical="center"/>
    </xf>
    <xf numFmtId="0" fontId="254" fillId="0" borderId="1" xfId="5" applyFont="1" applyFill="1" applyBorder="1" applyAlignment="1">
      <alignment horizontal="left" vertical="center"/>
    </xf>
    <xf numFmtId="192" fontId="125" fillId="0" borderId="2" xfId="5" applyNumberFormat="1" applyFont="1" applyFill="1" applyBorder="1" applyAlignment="1">
      <alignment horizontal="left" vertical="center"/>
    </xf>
    <xf numFmtId="0" fontId="254" fillId="0" borderId="0" xfId="5" applyFont="1" applyFill="1" applyAlignment="1">
      <alignment horizontal="left" vertical="center"/>
    </xf>
    <xf numFmtId="0" fontId="124" fillId="0" borderId="1" xfId="5" applyFont="1" applyFill="1" applyBorder="1" applyAlignment="1">
      <alignment horizontal="left" vertical="center"/>
    </xf>
    <xf numFmtId="0" fontId="127" fillId="0" borderId="1" xfId="5" applyFont="1" applyBorder="1" applyAlignment="1">
      <alignment horizontal="left" vertical="center"/>
    </xf>
    <xf numFmtId="184" fontId="125" fillId="0" borderId="1" xfId="0" applyNumberFormat="1" applyFont="1" applyFill="1" applyBorder="1" applyAlignment="1">
      <alignment horizontal="left" vertical="center"/>
    </xf>
    <xf numFmtId="14" fontId="127" fillId="0" borderId="1" xfId="5" applyNumberFormat="1" applyFont="1" applyBorder="1" applyAlignment="1">
      <alignment horizontal="left" vertical="center"/>
    </xf>
    <xf numFmtId="0" fontId="84" fillId="0" borderId="1" xfId="5" applyFont="1" applyBorder="1" applyAlignment="1">
      <alignment horizontal="left" vertical="center"/>
    </xf>
    <xf numFmtId="184" fontId="84" fillId="0" borderId="1" xfId="0" applyNumberFormat="1" applyFont="1" applyFill="1" applyBorder="1" applyAlignment="1">
      <alignment horizontal="left" vertical="center"/>
    </xf>
    <xf numFmtId="192" fontId="254" fillId="0" borderId="2" xfId="5" applyNumberFormat="1" applyFont="1" applyFill="1" applyBorder="1" applyAlignment="1">
      <alignment horizontal="left" vertical="center"/>
    </xf>
    <xf numFmtId="0" fontId="124" fillId="6" borderId="174" xfId="5" applyFont="1" applyFill="1" applyBorder="1" applyAlignment="1">
      <alignment horizontal="left" vertical="center"/>
    </xf>
    <xf numFmtId="0" fontId="125" fillId="0" borderId="173" xfId="5" applyFont="1" applyFill="1" applyBorder="1" applyAlignment="1">
      <alignment horizontal="left" vertical="center"/>
    </xf>
    <xf numFmtId="184" fontId="125" fillId="0" borderId="2" xfId="5" applyNumberFormat="1" applyFont="1" applyFill="1" applyBorder="1" applyAlignment="1">
      <alignment horizontal="left" vertical="center"/>
    </xf>
    <xf numFmtId="14" fontId="127" fillId="0" borderId="2" xfId="5" applyNumberFormat="1" applyFont="1" applyBorder="1" applyAlignment="1">
      <alignment horizontal="left" vertical="center"/>
    </xf>
    <xf numFmtId="0" fontId="127" fillId="0" borderId="173" xfId="5" applyFont="1" applyBorder="1" applyAlignment="1">
      <alignment horizontal="left" vertical="center"/>
    </xf>
    <xf numFmtId="14" fontId="157" fillId="0" borderId="175" xfId="5" applyNumberFormat="1" applyFont="1" applyBorder="1" applyAlignment="1">
      <alignment horizontal="left" vertical="center"/>
    </xf>
    <xf numFmtId="0" fontId="157" fillId="0" borderId="0" xfId="5" applyFont="1" applyBorder="1" applyAlignment="1">
      <alignment horizontal="left" vertical="center"/>
    </xf>
    <xf numFmtId="0" fontId="255" fillId="0" borderId="0" xfId="5" applyFont="1" applyBorder="1" applyAlignment="1">
      <alignment horizontal="left" vertical="center"/>
    </xf>
    <xf numFmtId="181" fontId="41" fillId="0" borderId="58" xfId="0" applyNumberFormat="1" applyFont="1" applyFill="1" applyBorder="1" applyAlignment="1" applyProtection="1">
      <alignment horizontal="left" vertical="center"/>
      <protection locked="0"/>
    </xf>
    <xf numFmtId="0" fontId="137" fillId="0" borderId="0" xfId="0" applyFont="1" applyFill="1" applyAlignment="1" applyProtection="1">
      <alignment horizontal="left" vertical="center"/>
      <protection locked="0"/>
    </xf>
    <xf numFmtId="0" fontId="137" fillId="5" borderId="15"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0" fontId="44" fillId="5" borderId="7"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183" fontId="41" fillId="0" borderId="43" xfId="0" applyNumberFormat="1" applyFont="1" applyFill="1" applyBorder="1" applyAlignment="1" applyProtection="1">
      <alignment horizontal="left" vertical="center"/>
      <protection locked="0"/>
    </xf>
    <xf numFmtId="0" fontId="49" fillId="5" borderId="55"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44" fillId="5" borderId="66" xfId="0" applyFont="1" applyFill="1" applyBorder="1" applyAlignment="1" applyProtection="1">
      <alignment horizontal="left" vertical="center"/>
    </xf>
    <xf numFmtId="0" fontId="44" fillId="8" borderId="0" xfId="0" applyFont="1" applyFill="1" applyAlignment="1" applyProtection="1">
      <alignment horizontal="left" vertical="center"/>
      <protection locked="0"/>
    </xf>
    <xf numFmtId="0" fontId="49" fillId="5" borderId="22"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49" fontId="44" fillId="5" borderId="0" xfId="0" applyNumberFormat="1" applyFont="1" applyFill="1" applyBorder="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242" fillId="0" borderId="34" xfId="0" applyNumberFormat="1" applyFont="1" applyFill="1" applyBorder="1" applyAlignment="1" applyProtection="1">
      <alignment horizontal="left" vertical="center" wrapText="1"/>
      <protection locked="0"/>
    </xf>
    <xf numFmtId="49" fontId="44" fillId="5" borderId="26" xfId="0" applyNumberFormat="1" applyFont="1" applyFill="1" applyBorder="1" applyAlignment="1" applyProtection="1">
      <alignment horizontal="left" vertical="center" wrapText="1"/>
    </xf>
    <xf numFmtId="0" fontId="242" fillId="0" borderId="6" xfId="0" applyFont="1" applyBorder="1" applyAlignment="1" applyProtection="1">
      <alignment horizontal="left" vertical="center" wrapText="1"/>
      <protection locked="0"/>
    </xf>
    <xf numFmtId="49" fontId="44" fillId="5" borderId="42" xfId="0" applyNumberFormat="1" applyFont="1" applyFill="1" applyBorder="1" applyAlignment="1" applyProtection="1">
      <alignment horizontal="left" vertical="center" wrapText="1"/>
    </xf>
    <xf numFmtId="0" fontId="44" fillId="5" borderId="56" xfId="0" applyFont="1" applyFill="1" applyBorder="1" applyAlignment="1" applyProtection="1">
      <alignment horizontal="left" vertical="center" wrapText="1"/>
    </xf>
    <xf numFmtId="0" fontId="242" fillId="0" borderId="43" xfId="0" applyNumberFormat="1" applyFont="1" applyFill="1" applyBorder="1" applyAlignment="1" applyProtection="1">
      <alignment horizontal="left" vertical="center" wrapText="1"/>
      <protection locked="0"/>
    </xf>
    <xf numFmtId="0" fontId="49" fillId="5" borderId="42" xfId="0" applyFont="1" applyFill="1" applyBorder="1" applyAlignment="1" applyProtection="1">
      <alignment horizontal="left" vertical="center" wrapText="1"/>
    </xf>
    <xf numFmtId="0" fontId="44" fillId="8" borderId="0" xfId="0" applyNumberFormat="1" applyFont="1" applyFill="1" applyBorder="1" applyAlignment="1" applyProtection="1">
      <alignment horizontal="left" vertical="center" wrapText="1"/>
      <protection locked="0"/>
    </xf>
    <xf numFmtId="49" fontId="44" fillId="8" borderId="0" xfId="0" applyNumberFormat="1" applyFont="1" applyFill="1" applyBorder="1" applyAlignment="1" applyProtection="1">
      <alignment horizontal="left" vertical="center" wrapText="1"/>
      <protection locked="0"/>
    </xf>
    <xf numFmtId="0" fontId="49" fillId="5" borderId="0" xfId="0"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9" fillId="5" borderId="5"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82"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0" fontId="44" fillId="8" borderId="0" xfId="0" applyNumberFormat="1" applyFont="1" applyFill="1" applyAlignment="1" applyProtection="1">
      <alignment horizontal="left" vertical="center" wrapText="1"/>
      <protection locked="0"/>
    </xf>
    <xf numFmtId="0" fontId="44" fillId="8" borderId="0" xfId="0" applyNumberFormat="1" applyFont="1" applyFill="1" applyAlignment="1" applyProtection="1">
      <alignment horizontal="left" vertical="center"/>
      <protection locked="0"/>
    </xf>
    <xf numFmtId="0" fontId="49" fillId="5" borderId="10" xfId="0" applyFont="1" applyFill="1" applyBorder="1" applyAlignment="1" applyProtection="1">
      <alignment horizontal="left" vertical="center" wrapText="1"/>
    </xf>
    <xf numFmtId="0" fontId="44" fillId="5" borderId="4" xfId="0" applyFont="1" applyFill="1" applyBorder="1" applyAlignment="1" applyProtection="1">
      <alignment horizontal="left" vertical="center" wrapText="1"/>
    </xf>
    <xf numFmtId="49" fontId="44" fillId="5" borderId="59" xfId="0" applyNumberFormat="1" applyFont="1" applyFill="1" applyBorder="1" applyAlignment="1" applyProtection="1">
      <alignment horizontal="left" vertical="center" wrapText="1"/>
    </xf>
    <xf numFmtId="49" fontId="49" fillId="5" borderId="10" xfId="0" applyNumberFormat="1" applyFont="1" applyFill="1" applyBorder="1" applyAlignment="1" applyProtection="1">
      <alignment horizontal="left" vertical="center" wrapText="1"/>
    </xf>
    <xf numFmtId="0" fontId="44" fillId="5" borderId="31"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xf>
    <xf numFmtId="49" fontId="44" fillId="5" borderId="6" xfId="0" applyNumberFormat="1" applyFont="1" applyFill="1" applyBorder="1" applyAlignment="1" applyProtection="1">
      <alignment horizontal="left" vertical="center" wrapText="1"/>
    </xf>
    <xf numFmtId="49" fontId="49" fillId="5" borderId="77"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242" fillId="0" borderId="6" xfId="0" applyNumberFormat="1" applyFont="1" applyFill="1" applyBorder="1" applyAlignment="1" applyProtection="1">
      <alignment horizontal="left" vertical="center" wrapText="1"/>
      <protection locked="0"/>
    </xf>
    <xf numFmtId="0" fontId="44" fillId="6" borderId="6"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49" fontId="49" fillId="5" borderId="78" xfId="0" applyNumberFormat="1" applyFont="1" applyFill="1" applyBorder="1" applyAlignment="1" applyProtection="1">
      <alignment horizontal="left" vertical="center" wrapText="1"/>
    </xf>
    <xf numFmtId="0" fontId="44" fillId="0" borderId="43" xfId="0" applyNumberFormat="1" applyFont="1" applyFill="1" applyBorder="1" applyAlignment="1" applyProtection="1">
      <alignment horizontal="left" vertical="center" wrapText="1"/>
      <protection locked="0"/>
    </xf>
    <xf numFmtId="0" fontId="49" fillId="5" borderId="78" xfId="0" applyFont="1" applyFill="1" applyBorder="1" applyAlignment="1" applyProtection="1">
      <alignment horizontal="left" vertical="center" wrapText="1"/>
    </xf>
    <xf numFmtId="0" fontId="44" fillId="5" borderId="43" xfId="0" applyNumberFormat="1" applyFont="1" applyFill="1" applyBorder="1" applyAlignment="1" applyProtection="1">
      <alignment horizontal="left" vertical="center" wrapText="1"/>
    </xf>
    <xf numFmtId="0" fontId="44" fillId="5" borderId="0" xfId="0" applyFont="1" applyFill="1" applyAlignment="1" applyProtection="1">
      <alignment horizontal="left" vertical="center" wrapText="1"/>
      <protection locked="0"/>
    </xf>
    <xf numFmtId="0" fontId="44" fillId="5" borderId="0" xfId="0" applyNumberFormat="1" applyFont="1" applyFill="1" applyAlignment="1" applyProtection="1">
      <alignment horizontal="left" vertical="center" wrapText="1"/>
      <protection locked="0"/>
    </xf>
    <xf numFmtId="0" fontId="100" fillId="5" borderId="43" xfId="0" applyNumberFormat="1"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45" fillId="5" borderId="0" xfId="2" applyFont="1" applyFill="1"/>
    <xf numFmtId="0" fontId="145" fillId="5" borderId="1" xfId="2" applyFont="1" applyFill="1" applyBorder="1" applyAlignment="1">
      <alignment horizontal="center" wrapText="1"/>
    </xf>
    <xf numFmtId="0" fontId="145" fillId="0" borderId="0" xfId="2" applyFont="1"/>
    <xf numFmtId="0" fontId="97" fillId="0" borderId="0" xfId="0" applyFont="1" applyAlignment="1"/>
    <xf numFmtId="10" fontId="50" fillId="5" borderId="57" xfId="0" applyNumberFormat="1" applyFont="1" applyFill="1" applyBorder="1" applyAlignment="1" applyProtection="1">
      <alignment horizontal="left" vertical="center" wrapText="1"/>
    </xf>
    <xf numFmtId="10" fontId="103" fillId="5" borderId="57" xfId="0" applyNumberFormat="1" applyFont="1" applyFill="1" applyBorder="1" applyAlignment="1" applyProtection="1">
      <alignment horizontal="left" vertical="center" wrapText="1"/>
    </xf>
    <xf numFmtId="0" fontId="41" fillId="6" borderId="7" xfId="0" applyFont="1" applyFill="1" applyBorder="1" applyAlignment="1" applyProtection="1">
      <alignment horizontal="left" vertical="center" wrapText="1"/>
      <protection locked="0"/>
    </xf>
    <xf numFmtId="10" fontId="119" fillId="0" borderId="0" xfId="0" applyNumberFormat="1" applyFont="1" applyFill="1" applyAlignment="1" applyProtection="1">
      <alignment horizontal="left" vertical="center"/>
      <protection locked="0"/>
    </xf>
    <xf numFmtId="0" fontId="152" fillId="12" borderId="133" xfId="7" applyFont="1" applyFill="1" applyBorder="1" applyAlignment="1" applyProtection="1">
      <alignment horizontal="left" vertical="center" wrapText="1"/>
    </xf>
    <xf numFmtId="0" fontId="152" fillId="13" borderId="134" xfId="11" applyFont="1" applyFill="1" applyBorder="1" applyAlignment="1" applyProtection="1">
      <alignment horizontal="left" vertical="center" wrapText="1"/>
    </xf>
    <xf numFmtId="0" fontId="152" fillId="13" borderId="138" xfId="11" applyFont="1" applyFill="1" applyBorder="1" applyAlignment="1" applyProtection="1">
      <alignment horizontal="left" vertical="center" wrapText="1"/>
    </xf>
    <xf numFmtId="0" fontId="121" fillId="5" borderId="0" xfId="0" applyFont="1" applyFill="1" applyAlignment="1" applyProtection="1">
      <alignment horizontal="left" vertical="center"/>
      <protection locked="0"/>
    </xf>
    <xf numFmtId="0" fontId="137" fillId="0" borderId="32" xfId="0" applyNumberFormat="1" applyFont="1" applyFill="1" applyBorder="1" applyAlignment="1" applyProtection="1">
      <alignment horizontal="left" vertical="center" wrapText="1"/>
      <protection locked="0"/>
    </xf>
    <xf numFmtId="0" fontId="94" fillId="0" borderId="32" xfId="0" applyNumberFormat="1" applyFont="1" applyFill="1" applyBorder="1" applyAlignment="1" applyProtection="1">
      <alignment horizontal="left" vertical="center" wrapText="1"/>
      <protection locked="0"/>
    </xf>
    <xf numFmtId="10" fontId="41" fillId="0" borderId="19" xfId="0" applyNumberFormat="1" applyFont="1" applyFill="1" applyBorder="1" applyAlignment="1" applyProtection="1">
      <alignment horizontal="center" vertical="center" wrapText="1"/>
      <protection locked="0"/>
    </xf>
    <xf numFmtId="0" fontId="137" fillId="0" borderId="46" xfId="0" applyNumberFormat="1" applyFont="1" applyFill="1" applyBorder="1" applyAlignment="1" applyProtection="1">
      <alignment horizontal="center" vertical="center" wrapText="1"/>
      <protection locked="0"/>
    </xf>
    <xf numFmtId="0" fontId="137" fillId="0" borderId="32" xfId="0" applyNumberFormat="1" applyFont="1" applyFill="1" applyBorder="1" applyAlignment="1" applyProtection="1">
      <alignment horizontal="center" vertical="center" wrapText="1"/>
      <protection locked="0"/>
    </xf>
    <xf numFmtId="0" fontId="94" fillId="0" borderId="11" xfId="0" applyNumberFormat="1" applyFont="1" applyFill="1" applyBorder="1" applyAlignment="1" applyProtection="1">
      <alignment horizontal="center" vertical="center" wrapText="1"/>
      <protection locked="0"/>
    </xf>
    <xf numFmtId="0" fontId="94" fillId="0" borderId="23" xfId="0" applyNumberFormat="1" applyFont="1" applyFill="1" applyBorder="1" applyAlignment="1" applyProtection="1">
      <alignment horizontal="center" vertical="center" wrapText="1"/>
      <protection locked="0"/>
    </xf>
    <xf numFmtId="0" fontId="137" fillId="0" borderId="58" xfId="0" applyFont="1" applyFill="1" applyBorder="1" applyAlignment="1" applyProtection="1">
      <alignment horizontal="center" vertical="center" wrapText="1"/>
      <protection locked="0"/>
    </xf>
    <xf numFmtId="0" fontId="94" fillId="0" borderId="1" xfId="0" applyNumberFormat="1" applyFont="1" applyFill="1" applyBorder="1" applyAlignment="1" applyProtection="1">
      <alignment horizontal="center" vertical="center" wrapText="1"/>
      <protection locked="0"/>
    </xf>
    <xf numFmtId="0" fontId="137" fillId="0" borderId="23" xfId="0" applyNumberFormat="1" applyFont="1" applyFill="1" applyBorder="1" applyAlignment="1" applyProtection="1">
      <alignment horizontal="center" vertical="center" wrapText="1"/>
      <protection locked="0"/>
    </xf>
    <xf numFmtId="0" fontId="95" fillId="0" borderId="0" xfId="8" applyAlignment="1">
      <alignment horizontal="center" vertical="center" wrapText="1"/>
    </xf>
    <xf numFmtId="0" fontId="95" fillId="0" borderId="0" xfId="8" applyAlignment="1">
      <alignment vertical="center" wrapText="1"/>
    </xf>
    <xf numFmtId="10" fontId="95" fillId="0" borderId="0" xfId="8" applyNumberFormat="1" applyAlignment="1">
      <alignment vertical="center" wrapText="1"/>
    </xf>
    <xf numFmtId="0" fontId="95" fillId="0" borderId="0" xfId="8">
      <alignment vertical="center"/>
    </xf>
    <xf numFmtId="10" fontId="95" fillId="0" borderId="0" xfId="8" applyNumberFormat="1">
      <alignment vertical="center"/>
    </xf>
    <xf numFmtId="14" fontId="95" fillId="21" borderId="0" xfId="8" applyNumberFormat="1" applyFill="1">
      <alignment vertical="center"/>
    </xf>
    <xf numFmtId="0" fontId="95" fillId="21" borderId="0" xfId="8" applyFill="1">
      <alignment vertical="center"/>
    </xf>
    <xf numFmtId="10" fontId="95" fillId="22" borderId="0" xfId="8" applyNumberFormat="1" applyFill="1">
      <alignment vertical="center"/>
    </xf>
    <xf numFmtId="10" fontId="51" fillId="0" borderId="0" xfId="0" applyNumberFormat="1" applyFont="1" applyFill="1" applyAlignment="1" applyProtection="1">
      <alignment vertical="center"/>
      <protection locked="0"/>
    </xf>
    <xf numFmtId="0" fontId="256" fillId="0" borderId="1" xfId="8" applyFont="1" applyBorder="1" applyAlignment="1">
      <alignment horizontal="left" vertical="center" wrapText="1" shrinkToFit="1"/>
    </xf>
    <xf numFmtId="9" fontId="257" fillId="0" borderId="1" xfId="8" applyNumberFormat="1" applyFont="1" applyBorder="1" applyAlignment="1">
      <alignment horizontal="center" vertical="center" wrapText="1" shrinkToFit="1"/>
    </xf>
    <xf numFmtId="0" fontId="95" fillId="0" borderId="0" xfId="8" applyAlignment="1"/>
    <xf numFmtId="49" fontId="113" fillId="0" borderId="1" xfId="8" applyNumberFormat="1" applyFont="1" applyBorder="1" applyAlignment="1">
      <alignment horizontal="center" vertical="center" wrapText="1" shrinkToFit="1"/>
    </xf>
    <xf numFmtId="0" fontId="113" fillId="0" borderId="1" xfId="8" applyFont="1" applyBorder="1" applyAlignment="1">
      <alignment vertical="center" wrapText="1" shrinkToFit="1"/>
    </xf>
    <xf numFmtId="0" fontId="113" fillId="0" borderId="1" xfId="8" applyFont="1" applyBorder="1" applyAlignment="1">
      <alignment horizontal="center" vertical="center" wrapText="1" shrinkToFit="1"/>
    </xf>
    <xf numFmtId="0" fontId="256" fillId="0" borderId="1" xfId="8" applyFont="1" applyBorder="1" applyAlignment="1">
      <alignment horizontal="center" vertical="center" wrapText="1" shrinkToFit="1"/>
    </xf>
    <xf numFmtId="0" fontId="110" fillId="0" borderId="0" xfId="8" applyFont="1" applyAlignment="1">
      <alignment wrapText="1"/>
    </xf>
    <xf numFmtId="0" fontId="113" fillId="0" borderId="1" xfId="8" applyFont="1" applyBorder="1" applyAlignment="1">
      <alignment horizontal="left" vertical="center" wrapText="1" shrinkToFit="1"/>
    </xf>
    <xf numFmtId="179" fontId="113" fillId="0" borderId="1" xfId="8" applyNumberFormat="1" applyFont="1" applyBorder="1" applyAlignment="1">
      <alignment horizontal="center" vertical="center" wrapText="1" shrinkToFit="1"/>
    </xf>
    <xf numFmtId="49" fontId="256" fillId="0" borderId="1" xfId="8" applyNumberFormat="1" applyFont="1" applyBorder="1" applyAlignment="1">
      <alignment horizontal="center" vertical="center" wrapText="1" shrinkToFit="1"/>
    </xf>
    <xf numFmtId="9" fontId="113" fillId="0" borderId="1" xfId="8" applyNumberFormat="1" applyFont="1" applyBorder="1" applyAlignment="1">
      <alignment horizontal="left" vertical="center" wrapText="1" shrinkToFit="1"/>
    </xf>
    <xf numFmtId="181" fontId="260" fillId="0" borderId="1" xfId="8" applyNumberFormat="1" applyFont="1" applyBorder="1" applyAlignment="1">
      <alignment horizontal="center" vertical="center" wrapText="1" shrinkToFit="1"/>
    </xf>
    <xf numFmtId="9" fontId="261" fillId="0" borderId="1" xfId="8" applyNumberFormat="1" applyFont="1" applyBorder="1" applyAlignment="1">
      <alignment horizontal="center" vertical="center" wrapText="1"/>
    </xf>
    <xf numFmtId="179" fontId="260" fillId="0" borderId="1" xfId="8" applyNumberFormat="1" applyFont="1" applyBorder="1" applyAlignment="1">
      <alignment horizontal="center" vertical="center" wrapText="1" shrinkToFit="1"/>
    </xf>
    <xf numFmtId="0" fontId="113" fillId="0" borderId="0" xfId="8" applyFont="1" applyAlignment="1">
      <alignment horizontal="center" vertical="center"/>
    </xf>
    <xf numFmtId="9" fontId="262" fillId="23" borderId="1" xfId="8" applyNumberFormat="1" applyFont="1" applyFill="1" applyBorder="1" applyAlignment="1">
      <alignment horizontal="center" vertical="center" wrapText="1"/>
    </xf>
    <xf numFmtId="0" fontId="95" fillId="0" borderId="0" xfId="8" applyAlignment="1">
      <alignment vertical="center" wrapText="1" shrinkToFit="1"/>
    </xf>
    <xf numFmtId="179" fontId="113" fillId="0" borderId="0" xfId="8" applyNumberFormat="1" applyFont="1" applyAlignment="1">
      <alignment horizontal="center" vertical="center"/>
    </xf>
    <xf numFmtId="0" fontId="110" fillId="0" borderId="1" xfId="8" applyFont="1" applyBorder="1" applyAlignment="1">
      <alignment vertical="center" wrapText="1"/>
    </xf>
    <xf numFmtId="0" fontId="110" fillId="0" borderId="1" xfId="8" applyFont="1" applyBorder="1" applyAlignment="1">
      <alignment horizontal="center" vertical="center" wrapText="1"/>
    </xf>
    <xf numFmtId="9" fontId="256" fillId="0" borderId="1" xfId="8" applyNumberFormat="1" applyFont="1" applyBorder="1" applyAlignment="1">
      <alignment horizontal="center" vertical="center" wrapText="1"/>
    </xf>
    <xf numFmtId="9" fontId="110" fillId="0" borderId="1" xfId="8" applyNumberFormat="1" applyFont="1" applyBorder="1" applyAlignment="1">
      <alignment horizontal="center" vertical="center" wrapText="1"/>
    </xf>
    <xf numFmtId="179" fontId="263" fillId="0" borderId="0" xfId="8" applyNumberFormat="1" applyFont="1">
      <alignment vertical="center"/>
    </xf>
    <xf numFmtId="10" fontId="110" fillId="0" borderId="1" xfId="8" applyNumberFormat="1" applyFont="1" applyBorder="1" applyAlignment="1">
      <alignment horizontal="center" vertical="center" wrapText="1"/>
    </xf>
    <xf numFmtId="9" fontId="110" fillId="23" borderId="1" xfId="8" applyNumberFormat="1" applyFont="1" applyFill="1" applyBorder="1" applyAlignment="1">
      <alignment horizontal="center" vertical="center" wrapText="1"/>
    </xf>
    <xf numFmtId="10" fontId="118" fillId="0" borderId="1" xfId="8" applyNumberFormat="1" applyFont="1" applyBorder="1" applyAlignment="1">
      <alignment horizontal="center" vertical="center" wrapText="1"/>
    </xf>
    <xf numFmtId="0" fontId="110" fillId="0" borderId="1" xfId="8" applyFont="1" applyBorder="1" applyAlignment="1">
      <alignment wrapText="1"/>
    </xf>
    <xf numFmtId="0" fontId="140" fillId="0" borderId="0" xfId="1" applyFont="1" applyAlignment="1" applyProtection="1">
      <alignment horizontal="left" vertical="center"/>
      <protection hidden="1"/>
    </xf>
    <xf numFmtId="179" fontId="263" fillId="0" borderId="0" xfId="8" applyNumberFormat="1" applyFont="1" applyAlignment="1">
      <alignment vertical="center" wrapText="1" shrinkToFit="1"/>
    </xf>
    <xf numFmtId="181" fontId="113" fillId="0" borderId="0" xfId="8" applyNumberFormat="1" applyFont="1" applyAlignment="1">
      <alignment horizontal="center" vertical="center"/>
    </xf>
    <xf numFmtId="179" fontId="95" fillId="0" borderId="0" xfId="8" applyNumberFormat="1">
      <alignment vertical="center"/>
    </xf>
    <xf numFmtId="49" fontId="113" fillId="0" borderId="18" xfId="8" applyNumberFormat="1" applyFont="1" applyBorder="1" applyAlignment="1">
      <alignment horizontal="center" vertical="center" wrapText="1" shrinkToFit="1"/>
    </xf>
    <xf numFmtId="0" fontId="113" fillId="0" borderId="18" xfId="8" applyFont="1" applyBorder="1" applyAlignment="1">
      <alignment vertical="center" wrapText="1" shrinkToFit="1"/>
    </xf>
    <xf numFmtId="0" fontId="113" fillId="0" borderId="2" xfId="8" applyFont="1" applyBorder="1" applyAlignment="1">
      <alignment horizontal="center" vertical="center" wrapText="1" shrinkToFit="1"/>
    </xf>
    <xf numFmtId="0" fontId="113" fillId="0" borderId="51" xfId="8" applyFont="1" applyBorder="1" applyAlignment="1">
      <alignment horizontal="center" vertical="center" wrapText="1" shrinkToFit="1"/>
    </xf>
    <xf numFmtId="180" fontId="113" fillId="0" borderId="51" xfId="8" applyNumberFormat="1" applyFont="1" applyBorder="1" applyAlignment="1">
      <alignment horizontal="center" vertical="center" wrapText="1" shrinkToFit="1"/>
    </xf>
    <xf numFmtId="0" fontId="113" fillId="0" borderId="3" xfId="8" applyFont="1" applyBorder="1" applyAlignment="1">
      <alignment horizontal="left" vertical="center" wrapText="1" shrinkToFit="1"/>
    </xf>
    <xf numFmtId="10" fontId="113" fillId="0" borderId="1" xfId="8" applyNumberFormat="1" applyFont="1" applyBorder="1" applyAlignment="1">
      <alignment horizontal="center" vertical="center" wrapText="1" shrinkToFit="1"/>
    </xf>
    <xf numFmtId="9" fontId="113" fillId="0" borderId="0" xfId="8" applyNumberFormat="1" applyFont="1" applyAlignment="1">
      <alignment horizontal="center" vertical="center"/>
    </xf>
    <xf numFmtId="0" fontId="113" fillId="0" borderId="2" xfId="8" applyFont="1" applyBorder="1" applyAlignment="1">
      <alignment horizontal="right" vertical="center" wrapText="1" shrinkToFit="1"/>
    </xf>
    <xf numFmtId="49" fontId="113" fillId="0" borderId="51" xfId="8" applyNumberFormat="1" applyFont="1" applyBorder="1" applyAlignment="1">
      <alignment horizontal="center" vertical="center" wrapText="1" shrinkToFit="1"/>
    </xf>
    <xf numFmtId="10" fontId="114" fillId="0" borderId="0" xfId="8" applyNumberFormat="1" applyFont="1" applyAlignment="1">
      <alignment horizontal="center" vertical="center"/>
    </xf>
    <xf numFmtId="0" fontId="77" fillId="0" borderId="0" xfId="8" applyFont="1">
      <alignment vertical="center"/>
    </xf>
    <xf numFmtId="183" fontId="113" fillId="0" borderId="0" xfId="8" applyNumberFormat="1" applyFont="1" applyAlignment="1">
      <alignment horizontal="center" vertical="center"/>
    </xf>
    <xf numFmtId="10" fontId="113" fillId="0" borderId="0" xfId="8" applyNumberFormat="1" applyFont="1" applyAlignment="1">
      <alignment horizontal="center" vertical="center"/>
    </xf>
    <xf numFmtId="0" fontId="95" fillId="0" borderId="0" xfId="8" applyAlignment="1">
      <alignment horizontal="left" vertical="center" wrapText="1"/>
    </xf>
    <xf numFmtId="0" fontId="263" fillId="0" borderId="0" xfId="8" applyFont="1" applyAlignment="1">
      <alignment horizontal="center" vertical="center" wrapText="1"/>
    </xf>
    <xf numFmtId="0" fontId="263" fillId="0" borderId="0" xfId="8" applyFont="1" applyAlignment="1">
      <alignment vertical="center" wrapText="1"/>
    </xf>
    <xf numFmtId="0" fontId="148" fillId="0" borderId="1" xfId="8" applyFont="1" applyBorder="1" applyAlignment="1">
      <alignment horizontal="center" vertical="center" wrapText="1"/>
    </xf>
    <xf numFmtId="9" fontId="148" fillId="0" borderId="1" xfId="8" applyNumberFormat="1" applyFont="1" applyBorder="1" applyAlignment="1">
      <alignment horizontal="center" vertical="center" wrapText="1"/>
    </xf>
    <xf numFmtId="178" fontId="148" fillId="0" borderId="1" xfId="8" applyNumberFormat="1" applyFont="1" applyBorder="1" applyAlignment="1">
      <alignment horizontal="center" vertical="center" wrapText="1"/>
    </xf>
    <xf numFmtId="0" fontId="268" fillId="0" borderId="0" xfId="8" applyFont="1" applyAlignment="1">
      <alignment horizontal="center" vertical="center" wrapText="1"/>
    </xf>
    <xf numFmtId="0" fontId="263" fillId="0" borderId="1" xfId="8" applyFont="1" applyBorder="1" applyAlignment="1">
      <alignment horizontal="center" vertical="center" wrapText="1"/>
    </xf>
    <xf numFmtId="0" fontId="263" fillId="0" borderId="0" xfId="8" applyFont="1" applyAlignment="1">
      <alignment horizontal="left" vertical="center" wrapText="1"/>
    </xf>
    <xf numFmtId="179" fontId="263" fillId="0" borderId="0" xfId="8" applyNumberFormat="1" applyFont="1" applyAlignment="1">
      <alignment vertical="center" wrapText="1"/>
    </xf>
    <xf numFmtId="178" fontId="95" fillId="0" borderId="0" xfId="8" applyNumberFormat="1" applyAlignment="1">
      <alignment vertical="center" wrapText="1"/>
    </xf>
    <xf numFmtId="0" fontId="32" fillId="0" borderId="0" xfId="4"/>
    <xf numFmtId="176" fontId="6" fillId="0" borderId="2" xfId="4" applyNumberFormat="1" applyFont="1" applyBorder="1" applyAlignment="1">
      <alignment horizontal="center" vertical="center" wrapText="1"/>
    </xf>
    <xf numFmtId="176" fontId="6" fillId="0" borderId="1" xfId="4" applyNumberFormat="1" applyFont="1" applyBorder="1" applyAlignment="1">
      <alignment horizontal="center" vertical="center" wrapText="1"/>
    </xf>
    <xf numFmtId="0" fontId="6" fillId="0" borderId="1" xfId="4" applyFont="1" applyBorder="1" applyAlignment="1">
      <alignment horizontal="center" vertical="center"/>
    </xf>
    <xf numFmtId="176" fontId="6" fillId="0" borderId="1" xfId="4" applyNumberFormat="1" applyFont="1" applyBorder="1" applyAlignment="1">
      <alignment horizontal="center" vertical="center"/>
    </xf>
    <xf numFmtId="196" fontId="6" fillId="0" borderId="1" xfId="4" applyNumberFormat="1" applyFont="1" applyBorder="1" applyAlignment="1">
      <alignment horizontal="center" vertical="center"/>
    </xf>
    <xf numFmtId="0" fontId="6" fillId="0" borderId="1" xfId="4" applyFont="1" applyBorder="1" applyAlignment="1">
      <alignment horizontal="center"/>
    </xf>
    <xf numFmtId="176" fontId="6" fillId="0" borderId="1" xfId="4" applyNumberFormat="1" applyFont="1" applyBorder="1" applyAlignment="1">
      <alignment horizontal="center"/>
    </xf>
    <xf numFmtId="0" fontId="6" fillId="0" borderId="3" xfId="4" applyFont="1" applyBorder="1" applyAlignment="1">
      <alignment horizontal="center"/>
    </xf>
    <xf numFmtId="179" fontId="6" fillId="0" borderId="1" xfId="4" applyNumberFormat="1" applyFont="1" applyBorder="1" applyAlignment="1">
      <alignment horizontal="center"/>
    </xf>
    <xf numFmtId="0" fontId="267" fillId="0" borderId="1" xfId="4" applyFont="1" applyBorder="1" applyAlignment="1">
      <alignment horizontal="center"/>
    </xf>
    <xf numFmtId="0" fontId="164" fillId="0" borderId="0" xfId="4" applyFont="1" applyAlignment="1">
      <alignment horizontal="center" vertical="center"/>
    </xf>
    <xf numFmtId="0" fontId="270" fillId="0" borderId="0" xfId="4" applyFont="1" applyAlignment="1">
      <alignment horizontal="center" vertical="center" wrapText="1"/>
    </xf>
    <xf numFmtId="0" fontId="270" fillId="0" borderId="0" xfId="4" applyFont="1" applyAlignment="1">
      <alignment horizontal="center" vertical="center"/>
    </xf>
    <xf numFmtId="0" fontId="94" fillId="0" borderId="0" xfId="4" applyFont="1" applyAlignment="1">
      <alignment horizontal="center" vertical="center"/>
    </xf>
    <xf numFmtId="197" fontId="271" fillId="0" borderId="0" xfId="4" applyNumberFormat="1" applyFont="1" applyAlignment="1">
      <alignment horizontal="center" vertical="center"/>
    </xf>
    <xf numFmtId="197" fontId="94" fillId="0" borderId="0" xfId="4" applyNumberFormat="1" applyFont="1" applyAlignment="1">
      <alignment horizontal="center" vertical="center"/>
    </xf>
    <xf numFmtId="0" fontId="270" fillId="0" borderId="0" xfId="4" applyFont="1" applyAlignment="1">
      <alignment vertical="center"/>
    </xf>
    <xf numFmtId="0" fontId="270" fillId="0" borderId="1" xfId="4" applyFont="1" applyBorder="1" applyAlignment="1">
      <alignment horizontal="center" vertical="center"/>
    </xf>
    <xf numFmtId="0" fontId="270" fillId="0" borderId="17" xfId="14" applyNumberFormat="1" applyFont="1" applyBorder="1" applyAlignment="1">
      <alignment horizontal="center" vertical="center" wrapText="1"/>
    </xf>
    <xf numFmtId="0" fontId="276" fillId="0" borderId="1" xfId="14" applyNumberFormat="1" applyFont="1" applyAlignment="1">
      <alignment horizontal="center" vertical="center"/>
    </xf>
    <xf numFmtId="43" fontId="276" fillId="0" borderId="1" xfId="14" applyNumberFormat="1" applyFont="1" applyAlignment="1">
      <alignment horizontal="right" vertical="center"/>
    </xf>
    <xf numFmtId="197" fontId="270" fillId="0" borderId="1" xfId="4" applyNumberFormat="1" applyFont="1" applyBorder="1" applyAlignment="1">
      <alignment horizontal="center" vertical="center"/>
    </xf>
    <xf numFmtId="0" fontId="277" fillId="0" borderId="17" xfId="14" applyNumberFormat="1" applyFont="1" applyBorder="1" applyAlignment="1">
      <alignment horizontal="center" vertical="center" wrapText="1"/>
    </xf>
    <xf numFmtId="0" fontId="276" fillId="0" borderId="1" xfId="15" applyNumberFormat="1" applyFont="1" applyAlignment="1">
      <alignment horizontal="center" vertical="center"/>
    </xf>
    <xf numFmtId="43" fontId="276" fillId="0" borderId="1" xfId="16" applyFont="1" applyFill="1" applyBorder="1" applyAlignment="1">
      <alignment horizontal="center" vertical="center" wrapText="1"/>
    </xf>
    <xf numFmtId="0" fontId="270" fillId="0" borderId="27" xfId="4" applyFont="1" applyBorder="1" applyAlignment="1">
      <alignment horizontal="center" vertical="center" wrapText="1"/>
    </xf>
    <xf numFmtId="43" fontId="276" fillId="26" borderId="1" xfId="14" applyNumberFormat="1" applyFont="1" applyFill="1" applyAlignment="1">
      <alignment horizontal="center" vertical="center"/>
    </xf>
    <xf numFmtId="0" fontId="276" fillId="26" borderId="1" xfId="15" applyNumberFormat="1" applyFont="1" applyFill="1" applyAlignment="1">
      <alignment horizontal="center" vertical="center"/>
    </xf>
    <xf numFmtId="43" fontId="276" fillId="26" borderId="1" xfId="16" applyFont="1" applyFill="1" applyBorder="1" applyAlignment="1">
      <alignment horizontal="center" vertical="center" wrapText="1"/>
    </xf>
    <xf numFmtId="0" fontId="270" fillId="26" borderId="27" xfId="4" applyFont="1" applyFill="1" applyBorder="1" applyAlignment="1">
      <alignment horizontal="center" vertical="center" wrapText="1"/>
    </xf>
    <xf numFmtId="0" fontId="270" fillId="26" borderId="0" xfId="4" applyFont="1" applyFill="1" applyAlignment="1">
      <alignment vertical="center"/>
    </xf>
    <xf numFmtId="0" fontId="276" fillId="0" borderId="17" xfId="14" applyNumberFormat="1" applyFont="1" applyBorder="1" applyAlignment="1">
      <alignment horizontal="center" vertical="center" wrapText="1"/>
    </xf>
    <xf numFmtId="43" fontId="276" fillId="0" borderId="17" xfId="14" applyNumberFormat="1" applyFont="1" applyBorder="1" applyAlignment="1">
      <alignment horizontal="center" vertical="center" wrapText="1"/>
    </xf>
    <xf numFmtId="10" fontId="277" fillId="0" borderId="17" xfId="14" applyNumberFormat="1" applyFont="1" applyBorder="1" applyAlignment="1">
      <alignment horizontal="center" vertical="center" wrapText="1"/>
    </xf>
    <xf numFmtId="0" fontId="276" fillId="0" borderId="17" xfId="15" applyNumberFormat="1" applyFont="1" applyBorder="1" applyAlignment="1">
      <alignment horizontal="center" vertical="center"/>
    </xf>
    <xf numFmtId="0" fontId="32" fillId="0" borderId="1" xfId="4" applyBorder="1" applyAlignment="1">
      <alignment vertical="center"/>
    </xf>
    <xf numFmtId="0" fontId="32" fillId="0" borderId="0" xfId="4" applyAlignment="1">
      <alignment vertical="center"/>
    </xf>
    <xf numFmtId="0" fontId="270" fillId="0" borderId="1" xfId="14" applyNumberFormat="1" applyFont="1" applyAlignment="1">
      <alignment horizontal="center" vertical="center" wrapText="1"/>
    </xf>
    <xf numFmtId="43" fontId="276" fillId="0" borderId="1" xfId="14" applyNumberFormat="1" applyFont="1" applyAlignment="1">
      <alignment horizontal="center" vertical="center"/>
    </xf>
    <xf numFmtId="0" fontId="277" fillId="0" borderId="1" xfId="14" applyNumberFormat="1" applyFont="1" applyAlignment="1">
      <alignment horizontal="center" vertical="center" wrapText="1"/>
    </xf>
    <xf numFmtId="0" fontId="278" fillId="0" borderId="1" xfId="14" applyNumberFormat="1" applyFont="1" applyAlignment="1">
      <alignment horizontal="center" vertical="center"/>
    </xf>
    <xf numFmtId="43" fontId="278" fillId="0" borderId="1" xfId="14" applyNumberFormat="1" applyFont="1" applyAlignment="1">
      <alignment horizontal="center" vertical="center"/>
    </xf>
    <xf numFmtId="177" fontId="278" fillId="0" borderId="1" xfId="16" applyNumberFormat="1" applyFont="1" applyFill="1" applyBorder="1" applyAlignment="1">
      <alignment horizontal="center" vertical="center"/>
    </xf>
    <xf numFmtId="0" fontId="270" fillId="0" borderId="1" xfId="4" applyFont="1" applyBorder="1" applyAlignment="1">
      <alignment vertical="center"/>
    </xf>
    <xf numFmtId="43" fontId="278" fillId="26" borderId="1" xfId="14" applyNumberFormat="1" applyFont="1" applyFill="1" applyAlignment="1">
      <alignment horizontal="center" vertical="center"/>
    </xf>
    <xf numFmtId="43" fontId="276" fillId="26" borderId="1" xfId="16" applyFont="1" applyFill="1" applyBorder="1" applyAlignment="1">
      <alignment vertical="center"/>
    </xf>
    <xf numFmtId="0" fontId="32" fillId="26" borderId="1" xfId="4" applyFill="1" applyBorder="1" applyAlignment="1">
      <alignment vertical="center"/>
    </xf>
    <xf numFmtId="0" fontId="32" fillId="26" borderId="0" xfId="4" applyFill="1" applyAlignment="1">
      <alignment vertical="center"/>
    </xf>
    <xf numFmtId="0" fontId="276" fillId="0" borderId="1" xfId="14" applyNumberFormat="1" applyFont="1" applyAlignment="1">
      <alignment horizontal="center" vertical="center" wrapText="1"/>
    </xf>
    <xf numFmtId="0" fontId="270" fillId="0" borderId="1" xfId="14" applyNumberFormat="1" applyFont="1" applyAlignment="1">
      <alignment horizontal="center" vertical="center"/>
    </xf>
    <xf numFmtId="0" fontId="276" fillId="0" borderId="1" xfId="15" applyNumberFormat="1" applyFont="1" applyAlignment="1">
      <alignment horizontal="center" vertical="center" wrapText="1"/>
    </xf>
    <xf numFmtId="0" fontId="270" fillId="0" borderId="1" xfId="15" applyNumberFormat="1" applyFont="1" applyAlignment="1">
      <alignment horizontal="center" vertical="center" wrapText="1"/>
    </xf>
    <xf numFmtId="0" fontId="270" fillId="0" borderId="1" xfId="14" applyNumberFormat="1" applyFont="1" applyAlignment="1">
      <alignment vertical="center" wrapText="1"/>
    </xf>
    <xf numFmtId="10" fontId="277" fillId="0" borderId="1" xfId="14" applyNumberFormat="1" applyFont="1" applyAlignment="1">
      <alignment horizontal="center" vertical="center" wrapText="1"/>
    </xf>
    <xf numFmtId="44" fontId="279" fillId="0" borderId="1" xfId="17" applyFont="1" applyFill="1" applyBorder="1" applyAlignment="1">
      <alignment horizontal="center" vertical="center"/>
    </xf>
    <xf numFmtId="43" fontId="276" fillId="0" borderId="1" xfId="14" applyNumberFormat="1" applyFont="1" applyAlignment="1">
      <alignment horizontal="center" vertical="center" wrapText="1"/>
    </xf>
    <xf numFmtId="0" fontId="32" fillId="0" borderId="18" xfId="4" applyBorder="1" applyAlignment="1">
      <alignment horizontal="center" vertical="center"/>
    </xf>
    <xf numFmtId="43" fontId="276" fillId="26" borderId="1" xfId="14" applyNumberFormat="1" applyFont="1" applyFill="1" applyAlignment="1">
      <alignment horizontal="center" vertical="center" wrapText="1"/>
    </xf>
    <xf numFmtId="43" fontId="270" fillId="0" borderId="1" xfId="16" applyFont="1" applyFill="1" applyBorder="1" applyAlignment="1">
      <alignment horizontal="center" vertical="center"/>
    </xf>
    <xf numFmtId="177" fontId="276" fillId="0" borderId="1" xfId="16" applyNumberFormat="1" applyFont="1" applyFill="1" applyBorder="1" applyAlignment="1">
      <alignment horizontal="center" vertical="center"/>
    </xf>
    <xf numFmtId="3" fontId="278" fillId="0" borderId="1" xfId="14" applyFont="1" applyAlignment="1">
      <alignment horizontal="center" vertical="center" wrapText="1"/>
    </xf>
    <xf numFmtId="43" fontId="278" fillId="0" borderId="1" xfId="16" applyFont="1" applyFill="1" applyBorder="1" applyAlignment="1">
      <alignment horizontal="center" vertical="center"/>
    </xf>
    <xf numFmtId="43" fontId="276" fillId="0" borderId="1" xfId="16" applyFont="1" applyFill="1" applyBorder="1" applyAlignment="1">
      <alignment horizontal="center" vertical="center"/>
    </xf>
    <xf numFmtId="3" fontId="276" fillId="0" borderId="1" xfId="14" applyFont="1" applyAlignment="1">
      <alignment horizontal="center" vertical="center" wrapText="1"/>
    </xf>
    <xf numFmtId="43" fontId="276" fillId="26" borderId="1" xfId="4" applyNumberFormat="1" applyFont="1" applyFill="1" applyBorder="1" applyAlignment="1">
      <alignment vertical="center"/>
    </xf>
    <xf numFmtId="197" fontId="276" fillId="26" borderId="1" xfId="4" applyNumberFormat="1" applyFont="1" applyFill="1" applyBorder="1" applyAlignment="1">
      <alignment vertical="center"/>
    </xf>
    <xf numFmtId="0" fontId="281" fillId="0" borderId="1" xfId="14" applyNumberFormat="1" applyFont="1" applyAlignment="1">
      <alignment horizontal="center" vertical="center" wrapText="1"/>
    </xf>
    <xf numFmtId="0" fontId="281" fillId="0" borderId="1" xfId="14" applyNumberFormat="1" applyFont="1" applyAlignment="1">
      <alignment horizontal="center" vertical="center"/>
    </xf>
    <xf numFmtId="43" fontId="282" fillId="0" borderId="1" xfId="16" applyFont="1" applyFill="1" applyBorder="1" applyAlignment="1">
      <alignment horizontal="center" vertical="center" wrapText="1"/>
    </xf>
    <xf numFmtId="0" fontId="274" fillId="0" borderId="1" xfId="4" applyFont="1" applyBorder="1" applyAlignment="1">
      <alignment horizontal="center" vertical="center"/>
    </xf>
    <xf numFmtId="197" fontId="270" fillId="0" borderId="3" xfId="4" applyNumberFormat="1" applyFont="1" applyBorder="1" applyAlignment="1">
      <alignment horizontal="center" vertical="center" wrapText="1"/>
    </xf>
    <xf numFmtId="176" fontId="280" fillId="0" borderId="2" xfId="14" applyNumberFormat="1" applyFont="1" applyBorder="1" applyAlignment="1">
      <alignment horizontal="center" vertical="center"/>
    </xf>
    <xf numFmtId="0" fontId="282" fillId="0" borderId="2" xfId="15" applyNumberFormat="1" applyFont="1" applyBorder="1" applyAlignment="1">
      <alignment horizontal="center" vertical="center"/>
    </xf>
    <xf numFmtId="10" fontId="280" fillId="0" borderId="2" xfId="14" applyNumberFormat="1" applyFont="1" applyBorder="1" applyAlignment="1">
      <alignment horizontal="center" vertical="center"/>
    </xf>
    <xf numFmtId="0" fontId="282" fillId="0" borderId="1" xfId="15" applyNumberFormat="1" applyFont="1" applyAlignment="1">
      <alignment horizontal="center" vertical="center"/>
    </xf>
    <xf numFmtId="43" fontId="276" fillId="26" borderId="1" xfId="16" applyFont="1" applyFill="1" applyBorder="1" applyAlignment="1">
      <alignment horizontal="center" vertical="center"/>
    </xf>
    <xf numFmtId="43" fontId="6" fillId="26" borderId="0" xfId="16" applyFont="1" applyFill="1" applyAlignment="1">
      <alignment vertical="center"/>
    </xf>
    <xf numFmtId="0" fontId="270" fillId="0" borderId="0" xfId="4" applyFont="1" applyAlignment="1">
      <alignment vertical="center" wrapText="1"/>
    </xf>
    <xf numFmtId="0" fontId="274" fillId="0" borderId="0" xfId="4" applyFont="1" applyAlignment="1">
      <alignment horizontal="center" vertical="center"/>
    </xf>
    <xf numFmtId="0" fontId="32" fillId="0" borderId="0" xfId="4" applyAlignment="1">
      <alignment horizontal="center" vertical="center"/>
    </xf>
    <xf numFmtId="0" fontId="121" fillId="0" borderId="0" xfId="4" applyFont="1" applyAlignment="1">
      <alignment horizontal="center" vertical="center"/>
    </xf>
    <xf numFmtId="0" fontId="284" fillId="0" borderId="1" xfId="4" applyFont="1" applyBorder="1" applyAlignment="1">
      <alignment horizontal="right" vertical="center" wrapText="1"/>
    </xf>
    <xf numFmtId="43" fontId="285" fillId="26" borderId="1" xfId="14" applyNumberFormat="1" applyFont="1" applyFill="1" applyAlignment="1">
      <alignment horizontal="center" vertical="center"/>
    </xf>
    <xf numFmtId="43" fontId="285" fillId="0" borderId="17" xfId="14" applyNumberFormat="1" applyFont="1" applyBorder="1" applyAlignment="1">
      <alignment vertical="center"/>
    </xf>
    <xf numFmtId="43" fontId="285" fillId="0" borderId="1" xfId="14" applyNumberFormat="1" applyFont="1" applyAlignment="1">
      <alignment horizontal="center" vertical="center"/>
    </xf>
    <xf numFmtId="43" fontId="285" fillId="0" borderId="1" xfId="14" applyNumberFormat="1" applyFont="1" applyAlignment="1">
      <alignment horizontal="center"/>
    </xf>
    <xf numFmtId="43" fontId="285" fillId="26" borderId="1" xfId="14" applyNumberFormat="1" applyFont="1" applyFill="1" applyAlignment="1">
      <alignment horizontal="center" vertical="center" wrapText="1"/>
    </xf>
    <xf numFmtId="43" fontId="285" fillId="0" borderId="1" xfId="16" applyFont="1" applyFill="1" applyBorder="1" applyAlignment="1">
      <alignment horizontal="center" vertical="center"/>
    </xf>
    <xf numFmtId="43" fontId="285" fillId="0" borderId="1" xfId="16" applyFont="1" applyFill="1" applyBorder="1" applyAlignment="1">
      <alignment horizontal="center" vertical="center" wrapText="1"/>
    </xf>
    <xf numFmtId="43" fontId="285" fillId="26" borderId="1" xfId="4" applyNumberFormat="1" applyFont="1" applyFill="1" applyBorder="1" applyAlignment="1">
      <alignment vertical="center"/>
    </xf>
    <xf numFmtId="0" fontId="168" fillId="0" borderId="1" xfId="4" applyFont="1" applyBorder="1" applyAlignment="1">
      <alignment vertical="center"/>
    </xf>
    <xf numFmtId="43" fontId="286" fillId="0" borderId="1" xfId="16" applyFont="1" applyFill="1" applyBorder="1" applyAlignment="1">
      <alignment horizontal="center" vertical="center" wrapText="1"/>
    </xf>
    <xf numFmtId="43" fontId="285" fillId="26" borderId="1" xfId="16" applyFont="1" applyFill="1" applyBorder="1" applyAlignment="1">
      <alignment horizontal="center" vertical="center"/>
    </xf>
    <xf numFmtId="43" fontId="285" fillId="26" borderId="1" xfId="16" applyFont="1" applyFill="1" applyBorder="1" applyAlignment="1">
      <alignment vertical="center"/>
    </xf>
    <xf numFmtId="0" fontId="168" fillId="0" borderId="0" xfId="4" applyFont="1" applyAlignment="1">
      <alignment vertical="center"/>
    </xf>
    <xf numFmtId="43" fontId="286" fillId="0" borderId="0" xfId="16" applyFont="1" applyFill="1" applyBorder="1" applyAlignment="1">
      <alignment horizontal="center" vertical="center" wrapText="1"/>
    </xf>
    <xf numFmtId="0" fontId="287" fillId="0" borderId="17" xfId="14" applyNumberFormat="1" applyFont="1" applyBorder="1" applyAlignment="1">
      <alignment horizontal="center" vertical="center" wrapText="1"/>
    </xf>
    <xf numFmtId="0" fontId="285" fillId="26" borderId="1" xfId="15" applyNumberFormat="1" applyFont="1" applyFill="1" applyAlignment="1">
      <alignment horizontal="center" vertical="center"/>
    </xf>
    <xf numFmtId="0" fontId="287" fillId="0" borderId="1" xfId="14" applyNumberFormat="1" applyFont="1" applyAlignment="1">
      <alignment horizontal="center" vertical="center" wrapText="1"/>
    </xf>
    <xf numFmtId="176" fontId="288" fillId="0" borderId="1" xfId="14" applyNumberFormat="1" applyFont="1" applyAlignment="1">
      <alignment horizontal="center" vertical="center"/>
    </xf>
    <xf numFmtId="176" fontId="288" fillId="0" borderId="2" xfId="14" applyNumberFormat="1" applyFont="1" applyBorder="1" applyAlignment="1">
      <alignment horizontal="center" vertical="center"/>
    </xf>
    <xf numFmtId="0" fontId="168" fillId="0" borderId="0" xfId="4" applyFont="1" applyAlignment="1">
      <alignment horizontal="center" vertical="center"/>
    </xf>
    <xf numFmtId="43" fontId="285" fillId="6" borderId="1" xfId="14" applyNumberFormat="1" applyFont="1" applyFill="1" applyAlignment="1">
      <alignment horizontal="center" vertical="center"/>
    </xf>
    <xf numFmtId="0" fontId="270" fillId="0" borderId="1" xfId="14" applyNumberFormat="1" applyFont="1" applyFill="1" applyAlignment="1">
      <alignment horizontal="center" vertical="center" wrapText="1"/>
    </xf>
    <xf numFmtId="0" fontId="270" fillId="0" borderId="1" xfId="14" applyNumberFormat="1" applyFont="1" applyFill="1" applyAlignment="1">
      <alignment vertical="center" wrapText="1"/>
    </xf>
    <xf numFmtId="0" fontId="276" fillId="0" borderId="1" xfId="14" applyNumberFormat="1" applyFont="1" applyFill="1" applyAlignment="1">
      <alignment horizontal="center" vertical="center"/>
    </xf>
    <xf numFmtId="43" fontId="276" fillId="0" borderId="1" xfId="14" applyNumberFormat="1" applyFont="1" applyFill="1" applyAlignment="1">
      <alignment horizontal="center" vertical="center"/>
    </xf>
    <xf numFmtId="43" fontId="285" fillId="0" borderId="1" xfId="14" applyNumberFormat="1" applyFont="1" applyFill="1" applyAlignment="1">
      <alignment horizontal="center" vertical="center"/>
    </xf>
    <xf numFmtId="197" fontId="270" fillId="0" borderId="1" xfId="4" applyNumberFormat="1" applyFont="1" applyFill="1" applyBorder="1" applyAlignment="1">
      <alignment horizontal="center" vertical="center"/>
    </xf>
    <xf numFmtId="0" fontId="287" fillId="0" borderId="1" xfId="4" applyFont="1" applyFill="1" applyBorder="1" applyAlignment="1">
      <alignment horizontal="center" vertical="center"/>
    </xf>
    <xf numFmtId="0" fontId="277" fillId="0" borderId="1" xfId="4" applyFont="1" applyFill="1" applyBorder="1" applyAlignment="1">
      <alignment horizontal="center" vertical="center"/>
    </xf>
    <xf numFmtId="0" fontId="276" fillId="0" borderId="1" xfId="15" applyNumberFormat="1" applyFont="1" applyFill="1" applyAlignment="1">
      <alignment horizontal="center" vertical="center"/>
    </xf>
    <xf numFmtId="0" fontId="284" fillId="0" borderId="1" xfId="14" applyNumberFormat="1" applyFont="1" applyAlignment="1">
      <alignment vertical="center" wrapText="1"/>
    </xf>
    <xf numFmtId="197" fontId="284" fillId="0" borderId="1" xfId="4" applyNumberFormat="1" applyFont="1" applyBorder="1" applyAlignment="1">
      <alignment horizontal="center" vertical="center"/>
    </xf>
    <xf numFmtId="10" fontId="287" fillId="0" borderId="1" xfId="14" applyNumberFormat="1" applyFont="1" applyAlignment="1">
      <alignment horizontal="center" vertical="center" wrapText="1"/>
    </xf>
    <xf numFmtId="0" fontId="285" fillId="0" borderId="1" xfId="15" applyNumberFormat="1" applyFont="1" applyAlignment="1">
      <alignment horizontal="center" vertical="center"/>
    </xf>
    <xf numFmtId="44" fontId="284" fillId="0" borderId="1" xfId="17" applyFont="1" applyFill="1" applyBorder="1" applyAlignment="1">
      <alignment horizontal="center" vertical="center"/>
    </xf>
    <xf numFmtId="177" fontId="285" fillId="0" borderId="1" xfId="16" applyNumberFormat="1" applyFont="1" applyFill="1" applyBorder="1" applyAlignment="1">
      <alignment horizontal="center" vertical="center"/>
    </xf>
    <xf numFmtId="0" fontId="284" fillId="0" borderId="1" xfId="14" applyNumberFormat="1" applyFont="1" applyAlignment="1">
      <alignment horizontal="center" vertical="center"/>
    </xf>
    <xf numFmtId="3" fontId="285" fillId="0" borderId="1" xfId="14" applyFont="1" applyAlignment="1">
      <alignment horizontal="center" vertical="center"/>
    </xf>
    <xf numFmtId="0" fontId="284" fillId="0" borderId="1" xfId="15" applyNumberFormat="1" applyFont="1" applyAlignment="1">
      <alignment horizontal="center" vertical="center"/>
    </xf>
    <xf numFmtId="0" fontId="285" fillId="0" borderId="1" xfId="14" applyNumberFormat="1" applyFont="1" applyAlignment="1">
      <alignment horizontal="center" vertical="center" wrapText="1"/>
    </xf>
    <xf numFmtId="43" fontId="285" fillId="0" borderId="1" xfId="14" applyNumberFormat="1" applyFont="1" applyAlignment="1">
      <alignment horizontal="center" vertical="center" wrapText="1"/>
    </xf>
    <xf numFmtId="197" fontId="284" fillId="0" borderId="18" xfId="4" applyNumberFormat="1" applyFont="1" applyBorder="1" applyAlignment="1">
      <alignment horizontal="center" vertical="center"/>
    </xf>
    <xf numFmtId="0" fontId="283" fillId="6" borderId="1" xfId="4" applyFont="1" applyFill="1" applyBorder="1" applyAlignment="1">
      <alignment horizontal="center"/>
    </xf>
    <xf numFmtId="176" fontId="283" fillId="6" borderId="1" xfId="4" applyNumberFormat="1" applyFont="1" applyFill="1" applyBorder="1" applyAlignment="1">
      <alignment horizontal="center" vertical="center"/>
    </xf>
    <xf numFmtId="176" fontId="283" fillId="6" borderId="1" xfId="4" applyNumberFormat="1" applyFont="1" applyFill="1" applyBorder="1" applyAlignment="1">
      <alignment horizontal="center"/>
    </xf>
    <xf numFmtId="196" fontId="283" fillId="6" borderId="1" xfId="4" applyNumberFormat="1" applyFont="1" applyFill="1" applyBorder="1" applyAlignment="1">
      <alignment horizontal="center" vertical="center"/>
    </xf>
    <xf numFmtId="49" fontId="242" fillId="0" borderId="31" xfId="0" applyNumberFormat="1" applyFont="1" applyBorder="1" applyAlignment="1" applyProtection="1">
      <alignment vertical="center" wrapText="1"/>
      <protection locked="0"/>
    </xf>
    <xf numFmtId="49" fontId="242" fillId="0" borderId="6" xfId="0" applyNumberFormat="1" applyFont="1" applyBorder="1" applyAlignment="1" applyProtection="1">
      <alignment vertical="center" wrapText="1"/>
      <protection locked="0"/>
    </xf>
    <xf numFmtId="49" fontId="243" fillId="0" borderId="6" xfId="0" applyNumberFormat="1"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0" fontId="289" fillId="0" borderId="43" xfId="0" applyFont="1" applyBorder="1" applyProtection="1">
      <alignment vertical="center"/>
      <protection locked="0"/>
    </xf>
    <xf numFmtId="0" fontId="18" fillId="0" borderId="0" xfId="18" applyFont="1" applyAlignment="1">
      <alignment horizontal="left" vertical="center" wrapText="1"/>
    </xf>
    <xf numFmtId="0" fontId="18" fillId="0" borderId="0" xfId="18" applyFont="1" applyAlignment="1">
      <alignment horizontal="center" vertical="center"/>
    </xf>
    <xf numFmtId="0" fontId="18" fillId="0" borderId="0" xfId="18" applyFont="1" applyAlignment="1">
      <alignment horizontal="center" vertical="center" wrapText="1"/>
    </xf>
    <xf numFmtId="197" fontId="18" fillId="0" borderId="0" xfId="18" applyNumberFormat="1" applyFont="1" applyAlignment="1">
      <alignment horizontal="center" vertical="center"/>
    </xf>
    <xf numFmtId="43" fontId="18" fillId="0" borderId="0" xfId="19" applyFont="1" applyFill="1" applyBorder="1" applyAlignment="1">
      <alignment horizontal="center" vertical="center" wrapText="1"/>
    </xf>
    <xf numFmtId="43" fontId="18" fillId="27" borderId="0" xfId="19" applyFont="1" applyFill="1" applyBorder="1" applyAlignment="1">
      <alignment horizontal="center" vertical="center" wrapText="1"/>
    </xf>
    <xf numFmtId="0" fontId="91" fillId="0" borderId="4" xfId="18" applyFont="1" applyBorder="1" applyAlignment="1">
      <alignment horizontal="center" vertical="center"/>
    </xf>
    <xf numFmtId="0" fontId="2" fillId="0" borderId="0" xfId="18" applyAlignment="1">
      <alignment vertical="center"/>
    </xf>
    <xf numFmtId="0" fontId="238" fillId="0" borderId="7" xfId="18" applyFont="1" applyBorder="1" applyAlignment="1">
      <alignment horizontal="center" vertical="center" wrapText="1"/>
    </xf>
    <xf numFmtId="0" fontId="238" fillId="0" borderId="1" xfId="18" applyFont="1" applyBorder="1" applyAlignment="1">
      <alignment horizontal="center" vertical="center" wrapText="1"/>
    </xf>
    <xf numFmtId="176" fontId="238" fillId="0" borderId="1" xfId="18" applyNumberFormat="1" applyFont="1" applyBorder="1" applyAlignment="1">
      <alignment horizontal="center" vertical="center" wrapText="1"/>
    </xf>
    <xf numFmtId="43" fontId="238" fillId="0" borderId="1" xfId="18" applyNumberFormat="1" applyFont="1" applyBorder="1" applyAlignment="1">
      <alignment horizontal="center" vertical="center" wrapText="1"/>
    </xf>
    <xf numFmtId="43" fontId="238" fillId="0" borderId="1" xfId="20" applyFont="1" applyFill="1" applyBorder="1" applyAlignment="1">
      <alignment horizontal="center" vertical="center" wrapText="1"/>
    </xf>
    <xf numFmtId="43" fontId="238" fillId="0" borderId="6" xfId="20" applyFont="1" applyFill="1" applyBorder="1" applyAlignment="1">
      <alignment horizontal="center" vertical="center" wrapText="1"/>
    </xf>
    <xf numFmtId="43" fontId="238" fillId="0" borderId="3" xfId="18" applyNumberFormat="1" applyFont="1" applyBorder="1" applyAlignment="1">
      <alignment horizontal="center" vertical="center" wrapText="1"/>
    </xf>
    <xf numFmtId="197" fontId="238" fillId="0" borderId="1" xfId="18" applyNumberFormat="1" applyFont="1" applyBorder="1" applyAlignment="1">
      <alignment horizontal="center" vertical="center" wrapText="1"/>
    </xf>
    <xf numFmtId="43" fontId="238" fillId="27" borderId="1" xfId="20" applyFont="1" applyFill="1" applyBorder="1" applyAlignment="1">
      <alignment horizontal="center" vertical="center" wrapText="1"/>
    </xf>
    <xf numFmtId="43" fontId="238" fillId="28" borderId="1" xfId="20" applyFont="1" applyFill="1" applyBorder="1" applyAlignment="1">
      <alignment horizontal="center" vertical="center" wrapText="1"/>
    </xf>
    <xf numFmtId="43" fontId="238" fillId="28" borderId="2" xfId="20" applyFont="1" applyFill="1" applyBorder="1" applyAlignment="1">
      <alignment horizontal="center" vertical="center" wrapText="1"/>
    </xf>
    <xf numFmtId="0" fontId="18" fillId="0" borderId="7" xfId="18" applyFont="1" applyBorder="1" applyAlignment="1">
      <alignment horizontal="center" vertical="center" wrapText="1"/>
    </xf>
    <xf numFmtId="0" fontId="18" fillId="0" borderId="1" xfId="18" applyFont="1" applyBorder="1" applyAlignment="1">
      <alignment horizontal="left" vertical="center" wrapText="1"/>
    </xf>
    <xf numFmtId="0" fontId="18" fillId="0" borderId="1" xfId="18" applyFont="1" applyBorder="1" applyAlignment="1">
      <alignment horizontal="center" vertical="center" wrapText="1"/>
    </xf>
    <xf numFmtId="43" fontId="18" fillId="0" borderId="1" xfId="19" applyFont="1" applyFill="1" applyBorder="1" applyAlignment="1">
      <alignment horizontal="center" vertical="center" wrapText="1"/>
    </xf>
    <xf numFmtId="0" fontId="18" fillId="0" borderId="6" xfId="18" applyFont="1" applyBorder="1" applyAlignment="1">
      <alignment horizontal="left" vertical="center" wrapText="1"/>
    </xf>
    <xf numFmtId="0" fontId="18" fillId="0" borderId="3" xfId="18" applyFont="1" applyBorder="1" applyAlignment="1">
      <alignment horizontal="center" vertical="center"/>
    </xf>
    <xf numFmtId="0" fontId="18" fillId="0" borderId="1" xfId="18" applyFont="1" applyBorder="1" applyAlignment="1">
      <alignment horizontal="center" vertical="center"/>
    </xf>
    <xf numFmtId="197" fontId="18" fillId="0" borderId="1" xfId="18" applyNumberFormat="1" applyFont="1" applyBorder="1" applyAlignment="1">
      <alignment horizontal="center" vertical="center"/>
    </xf>
    <xf numFmtId="43" fontId="18" fillId="0" borderId="19" xfId="19" applyFont="1" applyFill="1" applyBorder="1" applyAlignment="1">
      <alignment horizontal="center" vertical="center" wrapText="1"/>
    </xf>
    <xf numFmtId="43" fontId="18" fillId="27" borderId="1" xfId="19" applyFont="1" applyFill="1" applyBorder="1" applyAlignment="1">
      <alignment horizontal="center" vertical="center" wrapText="1"/>
    </xf>
    <xf numFmtId="43" fontId="18" fillId="0" borderId="3" xfId="19" applyFont="1" applyFill="1" applyBorder="1" applyAlignment="1">
      <alignment horizontal="center" vertical="center" wrapText="1"/>
    </xf>
    <xf numFmtId="43" fontId="18" fillId="28" borderId="1" xfId="19" applyFont="1" applyFill="1" applyBorder="1" applyAlignment="1">
      <alignment horizontal="center" vertical="center" wrapText="1"/>
    </xf>
    <xf numFmtId="43" fontId="18" fillId="28" borderId="2" xfId="19" applyFont="1" applyFill="1" applyBorder="1" applyAlignment="1">
      <alignment horizontal="center" vertical="center" wrapText="1"/>
    </xf>
    <xf numFmtId="43" fontId="18" fillId="27" borderId="2" xfId="19" applyFont="1" applyFill="1" applyBorder="1" applyAlignment="1">
      <alignment horizontal="center" vertical="center" wrapText="1"/>
    </xf>
    <xf numFmtId="43" fontId="18" fillId="0" borderId="7" xfId="19" applyFont="1" applyFill="1" applyBorder="1" applyAlignment="1">
      <alignment horizontal="center" vertical="center" wrapText="1"/>
    </xf>
    <xf numFmtId="0" fontId="18" fillId="29" borderId="0" xfId="18" applyFont="1" applyFill="1" applyAlignment="1">
      <alignment horizontal="center" vertical="center"/>
    </xf>
    <xf numFmtId="0" fontId="18" fillId="0" borderId="18" xfId="18" applyFont="1" applyBorder="1" applyAlignment="1">
      <alignment horizontal="center" vertical="center"/>
    </xf>
    <xf numFmtId="0" fontId="18" fillId="0" borderId="18" xfId="18" applyFont="1" applyBorder="1" applyAlignment="1">
      <alignment horizontal="center" vertical="center" wrapText="1"/>
    </xf>
    <xf numFmtId="43" fontId="18" fillId="0" borderId="16" xfId="19" applyFont="1" applyFill="1" applyBorder="1" applyAlignment="1">
      <alignment horizontal="center" vertical="center" wrapText="1"/>
    </xf>
    <xf numFmtId="43" fontId="18" fillId="0" borderId="18" xfId="19" applyFont="1" applyFill="1" applyBorder="1" applyAlignment="1">
      <alignment horizontal="center" vertical="center" wrapText="1"/>
    </xf>
    <xf numFmtId="43" fontId="18" fillId="30" borderId="18" xfId="19" applyFont="1" applyFill="1" applyBorder="1" applyAlignment="1">
      <alignment horizontal="center" vertical="center" wrapText="1"/>
    </xf>
    <xf numFmtId="0" fontId="18" fillId="0" borderId="16" xfId="18" applyFont="1" applyBorder="1" applyAlignment="1">
      <alignment horizontal="center" vertical="center" wrapText="1"/>
    </xf>
    <xf numFmtId="0" fontId="18" fillId="0" borderId="27" xfId="18" applyFont="1" applyBorder="1" applyAlignment="1">
      <alignment horizontal="center" vertical="center"/>
    </xf>
    <xf numFmtId="197" fontId="18" fillId="0" borderId="18" xfId="18" applyNumberFormat="1" applyFont="1" applyBorder="1" applyAlignment="1">
      <alignment horizontal="center" vertical="center"/>
    </xf>
    <xf numFmtId="43" fontId="18" fillId="27" borderId="18" xfId="19" applyFont="1" applyFill="1" applyBorder="1" applyAlignment="1">
      <alignment horizontal="center" vertical="center" wrapText="1"/>
    </xf>
    <xf numFmtId="43" fontId="18" fillId="27" borderId="35" xfId="19" applyFont="1" applyFill="1" applyBorder="1" applyAlignment="1">
      <alignment horizontal="center" vertical="center" wrapText="1"/>
    </xf>
    <xf numFmtId="0" fontId="138" fillId="31" borderId="8" xfId="18" applyFont="1" applyFill="1" applyBorder="1" applyAlignment="1">
      <alignment horizontal="center" vertical="center"/>
    </xf>
    <xf numFmtId="0" fontId="138" fillId="31" borderId="61" xfId="18" applyFont="1" applyFill="1" applyBorder="1" applyAlignment="1">
      <alignment horizontal="center" vertical="center"/>
    </xf>
    <xf numFmtId="43" fontId="138" fillId="31" borderId="61" xfId="18" applyNumberFormat="1" applyFont="1" applyFill="1" applyBorder="1" applyAlignment="1">
      <alignment horizontal="center" vertical="center"/>
    </xf>
    <xf numFmtId="43" fontId="138" fillId="31" borderId="61" xfId="19" applyFont="1" applyFill="1" applyBorder="1" applyAlignment="1">
      <alignment horizontal="center" vertical="center"/>
    </xf>
    <xf numFmtId="0" fontId="138" fillId="31" borderId="43" xfId="18" applyFont="1" applyFill="1" applyBorder="1" applyAlignment="1">
      <alignment horizontal="center" vertical="center"/>
    </xf>
    <xf numFmtId="0" fontId="18" fillId="31" borderId="56" xfId="18" applyFont="1" applyFill="1" applyBorder="1" applyAlignment="1">
      <alignment horizontal="center" vertical="center"/>
    </xf>
    <xf numFmtId="0" fontId="18" fillId="31" borderId="61" xfId="18" applyFont="1" applyFill="1" applyBorder="1" applyAlignment="1">
      <alignment horizontal="center" vertical="center"/>
    </xf>
    <xf numFmtId="0" fontId="18" fillId="31" borderId="61" xfId="18" applyFont="1" applyFill="1" applyBorder="1" applyAlignment="1">
      <alignment horizontal="center" vertical="center" wrapText="1"/>
    </xf>
    <xf numFmtId="197" fontId="18" fillId="31" borderId="61" xfId="18" applyNumberFormat="1" applyFont="1" applyFill="1" applyBorder="1" applyAlignment="1">
      <alignment horizontal="center" vertical="center"/>
    </xf>
    <xf numFmtId="43" fontId="138" fillId="31" borderId="8" xfId="19" applyFont="1" applyFill="1" applyBorder="1" applyAlignment="1">
      <alignment horizontal="center" vertical="center"/>
    </xf>
    <xf numFmtId="43" fontId="138" fillId="31" borderId="44" xfId="19" applyFont="1" applyFill="1" applyBorder="1" applyAlignment="1">
      <alignment horizontal="center" vertical="center"/>
    </xf>
    <xf numFmtId="0" fontId="2" fillId="0" borderId="0" xfId="18"/>
    <xf numFmtId="0" fontId="18" fillId="6" borderId="7" xfId="18" applyFont="1" applyFill="1" applyBorder="1" applyAlignment="1">
      <alignment horizontal="center" vertical="center" wrapText="1"/>
    </xf>
    <xf numFmtId="0" fontId="18" fillId="6" borderId="1" xfId="18" applyFont="1" applyFill="1" applyBorder="1" applyAlignment="1">
      <alignment horizontal="left" vertical="center" wrapText="1"/>
    </xf>
    <xf numFmtId="0" fontId="18" fillId="6" borderId="1" xfId="18" applyFont="1" applyFill="1" applyBorder="1" applyAlignment="1">
      <alignment horizontal="center" vertical="center" wrapText="1"/>
    </xf>
    <xf numFmtId="43" fontId="18" fillId="6" borderId="1" xfId="19" applyFont="1" applyFill="1" applyBorder="1" applyAlignment="1">
      <alignment horizontal="center" vertical="center" wrapText="1"/>
    </xf>
    <xf numFmtId="0" fontId="145" fillId="0" borderId="7" xfId="18" applyFont="1" applyBorder="1" applyAlignment="1">
      <alignment horizontal="center" vertical="center" wrapText="1"/>
    </xf>
    <xf numFmtId="0" fontId="145" fillId="0" borderId="1" xfId="18" applyFont="1" applyBorder="1" applyAlignment="1">
      <alignment horizontal="left" vertical="center" wrapText="1"/>
    </xf>
    <xf numFmtId="0" fontId="145" fillId="0" borderId="1" xfId="18" applyFont="1" applyBorder="1" applyAlignment="1">
      <alignment horizontal="center" vertical="center" wrapText="1"/>
    </xf>
    <xf numFmtId="43" fontId="145" fillId="0" borderId="1" xfId="19" applyFont="1" applyFill="1" applyBorder="1" applyAlignment="1">
      <alignment horizontal="center" vertical="center" wrapText="1"/>
    </xf>
    <xf numFmtId="0" fontId="95" fillId="0" borderId="0" xfId="8" applyAlignment="1">
      <alignment horizontal="center" vertical="center"/>
    </xf>
    <xf numFmtId="10" fontId="95" fillId="0" borderId="0" xfId="8" applyNumberFormat="1" applyAlignment="1">
      <alignment horizontal="center" vertical="center"/>
    </xf>
    <xf numFmtId="0" fontId="95" fillId="0" borderId="0" xfId="8" applyAlignment="1">
      <alignment horizontal="center" vertical="center" wrapText="1"/>
    </xf>
    <xf numFmtId="0" fontId="95" fillId="0" borderId="1" xfId="8" applyBorder="1" applyAlignment="1">
      <alignment horizontal="center" vertical="center" wrapText="1" shrinkToFit="1"/>
    </xf>
    <xf numFmtId="0" fontId="6" fillId="0" borderId="1" xfId="4" applyFont="1" applyFill="1" applyBorder="1" applyAlignment="1">
      <alignment horizontal="center"/>
    </xf>
    <xf numFmtId="176" fontId="6" fillId="0" borderId="1" xfId="4" applyNumberFormat="1" applyFont="1" applyFill="1" applyBorder="1" applyAlignment="1">
      <alignment horizontal="center" vertical="center"/>
    </xf>
    <xf numFmtId="176" fontId="6" fillId="0" borderId="1" xfId="4" applyNumberFormat="1" applyFont="1" applyFill="1" applyBorder="1" applyAlignment="1">
      <alignment horizontal="center"/>
    </xf>
    <xf numFmtId="196" fontId="6" fillId="0" borderId="1" xfId="4" applyNumberFormat="1" applyFont="1" applyFill="1" applyBorder="1" applyAlignment="1">
      <alignment horizontal="center" vertical="center"/>
    </xf>
    <xf numFmtId="0" fontId="32" fillId="0" borderId="0" xfId="4" applyFill="1"/>
    <xf numFmtId="0" fontId="283" fillId="0" borderId="1" xfId="4" applyFont="1" applyFill="1" applyBorder="1" applyAlignment="1">
      <alignment horizontal="center"/>
    </xf>
    <xf numFmtId="176" fontId="283" fillId="0" borderId="1" xfId="4" applyNumberFormat="1" applyFont="1" applyFill="1" applyBorder="1" applyAlignment="1">
      <alignment horizontal="center" vertical="center"/>
    </xf>
    <xf numFmtId="176" fontId="283" fillId="0" borderId="1" xfId="4" applyNumberFormat="1" applyFont="1" applyFill="1" applyBorder="1" applyAlignment="1">
      <alignment horizontal="center"/>
    </xf>
    <xf numFmtId="196" fontId="283" fillId="0" borderId="1" xfId="4" applyNumberFormat="1" applyFont="1" applyFill="1" applyBorder="1" applyAlignment="1">
      <alignment horizontal="center" vertical="center"/>
    </xf>
    <xf numFmtId="0" fontId="6" fillId="0" borderId="3" xfId="4" applyFont="1" applyFill="1" applyBorder="1" applyAlignment="1">
      <alignment horizontal="center"/>
    </xf>
    <xf numFmtId="0" fontId="284" fillId="0" borderId="1" xfId="14" applyNumberFormat="1" applyFont="1" applyFill="1" applyAlignment="1">
      <alignment horizontal="left" vertical="center"/>
    </xf>
    <xf numFmtId="0" fontId="284" fillId="0" borderId="1" xfId="14" applyNumberFormat="1" applyFont="1" applyFill="1" applyAlignment="1">
      <alignment vertical="center" wrapText="1"/>
    </xf>
    <xf numFmtId="0" fontId="285" fillId="0" borderId="1" xfId="14" applyNumberFormat="1" applyFont="1" applyFill="1" applyAlignment="1">
      <alignment horizontal="center" vertical="center"/>
    </xf>
    <xf numFmtId="197" fontId="284" fillId="0" borderId="1" xfId="4" applyNumberFormat="1" applyFont="1" applyFill="1" applyBorder="1" applyAlignment="1">
      <alignment horizontal="center" vertical="center"/>
    </xf>
    <xf numFmtId="0" fontId="287" fillId="0" borderId="1" xfId="14" applyNumberFormat="1" applyFont="1" applyFill="1" applyAlignment="1">
      <alignment horizontal="center" vertical="center" wrapText="1"/>
    </xf>
    <xf numFmtId="10" fontId="287" fillId="0" borderId="1" xfId="14" applyNumberFormat="1" applyFont="1" applyFill="1" applyAlignment="1">
      <alignment horizontal="center" vertical="center" wrapText="1"/>
    </xf>
    <xf numFmtId="0" fontId="285" fillId="0" borderId="1" xfId="15" applyNumberFormat="1" applyFont="1" applyFill="1" applyAlignment="1">
      <alignment horizontal="center" vertical="center"/>
    </xf>
    <xf numFmtId="43" fontId="285" fillId="6" borderId="1" xfId="14" applyNumberFormat="1" applyFont="1" applyFill="1" applyAlignment="1">
      <alignment horizontal="center" vertical="center" wrapText="1"/>
    </xf>
    <xf numFmtId="43" fontId="285" fillId="6" borderId="1" xfId="14" applyNumberFormat="1" applyFont="1" applyFill="1" applyAlignment="1">
      <alignment vertical="center"/>
    </xf>
    <xf numFmtId="0" fontId="137" fillId="0" borderId="46" xfId="0" applyNumberFormat="1" applyFont="1" applyFill="1" applyBorder="1" applyAlignment="1" applyProtection="1">
      <alignment horizontal="left" vertical="center" wrapText="1"/>
      <protection locked="0"/>
    </xf>
    <xf numFmtId="0" fontId="94" fillId="0" borderId="11" xfId="0" applyNumberFormat="1" applyFont="1" applyFill="1" applyBorder="1" applyAlignment="1" applyProtection="1">
      <alignment horizontal="left" vertical="center" wrapText="1"/>
      <protection locked="0"/>
    </xf>
    <xf numFmtId="0" fontId="291" fillId="0" borderId="32" xfId="0" applyNumberFormat="1" applyFont="1" applyFill="1" applyBorder="1" applyAlignment="1" applyProtection="1">
      <alignment horizontal="left" vertical="center" wrapText="1"/>
      <protection locked="0"/>
    </xf>
    <xf numFmtId="0" fontId="294" fillId="32" borderId="1" xfId="8" applyFont="1" applyFill="1" applyBorder="1" applyAlignment="1">
      <alignment horizontal="center" vertical="center" wrapText="1"/>
    </xf>
    <xf numFmtId="0" fontId="295" fillId="13" borderId="1" xfId="8" applyFont="1" applyFill="1" applyBorder="1" applyAlignment="1">
      <alignment horizontal="center" vertical="center" wrapText="1"/>
    </xf>
    <xf numFmtId="0" fontId="292" fillId="13" borderId="1" xfId="21" applyFill="1" applyBorder="1" applyAlignment="1">
      <alignment horizontal="center" vertical="center" wrapText="1"/>
    </xf>
    <xf numFmtId="10" fontId="296" fillId="13" borderId="1" xfId="8" applyNumberFormat="1" applyFont="1" applyFill="1" applyBorder="1" applyAlignment="1">
      <alignment horizontal="center" vertical="center" wrapText="1"/>
    </xf>
    <xf numFmtId="10" fontId="297" fillId="13" borderId="1" xfId="8" applyNumberFormat="1" applyFont="1" applyFill="1" applyBorder="1" applyAlignment="1">
      <alignment horizontal="center" vertical="center" wrapText="1"/>
    </xf>
    <xf numFmtId="0" fontId="95" fillId="33" borderId="0" xfId="8" applyFill="1" applyAlignment="1">
      <alignment horizontal="center" vertical="center"/>
    </xf>
    <xf numFmtId="10" fontId="95" fillId="33" borderId="0" xfId="8" applyNumberFormat="1" applyFill="1" applyAlignment="1">
      <alignment horizontal="center" vertical="center"/>
    </xf>
    <xf numFmtId="10" fontId="95" fillId="33" borderId="0" xfId="8" applyNumberFormat="1" applyFill="1">
      <alignment vertical="center"/>
    </xf>
    <xf numFmtId="0" fontId="95" fillId="33" borderId="0" xfId="8" applyFill="1">
      <alignment vertical="center"/>
    </xf>
    <xf numFmtId="0" fontId="95" fillId="33" borderId="0" xfId="8" applyFill="1" applyAlignment="1">
      <alignment vertical="center" wrapText="1"/>
    </xf>
    <xf numFmtId="9" fontId="95" fillId="33" borderId="0" xfId="8" applyNumberFormat="1" applyFill="1" applyAlignment="1">
      <alignment horizontal="center" vertical="center"/>
    </xf>
    <xf numFmtId="0" fontId="95" fillId="34" borderId="0" xfId="8" applyFill="1" applyAlignment="1">
      <alignment horizontal="center" vertical="center"/>
    </xf>
    <xf numFmtId="0" fontId="95" fillId="34" borderId="0" xfId="8" applyFill="1">
      <alignment vertical="center"/>
    </xf>
    <xf numFmtId="0" fontId="95" fillId="22" borderId="0" xfId="8" applyFill="1">
      <alignment vertical="center"/>
    </xf>
    <xf numFmtId="0" fontId="95" fillId="22" borderId="0" xfId="8" applyFill="1" applyAlignment="1">
      <alignment horizontal="center" vertical="center"/>
    </xf>
    <xf numFmtId="10" fontId="95" fillId="34" borderId="0" xfId="8" applyNumberFormat="1" applyFill="1" applyAlignment="1">
      <alignment horizontal="center" vertical="center"/>
    </xf>
    <xf numFmtId="0" fontId="95" fillId="22" borderId="0" xfId="8" applyFill="1" applyAlignment="1">
      <alignment vertical="center" wrapText="1"/>
    </xf>
    <xf numFmtId="10" fontId="95" fillId="34" borderId="0" xfId="8" applyNumberFormat="1" applyFill="1">
      <alignment vertical="center"/>
    </xf>
    <xf numFmtId="10" fontId="95" fillId="22" borderId="0" xfId="8" applyNumberFormat="1" applyFill="1" applyAlignment="1">
      <alignment horizontal="center" vertical="center"/>
    </xf>
    <xf numFmtId="0" fontId="95" fillId="35" borderId="0" xfId="8" applyFill="1">
      <alignment vertical="center"/>
    </xf>
    <xf numFmtId="0" fontId="95" fillId="36" borderId="0" xfId="8" applyFill="1">
      <alignment vertical="center"/>
    </xf>
    <xf numFmtId="0" fontId="95" fillId="36" borderId="0" xfId="8" applyFill="1" applyAlignment="1">
      <alignment horizontal="center" vertical="center"/>
    </xf>
    <xf numFmtId="10" fontId="95" fillId="36" borderId="0" xfId="8" applyNumberFormat="1" applyFill="1" applyAlignment="1">
      <alignment horizontal="center" vertical="center"/>
    </xf>
    <xf numFmtId="0" fontId="95" fillId="35" borderId="0" xfId="8" applyFill="1" applyAlignment="1">
      <alignment horizontal="center" vertical="center"/>
    </xf>
    <xf numFmtId="10" fontId="95" fillId="35" borderId="0" xfId="8" applyNumberFormat="1" applyFill="1" applyAlignment="1">
      <alignment horizontal="center" vertical="center"/>
    </xf>
    <xf numFmtId="0" fontId="95" fillId="38" borderId="180" xfId="8" applyFill="1" applyBorder="1" applyAlignment="1">
      <alignment horizontal="center" vertical="center"/>
    </xf>
    <xf numFmtId="0" fontId="95" fillId="38" borderId="180" xfId="8" applyFill="1" applyBorder="1" applyAlignment="1">
      <alignment horizontal="center" vertical="center" wrapText="1"/>
    </xf>
    <xf numFmtId="0" fontId="95" fillId="39" borderId="180" xfId="8" applyFill="1" applyBorder="1" applyAlignment="1">
      <alignment horizontal="center" vertical="center"/>
    </xf>
    <xf numFmtId="0" fontId="95" fillId="39" borderId="180" xfId="8" applyFill="1" applyBorder="1" applyAlignment="1">
      <alignment horizontal="center" vertical="center" wrapText="1"/>
    </xf>
    <xf numFmtId="10" fontId="95" fillId="0" borderId="180" xfId="8" applyNumberFormat="1" applyBorder="1" applyAlignment="1">
      <alignment horizontal="center" vertical="center"/>
    </xf>
    <xf numFmtId="0" fontId="95" fillId="0" borderId="180" xfId="8" applyBorder="1" applyAlignment="1">
      <alignment horizontal="center" vertical="center"/>
    </xf>
    <xf numFmtId="9" fontId="0" fillId="0" borderId="0" xfId="22" applyFont="1" applyAlignment="1">
      <alignment horizontal="center" vertical="center"/>
    </xf>
    <xf numFmtId="10" fontId="95" fillId="33" borderId="180" xfId="8" applyNumberFormat="1" applyFill="1" applyBorder="1" applyAlignment="1">
      <alignment horizontal="center" vertical="center"/>
    </xf>
    <xf numFmtId="0" fontId="95" fillId="33" borderId="180" xfId="8" applyFill="1" applyBorder="1" applyAlignment="1">
      <alignment horizontal="center" vertical="center"/>
    </xf>
    <xf numFmtId="10" fontId="95" fillId="22" borderId="180" xfId="8" applyNumberFormat="1" applyFill="1" applyBorder="1" applyAlignment="1">
      <alignment horizontal="center" vertical="center"/>
    </xf>
    <xf numFmtId="9" fontId="95" fillId="22" borderId="180" xfId="8" applyNumberFormat="1" applyFill="1" applyBorder="1" applyAlignment="1">
      <alignment horizontal="center" vertical="center"/>
    </xf>
    <xf numFmtId="0" fontId="95" fillId="22" borderId="180" xfId="8" applyFill="1" applyBorder="1" applyAlignment="1">
      <alignment horizontal="center" vertical="center"/>
    </xf>
    <xf numFmtId="181" fontId="95" fillId="22" borderId="180" xfId="8" applyNumberFormat="1" applyFill="1" applyBorder="1" applyAlignment="1">
      <alignment horizontal="center" vertical="center"/>
    </xf>
    <xf numFmtId="10" fontId="0" fillId="0" borderId="0" xfId="22" applyNumberFormat="1" applyFont="1" applyAlignment="1">
      <alignment horizontal="center" vertical="center"/>
    </xf>
    <xf numFmtId="9" fontId="95" fillId="33" borderId="180" xfId="8" applyNumberFormat="1" applyFill="1" applyBorder="1" applyAlignment="1">
      <alignment horizontal="center" vertical="center"/>
    </xf>
    <xf numFmtId="10" fontId="95" fillId="40" borderId="180" xfId="8" applyNumberFormat="1" applyFill="1" applyBorder="1" applyAlignment="1">
      <alignment horizontal="center" vertical="center"/>
    </xf>
    <xf numFmtId="0" fontId="95" fillId="40" borderId="180" xfId="8" applyFill="1" applyBorder="1" applyAlignment="1">
      <alignment horizontal="center" vertical="center"/>
    </xf>
    <xf numFmtId="0" fontId="95" fillId="6" borderId="180" xfId="8" applyFill="1" applyBorder="1" applyAlignment="1">
      <alignment horizontal="center" vertical="center"/>
    </xf>
    <xf numFmtId="10" fontId="95" fillId="6" borderId="180" xfId="8" applyNumberFormat="1" applyFill="1" applyBorder="1" applyAlignment="1">
      <alignment horizontal="center" vertical="center"/>
    </xf>
    <xf numFmtId="10" fontId="95" fillId="41" borderId="180" xfId="8" applyNumberFormat="1" applyFill="1" applyBorder="1" applyAlignment="1">
      <alignment horizontal="center" vertical="center"/>
    </xf>
    <xf numFmtId="0" fontId="111" fillId="41" borderId="180" xfId="8" applyFont="1" applyFill="1" applyBorder="1" applyAlignment="1">
      <alignment horizontal="center" vertical="center"/>
    </xf>
    <xf numFmtId="0" fontId="95" fillId="40" borderId="0" xfId="8" applyFill="1" applyAlignment="1">
      <alignment horizontal="center" vertical="center"/>
    </xf>
    <xf numFmtId="0" fontId="95" fillId="42" borderId="0" xfId="8" applyFill="1" applyAlignment="1">
      <alignment horizontal="center" vertical="center"/>
    </xf>
    <xf numFmtId="0" fontId="95" fillId="41" borderId="0" xfId="8" applyFill="1" applyAlignment="1">
      <alignment horizontal="center" vertical="center"/>
    </xf>
    <xf numFmtId="189" fontId="95" fillId="22" borderId="0" xfId="8" applyNumberFormat="1" applyFill="1" applyAlignment="1">
      <alignment horizontal="center" vertical="center"/>
    </xf>
    <xf numFmtId="189" fontId="95" fillId="0" borderId="0" xfId="8" applyNumberFormat="1" applyAlignment="1">
      <alignment vertical="center" wrapText="1"/>
    </xf>
    <xf numFmtId="14" fontId="95" fillId="0" borderId="0" xfId="8" applyNumberFormat="1" applyAlignment="1">
      <alignment vertical="center" wrapText="1"/>
    </xf>
    <xf numFmtId="179" fontId="97" fillId="0" borderId="0" xfId="8" applyNumberFormat="1" applyFont="1">
      <alignment vertical="center"/>
    </xf>
    <xf numFmtId="14" fontId="95" fillId="0" borderId="1" xfId="8" applyNumberFormat="1" applyBorder="1" applyAlignment="1">
      <alignment horizontal="center" vertical="center"/>
    </xf>
    <xf numFmtId="179" fontId="95" fillId="0" borderId="1" xfId="8" applyNumberFormat="1" applyBorder="1" applyAlignment="1">
      <alignment horizontal="center" vertical="center" wrapText="1" shrinkToFit="1"/>
    </xf>
    <xf numFmtId="10" fontId="95" fillId="0" borderId="1" xfId="8" applyNumberFormat="1" applyBorder="1" applyAlignment="1">
      <alignment horizontal="center" vertical="center" wrapText="1" shrinkToFit="1"/>
    </xf>
    <xf numFmtId="14" fontId="95" fillId="0" borderId="1" xfId="8" applyNumberFormat="1" applyBorder="1" applyAlignment="1">
      <alignment horizontal="center" vertical="center" wrapText="1"/>
    </xf>
    <xf numFmtId="10" fontId="95" fillId="0" borderId="1" xfId="8" applyNumberFormat="1" applyBorder="1" applyAlignment="1">
      <alignment horizontal="center" vertical="center" wrapText="1"/>
    </xf>
    <xf numFmtId="0" fontId="105" fillId="5" borderId="0" xfId="8" applyFont="1" applyFill="1" applyAlignment="1">
      <alignment vertical="center" wrapText="1"/>
    </xf>
    <xf numFmtId="0" fontId="44" fillId="5" borderId="0" xfId="8" applyFont="1" applyFill="1">
      <alignment vertical="center"/>
    </xf>
    <xf numFmtId="0" fontId="44" fillId="5" borderId="0" xfId="8" applyFont="1" applyFill="1" applyProtection="1">
      <alignment vertical="center"/>
      <protection locked="0"/>
    </xf>
    <xf numFmtId="179" fontId="44" fillId="5" borderId="0" xfId="8" applyNumberFormat="1" applyFont="1" applyFill="1" applyProtection="1">
      <alignment vertical="center"/>
      <protection locked="0"/>
    </xf>
    <xf numFmtId="0" fontId="44" fillId="5" borderId="0" xfId="8" applyFont="1" applyFill="1" applyAlignment="1" applyProtection="1">
      <alignment horizontal="center" vertical="center"/>
      <protection locked="0"/>
    </xf>
    <xf numFmtId="0" fontId="44" fillId="13" borderId="0" xfId="8" applyFont="1" applyFill="1" applyProtection="1">
      <alignment vertical="center"/>
      <protection locked="0"/>
    </xf>
    <xf numFmtId="0" fontId="44" fillId="0" borderId="0" xfId="8" applyFont="1" applyProtection="1">
      <alignment vertical="center"/>
      <protection locked="0"/>
    </xf>
    <xf numFmtId="0" fontId="44" fillId="0" borderId="0" xfId="8" applyFont="1">
      <alignment vertical="center"/>
    </xf>
    <xf numFmtId="0" fontId="43" fillId="5" borderId="9" xfId="8" applyFont="1" applyFill="1" applyBorder="1" applyAlignment="1">
      <alignment vertical="center" wrapText="1"/>
    </xf>
    <xf numFmtId="14" fontId="41" fillId="5" borderId="15" xfId="8" applyNumberFormat="1" applyFont="1" applyFill="1" applyBorder="1" applyAlignment="1">
      <alignment horizontal="center" vertical="center"/>
    </xf>
    <xf numFmtId="0" fontId="41" fillId="5" borderId="0" xfId="8" applyFont="1" applyFill="1" applyProtection="1">
      <alignment vertical="center"/>
      <protection locked="0"/>
    </xf>
    <xf numFmtId="179" fontId="41" fillId="5" borderId="0" xfId="8" applyNumberFormat="1" applyFont="1" applyFill="1" applyProtection="1">
      <alignment vertical="center"/>
      <protection locked="0"/>
    </xf>
    <xf numFmtId="0" fontId="41" fillId="5" borderId="0" xfId="8" applyFont="1" applyFill="1" applyAlignment="1" applyProtection="1">
      <alignment horizontal="center" vertical="center"/>
      <protection locked="0"/>
    </xf>
    <xf numFmtId="0" fontId="41" fillId="13" borderId="0" xfId="8" applyFont="1" applyFill="1" applyProtection="1">
      <alignment vertical="center"/>
      <protection locked="0"/>
    </xf>
    <xf numFmtId="0" fontId="41" fillId="0" borderId="0" xfId="8" applyFont="1" applyProtection="1">
      <alignment vertical="center"/>
      <protection locked="0"/>
    </xf>
    <xf numFmtId="0" fontId="41" fillId="0" borderId="0" xfId="8" applyFont="1">
      <alignment vertical="center"/>
    </xf>
    <xf numFmtId="0" fontId="41" fillId="5" borderId="0" xfId="8" applyFont="1" applyFill="1" applyAlignment="1">
      <alignment vertical="center" wrapText="1"/>
    </xf>
    <xf numFmtId="0" fontId="41" fillId="5" borderId="0" xfId="8" applyFont="1" applyFill="1">
      <alignment vertical="center"/>
    </xf>
    <xf numFmtId="0" fontId="43" fillId="5" borderId="10" xfId="8" applyFont="1" applyFill="1" applyBorder="1" applyAlignment="1">
      <alignment vertical="center" wrapText="1"/>
    </xf>
    <xf numFmtId="0" fontId="41" fillId="5" borderId="55" xfId="8" applyFont="1" applyFill="1" applyBorder="1">
      <alignment vertical="center"/>
    </xf>
    <xf numFmtId="0" fontId="41" fillId="5" borderId="66" xfId="8" applyFont="1" applyFill="1" applyBorder="1">
      <alignment vertical="center"/>
    </xf>
    <xf numFmtId="179" fontId="41" fillId="5" borderId="66" xfId="8" applyNumberFormat="1" applyFont="1" applyFill="1" applyBorder="1">
      <alignment vertical="center"/>
    </xf>
    <xf numFmtId="0" fontId="41" fillId="5" borderId="81" xfId="8" applyFont="1" applyFill="1" applyBorder="1">
      <alignment vertical="center"/>
    </xf>
    <xf numFmtId="0" fontId="41" fillId="5" borderId="55" xfId="8" applyFont="1" applyFill="1" applyBorder="1" applyAlignment="1">
      <alignment horizontal="center" vertical="center"/>
    </xf>
    <xf numFmtId="0" fontId="41" fillId="5" borderId="66" xfId="8" applyFont="1" applyFill="1" applyBorder="1" applyAlignment="1">
      <alignment horizontal="center" vertical="center"/>
    </xf>
    <xf numFmtId="0" fontId="44" fillId="5" borderId="82" xfId="8" applyFont="1" applyFill="1" applyBorder="1" applyAlignment="1">
      <alignment horizontal="center" vertical="center"/>
    </xf>
    <xf numFmtId="0" fontId="41" fillId="5" borderId="37" xfId="8" applyFont="1" applyFill="1" applyBorder="1">
      <alignment vertical="center"/>
    </xf>
    <xf numFmtId="0" fontId="41" fillId="5" borderId="5" xfId="8" applyFont="1" applyFill="1" applyBorder="1">
      <alignment vertical="center"/>
    </xf>
    <xf numFmtId="0" fontId="41" fillId="5" borderId="79" xfId="8" applyFont="1" applyFill="1" applyBorder="1">
      <alignment vertical="center"/>
    </xf>
    <xf numFmtId="0" fontId="41" fillId="5" borderId="4" xfId="1" applyFont="1" applyFill="1" applyBorder="1" applyAlignment="1">
      <alignment vertical="center" wrapText="1"/>
    </xf>
    <xf numFmtId="0" fontId="41" fillId="5" borderId="11" xfId="1" applyFont="1" applyFill="1" applyBorder="1" applyAlignment="1">
      <alignment vertical="center" wrapText="1"/>
    </xf>
    <xf numFmtId="0" fontId="41" fillId="5" borderId="13" xfId="1" applyFont="1" applyFill="1" applyBorder="1" applyAlignment="1">
      <alignment vertical="center" wrapText="1"/>
    </xf>
    <xf numFmtId="180" fontId="48" fillId="5" borderId="4" xfId="1" applyNumberFormat="1" applyFont="1" applyFill="1" applyBorder="1" applyAlignment="1">
      <alignment horizontal="center" vertical="center" wrapText="1"/>
    </xf>
    <xf numFmtId="0" fontId="41" fillId="5" borderId="11" xfId="8" applyFont="1" applyFill="1" applyBorder="1" applyAlignment="1">
      <alignment horizontal="center" vertical="center" wrapText="1"/>
    </xf>
    <xf numFmtId="179" fontId="41" fillId="5" borderId="11" xfId="8" applyNumberFormat="1" applyFont="1" applyFill="1" applyBorder="1" applyAlignment="1">
      <alignment horizontal="center" vertical="center" wrapText="1"/>
    </xf>
    <xf numFmtId="0" fontId="100" fillId="5" borderId="31" xfId="8" applyFont="1" applyFill="1" applyBorder="1" applyAlignment="1">
      <alignment horizontal="center" vertical="center" wrapText="1"/>
    </xf>
    <xf numFmtId="177" fontId="41" fillId="5" borderId="4" xfId="1" applyNumberFormat="1" applyFont="1" applyFill="1" applyBorder="1" applyAlignment="1">
      <alignment horizontal="center" vertical="center" wrapText="1"/>
    </xf>
    <xf numFmtId="0" fontId="41" fillId="5" borderId="11" xfId="1" applyFont="1" applyFill="1" applyBorder="1" applyAlignment="1">
      <alignment horizontal="center" vertical="center" wrapText="1"/>
    </xf>
    <xf numFmtId="179" fontId="41" fillId="5" borderId="11" xfId="1" applyNumberFormat="1" applyFont="1" applyFill="1" applyBorder="1" applyAlignment="1">
      <alignment horizontal="center" vertical="center" wrapText="1"/>
    </xf>
    <xf numFmtId="0" fontId="41" fillId="6" borderId="11" xfId="1" applyFont="1" applyFill="1" applyBorder="1" applyAlignment="1" applyProtection="1">
      <alignment horizontal="center" vertical="center" wrapText="1"/>
      <protection locked="0"/>
    </xf>
    <xf numFmtId="0" fontId="41" fillId="5" borderId="13" xfId="1" applyFont="1" applyFill="1" applyBorder="1" applyAlignment="1">
      <alignment horizontal="center" vertical="center" wrapText="1"/>
    </xf>
    <xf numFmtId="0" fontId="41" fillId="5" borderId="12" xfId="8" applyFont="1" applyFill="1" applyBorder="1" applyAlignment="1">
      <alignment horizontal="center" vertical="center" wrapText="1"/>
    </xf>
    <xf numFmtId="0" fontId="41" fillId="5" borderId="4" xfId="1" applyFont="1" applyFill="1" applyBorder="1" applyAlignment="1">
      <alignment horizontal="center" vertical="center" wrapText="1"/>
    </xf>
    <xf numFmtId="0" fontId="41" fillId="5" borderId="37"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4" xfId="8" applyFont="1" applyFill="1" applyBorder="1" applyAlignment="1">
      <alignment horizontal="center" vertical="center" wrapText="1"/>
    </xf>
    <xf numFmtId="0" fontId="41" fillId="5" borderId="13" xfId="8" applyFont="1" applyFill="1" applyBorder="1" applyAlignment="1">
      <alignment horizontal="center" vertical="center" wrapText="1"/>
    </xf>
    <xf numFmtId="0" fontId="41" fillId="5" borderId="31" xfId="8" applyFont="1" applyFill="1" applyBorder="1" applyAlignment="1">
      <alignment horizontal="center" vertical="center" wrapText="1"/>
    </xf>
    <xf numFmtId="0" fontId="41" fillId="5" borderId="28" xfId="8" applyFont="1" applyFill="1" applyBorder="1" applyAlignment="1">
      <alignment horizontal="center" vertical="center" wrapText="1"/>
    </xf>
    <xf numFmtId="0" fontId="41" fillId="5" borderId="3" xfId="8" applyFont="1" applyFill="1" applyBorder="1" applyAlignment="1" applyProtection="1">
      <alignment horizontal="center" vertical="center" wrapText="1"/>
      <protection locked="0"/>
    </xf>
    <xf numFmtId="0" fontId="41" fillId="5" borderId="1" xfId="8" applyFont="1" applyFill="1" applyBorder="1" applyAlignment="1">
      <alignment vertical="center" wrapText="1"/>
    </xf>
    <xf numFmtId="0" fontId="41" fillId="5" borderId="1" xfId="8" applyFont="1" applyFill="1" applyBorder="1" applyAlignment="1">
      <alignment horizontal="right" vertical="center" wrapText="1"/>
    </xf>
    <xf numFmtId="0" fontId="41" fillId="5" borderId="1" xfId="1" applyFont="1" applyFill="1" applyBorder="1" applyAlignment="1">
      <alignment horizontal="center" vertical="center" wrapText="1"/>
    </xf>
    <xf numFmtId="0" fontId="41" fillId="0" borderId="0" xfId="8" applyFont="1" applyAlignment="1" applyProtection="1">
      <alignment vertical="center" wrapText="1"/>
      <protection locked="0"/>
    </xf>
    <xf numFmtId="0" fontId="41" fillId="0" borderId="0" xfId="8" applyFont="1" applyAlignment="1">
      <alignment vertical="center" wrapText="1"/>
    </xf>
    <xf numFmtId="177" fontId="44" fillId="5" borderId="7" xfId="1" applyNumberFormat="1" applyFont="1" applyFill="1" applyBorder="1" applyAlignment="1">
      <alignment horizontal="left" vertical="center"/>
    </xf>
    <xf numFmtId="177" fontId="41" fillId="5" borderId="1" xfId="1" applyNumberFormat="1" applyFont="1" applyFill="1" applyBorder="1">
      <alignment vertical="center"/>
    </xf>
    <xf numFmtId="177" fontId="41" fillId="2" borderId="2" xfId="1" applyNumberFormat="1" applyFont="1" applyFill="1" applyBorder="1" applyProtection="1">
      <alignment vertical="center"/>
      <protection locked="0"/>
    </xf>
    <xf numFmtId="177" fontId="44" fillId="5" borderId="7" xfId="1" applyNumberFormat="1" applyFont="1" applyFill="1" applyBorder="1" applyAlignment="1">
      <alignment horizontal="center" vertical="center"/>
    </xf>
    <xf numFmtId="184" fontId="44" fillId="5" borderId="1" xfId="8" applyNumberFormat="1" applyFont="1" applyFill="1" applyBorder="1" applyAlignment="1">
      <alignment horizontal="center" vertical="center"/>
    </xf>
    <xf numFmtId="179" fontId="48" fillId="5" borderId="1" xfId="1" applyNumberFormat="1" applyFont="1" applyFill="1" applyBorder="1" applyAlignment="1">
      <alignment horizontal="center" vertical="center"/>
    </xf>
    <xf numFmtId="180" fontId="48" fillId="5" borderId="1" xfId="1" applyNumberFormat="1" applyFont="1" applyFill="1" applyBorder="1" applyAlignment="1">
      <alignment horizontal="center" vertical="center"/>
    </xf>
    <xf numFmtId="181" fontId="103" fillId="0" borderId="1" xfId="8" applyNumberFormat="1" applyFont="1" applyBorder="1" applyAlignment="1" applyProtection="1">
      <alignment horizontal="center" vertical="center"/>
      <protection locked="0"/>
    </xf>
    <xf numFmtId="181" fontId="41" fillId="0" borderId="1" xfId="8" applyNumberFormat="1" applyFont="1" applyBorder="1" applyAlignment="1" applyProtection="1">
      <alignment horizontal="center" vertical="center"/>
      <protection locked="0"/>
    </xf>
    <xf numFmtId="179" fontId="44" fillId="5" borderId="7" xfId="1" applyNumberFormat="1" applyFont="1" applyFill="1" applyBorder="1" applyAlignment="1">
      <alignment horizontal="center" vertical="center"/>
    </xf>
    <xf numFmtId="177" fontId="44" fillId="0" borderId="1" xfId="1" applyNumberFormat="1" applyFont="1" applyBorder="1" applyAlignment="1" applyProtection="1">
      <alignment horizontal="center" vertical="center"/>
      <protection locked="0"/>
    </xf>
    <xf numFmtId="0" fontId="41" fillId="5" borderId="1" xfId="1" applyFont="1" applyFill="1" applyBorder="1" applyAlignment="1">
      <alignment horizontal="center" vertical="center"/>
    </xf>
    <xf numFmtId="10" fontId="44" fillId="0" borderId="1" xfId="1" applyNumberFormat="1" applyFont="1" applyBorder="1" applyAlignment="1" applyProtection="1">
      <alignment horizontal="center" vertical="center"/>
      <protection locked="0"/>
    </xf>
    <xf numFmtId="0" fontId="41" fillId="5" borderId="2" xfId="8" applyFont="1" applyFill="1" applyBorder="1" applyAlignment="1">
      <alignment horizontal="center" vertical="center"/>
    </xf>
    <xf numFmtId="9" fontId="44" fillId="0" borderId="2" xfId="8" applyNumberFormat="1" applyFont="1" applyBorder="1" applyAlignment="1" applyProtection="1">
      <alignment horizontal="center" vertical="center"/>
      <protection locked="0"/>
    </xf>
    <xf numFmtId="179" fontId="41" fillId="5" borderId="7" xfId="1" applyNumberFormat="1" applyFont="1" applyFill="1" applyBorder="1" applyAlignment="1">
      <alignment horizontal="center" vertical="center"/>
    </xf>
    <xf numFmtId="179" fontId="41" fillId="5" borderId="1" xfId="8" applyNumberFormat="1" applyFont="1" applyFill="1" applyBorder="1" applyAlignment="1">
      <alignment horizontal="center" vertical="center"/>
    </xf>
    <xf numFmtId="0" fontId="41" fillId="5" borderId="6" xfId="1" applyFont="1" applyFill="1" applyBorder="1" applyAlignment="1">
      <alignment horizontal="center" vertical="center"/>
    </xf>
    <xf numFmtId="179" fontId="41" fillId="0" borderId="7" xfId="8" applyNumberFormat="1" applyFont="1" applyBorder="1" applyAlignment="1" applyProtection="1">
      <alignment horizontal="center" vertical="center"/>
      <protection locked="0"/>
    </xf>
    <xf numFmtId="181" fontId="41" fillId="0" borderId="1" xfId="8" applyNumberFormat="1" applyFont="1" applyBorder="1" applyProtection="1">
      <alignment vertical="center"/>
      <protection locked="0"/>
    </xf>
    <xf numFmtId="181" fontId="41" fillId="5" borderId="2" xfId="8" applyNumberFormat="1" applyFont="1" applyFill="1" applyBorder="1" applyAlignment="1">
      <alignment horizontal="center" vertical="center"/>
    </xf>
    <xf numFmtId="181" fontId="41" fillId="0" borderId="6" xfId="8" applyNumberFormat="1" applyFont="1" applyBorder="1" applyProtection="1">
      <alignment vertical="center"/>
      <protection locked="0"/>
    </xf>
    <xf numFmtId="0" fontId="41" fillId="0" borderId="3" xfId="8" applyFont="1" applyBorder="1" applyProtection="1">
      <alignment vertical="center"/>
      <protection locked="0"/>
    </xf>
    <xf numFmtId="181" fontId="41" fillId="0" borderId="2" xfId="8" applyNumberFormat="1" applyFont="1" applyBorder="1" applyProtection="1">
      <alignment vertical="center"/>
      <protection locked="0"/>
    </xf>
    <xf numFmtId="0" fontId="41" fillId="5" borderId="7" xfId="8" applyFont="1" applyFill="1" applyBorder="1" applyAlignment="1">
      <alignment horizontal="center" vertical="center"/>
    </xf>
    <xf numFmtId="0" fontId="41" fillId="0" borderId="1" xfId="8" applyFont="1" applyBorder="1" applyAlignment="1" applyProtection="1">
      <alignment horizontal="center" vertical="center"/>
      <protection locked="0"/>
    </xf>
    <xf numFmtId="0" fontId="100" fillId="5" borderId="6" xfId="8" applyFont="1" applyFill="1" applyBorder="1" applyAlignment="1">
      <alignment horizontal="center" vertical="center"/>
    </xf>
    <xf numFmtId="0" fontId="41" fillId="0" borderId="7" xfId="8" applyFont="1" applyBorder="1" applyAlignment="1" applyProtection="1">
      <alignment horizontal="center" vertical="center"/>
      <protection locked="0"/>
    </xf>
    <xf numFmtId="0" fontId="41" fillId="6" borderId="3" xfId="8" applyFont="1" applyFill="1" applyBorder="1" applyAlignment="1" applyProtection="1">
      <alignment horizontal="center" vertical="center"/>
      <protection locked="0"/>
    </xf>
    <xf numFmtId="10" fontId="41" fillId="0" borderId="1" xfId="8" applyNumberFormat="1" applyFont="1" applyBorder="1" applyAlignment="1" applyProtection="1">
      <alignment horizontal="center" vertical="center"/>
      <protection locked="0"/>
    </xf>
    <xf numFmtId="183" fontId="41" fillId="0" borderId="1" xfId="8" applyNumberFormat="1" applyFont="1" applyBorder="1" applyAlignment="1" applyProtection="1">
      <alignment horizontal="center" vertical="center"/>
      <protection locked="0"/>
    </xf>
    <xf numFmtId="181" fontId="41" fillId="0" borderId="6" xfId="8" applyNumberFormat="1" applyFont="1" applyBorder="1" applyAlignment="1" applyProtection="1">
      <alignment horizontal="center" vertical="center"/>
      <protection locked="0"/>
    </xf>
    <xf numFmtId="0" fontId="100" fillId="2" borderId="3" xfId="8" applyFont="1" applyFill="1" applyBorder="1" applyAlignment="1" applyProtection="1">
      <alignment horizontal="center" vertical="center"/>
      <protection locked="0"/>
    </xf>
    <xf numFmtId="0" fontId="41" fillId="5" borderId="1" xfId="8" applyFont="1" applyFill="1" applyBorder="1" applyAlignment="1">
      <alignment horizontal="center" vertical="center"/>
    </xf>
    <xf numFmtId="0" fontId="41" fillId="5" borderId="1" xfId="8" applyFont="1" applyFill="1" applyBorder="1" applyAlignment="1">
      <alignment horizontal="right" vertical="center"/>
    </xf>
    <xf numFmtId="179" fontId="44" fillId="0" borderId="7" xfId="8" applyNumberFormat="1" applyFont="1" applyBorder="1" applyAlignment="1" applyProtection="1">
      <alignment horizontal="center" vertical="center"/>
      <protection locked="0"/>
    </xf>
    <xf numFmtId="181" fontId="44" fillId="0" borderId="1" xfId="8" applyNumberFormat="1" applyFont="1" applyBorder="1" applyProtection="1">
      <alignment vertical="center"/>
      <protection locked="0"/>
    </xf>
    <xf numFmtId="0" fontId="44" fillId="0" borderId="7" xfId="8" applyFont="1" applyBorder="1" applyAlignment="1" applyProtection="1">
      <alignment horizontal="center" vertical="center"/>
      <protection locked="0"/>
    </xf>
    <xf numFmtId="10" fontId="44" fillId="0" borderId="1" xfId="8" applyNumberFormat="1" applyFont="1" applyBorder="1" applyAlignment="1" applyProtection="1">
      <alignment horizontal="center" vertical="center"/>
      <protection locked="0"/>
    </xf>
    <xf numFmtId="183" fontId="44" fillId="0" borderId="1" xfId="8" applyNumberFormat="1" applyFont="1" applyBorder="1" applyAlignment="1" applyProtection="1">
      <alignment horizontal="center" vertical="center"/>
      <protection locked="0"/>
    </xf>
    <xf numFmtId="181" fontId="44" fillId="0" borderId="6" xfId="8" applyNumberFormat="1" applyFont="1" applyBorder="1" applyAlignment="1" applyProtection="1">
      <alignment horizontal="center" vertical="center"/>
      <protection locked="0"/>
    </xf>
    <xf numFmtId="9" fontId="41" fillId="0" borderId="2" xfId="8" applyNumberFormat="1" applyFont="1" applyBorder="1" applyAlignment="1" applyProtection="1">
      <alignment horizontal="center" vertical="center"/>
      <protection locked="0"/>
    </xf>
    <xf numFmtId="177" fontId="41" fillId="0" borderId="1" xfId="1" applyNumberFormat="1" applyFont="1" applyBorder="1" applyAlignment="1" applyProtection="1">
      <alignment horizontal="center" vertical="center"/>
      <protection locked="0"/>
    </xf>
    <xf numFmtId="0" fontId="41" fillId="0" borderId="3" xfId="8" applyFont="1" applyBorder="1" applyAlignment="1" applyProtection="1">
      <alignment horizontal="center" vertical="center"/>
      <protection locked="0"/>
    </xf>
    <xf numFmtId="10" fontId="41" fillId="0" borderId="1" xfId="1" applyNumberFormat="1" applyFont="1" applyBorder="1" applyAlignment="1" applyProtection="1">
      <alignment horizontal="center" vertical="center"/>
      <protection locked="0"/>
    </xf>
    <xf numFmtId="179" fontId="41" fillId="0" borderId="7" xfId="8" applyNumberFormat="1" applyFont="1" applyBorder="1" applyProtection="1">
      <alignment vertical="center"/>
      <protection locked="0"/>
    </xf>
    <xf numFmtId="177" fontId="41" fillId="5" borderId="7" xfId="1" applyNumberFormat="1" applyFont="1" applyFill="1" applyBorder="1" applyAlignment="1" applyProtection="1">
      <alignment horizontal="left" vertical="center" wrapText="1"/>
      <protection locked="0"/>
    </xf>
    <xf numFmtId="177" fontId="41" fillId="5" borderId="2" xfId="1" applyNumberFormat="1" applyFont="1" applyFill="1" applyBorder="1">
      <alignment vertical="center"/>
    </xf>
    <xf numFmtId="181" fontId="46" fillId="5" borderId="1" xfId="8" applyNumberFormat="1" applyFont="1" applyFill="1" applyBorder="1" applyAlignment="1" applyProtection="1">
      <alignment horizontal="center" vertical="center"/>
      <protection locked="0"/>
    </xf>
    <xf numFmtId="9" fontId="41" fillId="5" borderId="2" xfId="8" applyNumberFormat="1" applyFont="1" applyFill="1" applyBorder="1" applyAlignment="1">
      <alignment horizontal="center" vertical="center"/>
    </xf>
    <xf numFmtId="0" fontId="41" fillId="5" borderId="7" xfId="8" applyFont="1" applyFill="1" applyBorder="1">
      <alignment vertical="center"/>
    </xf>
    <xf numFmtId="181" fontId="41" fillId="5" borderId="1" xfId="8" applyNumberFormat="1" applyFont="1" applyFill="1" applyBorder="1">
      <alignment vertical="center"/>
    </xf>
    <xf numFmtId="181" fontId="41" fillId="5" borderId="2" xfId="8" applyNumberFormat="1" applyFont="1" applyFill="1" applyBorder="1">
      <alignment vertical="center"/>
    </xf>
    <xf numFmtId="181" fontId="41" fillId="5" borderId="6" xfId="8" applyNumberFormat="1" applyFont="1" applyFill="1" applyBorder="1">
      <alignment vertical="center"/>
    </xf>
    <xf numFmtId="0" fontId="41" fillId="5" borderId="3" xfId="8" applyFont="1" applyFill="1" applyBorder="1">
      <alignment vertical="center"/>
    </xf>
    <xf numFmtId="181" fontId="41" fillId="5" borderId="1" xfId="8" applyNumberFormat="1" applyFont="1" applyFill="1" applyBorder="1" applyAlignment="1">
      <alignment horizontal="center" vertical="center"/>
    </xf>
    <xf numFmtId="0" fontId="41" fillId="5" borderId="3" xfId="8" applyFont="1" applyFill="1" applyBorder="1" applyAlignment="1">
      <alignment horizontal="center" vertical="center"/>
    </xf>
    <xf numFmtId="10" fontId="41" fillId="5" borderId="1" xfId="8" applyNumberFormat="1" applyFont="1" applyFill="1" applyBorder="1" applyAlignment="1">
      <alignment horizontal="center" vertical="center"/>
    </xf>
    <xf numFmtId="183" fontId="41" fillId="5" borderId="1" xfId="8" applyNumberFormat="1" applyFont="1" applyFill="1" applyBorder="1" applyAlignment="1">
      <alignment horizontal="center" vertical="center"/>
    </xf>
    <xf numFmtId="181" fontId="41" fillId="5" borderId="6" xfId="8" applyNumberFormat="1" applyFont="1" applyFill="1" applyBorder="1" applyAlignment="1">
      <alignment horizontal="center" vertical="center"/>
    </xf>
    <xf numFmtId="177" fontId="41" fillId="5" borderId="1" xfId="1" applyNumberFormat="1" applyFont="1" applyFill="1" applyBorder="1" applyAlignment="1">
      <alignment horizontal="center" vertical="center"/>
    </xf>
    <xf numFmtId="10" fontId="41" fillId="5" borderId="1" xfId="1" applyNumberFormat="1" applyFont="1" applyFill="1" applyBorder="1" applyAlignment="1">
      <alignment horizontal="center" vertical="center"/>
    </xf>
    <xf numFmtId="0" fontId="43" fillId="5" borderId="8" xfId="1" applyFont="1" applyFill="1" applyBorder="1" applyAlignment="1">
      <alignment vertical="center" wrapText="1"/>
    </xf>
    <xf numFmtId="0" fontId="43" fillId="5" borderId="61" xfId="1" applyFont="1" applyFill="1" applyBorder="1">
      <alignment vertical="center"/>
    </xf>
    <xf numFmtId="0" fontId="43" fillId="5" borderId="44" xfId="1" applyFont="1" applyFill="1" applyBorder="1">
      <alignment vertical="center"/>
    </xf>
    <xf numFmtId="0" fontId="43" fillId="5" borderId="8" xfId="1" applyFont="1" applyFill="1" applyBorder="1">
      <alignment vertical="center"/>
    </xf>
    <xf numFmtId="0" fontId="43" fillId="5" borderId="61" xfId="1" applyFont="1" applyFill="1" applyBorder="1" applyAlignment="1">
      <alignment horizontal="center" vertical="center"/>
    </xf>
    <xf numFmtId="181" fontId="43" fillId="5" borderId="61" xfId="1" applyNumberFormat="1" applyFont="1" applyFill="1" applyBorder="1">
      <alignment vertical="center"/>
    </xf>
    <xf numFmtId="0" fontId="43" fillId="5" borderId="43" xfId="1" applyFont="1" applyFill="1" applyBorder="1">
      <alignment vertical="center"/>
    </xf>
    <xf numFmtId="176" fontId="41" fillId="5" borderId="8" xfId="8" applyNumberFormat="1" applyFont="1" applyFill="1" applyBorder="1" applyAlignment="1">
      <alignment horizontal="center" vertical="center"/>
    </xf>
    <xf numFmtId="0" fontId="41" fillId="5" borderId="61" xfId="1" applyFont="1" applyFill="1" applyBorder="1" applyAlignment="1">
      <alignment horizontal="center" vertical="center"/>
    </xf>
    <xf numFmtId="10" fontId="41" fillId="5" borderId="61" xfId="1" applyNumberFormat="1" applyFont="1" applyFill="1" applyBorder="1" applyAlignment="1">
      <alignment horizontal="center" vertical="center"/>
    </xf>
    <xf numFmtId="9" fontId="41" fillId="5" borderId="44" xfId="8" applyNumberFormat="1" applyFont="1" applyFill="1" applyBorder="1" applyAlignment="1">
      <alignment horizontal="center" vertical="center"/>
    </xf>
    <xf numFmtId="179" fontId="41" fillId="5" borderId="8" xfId="1" applyNumberFormat="1" applyFont="1" applyFill="1" applyBorder="1" applyAlignment="1">
      <alignment horizontal="center" vertical="center"/>
    </xf>
    <xf numFmtId="179" fontId="41" fillId="5" borderId="56" xfId="1" applyNumberFormat="1" applyFont="1" applyFill="1" applyBorder="1" applyAlignment="1">
      <alignment horizontal="center" vertical="center"/>
    </xf>
    <xf numFmtId="0" fontId="41" fillId="5" borderId="62" xfId="1" applyFont="1" applyFill="1" applyBorder="1" applyAlignment="1">
      <alignment horizontal="center" vertical="center"/>
    </xf>
    <xf numFmtId="0" fontId="41" fillId="5" borderId="8" xfId="8" applyFont="1" applyFill="1" applyBorder="1">
      <alignment vertical="center"/>
    </xf>
    <xf numFmtId="0" fontId="41" fillId="5" borderId="61" xfId="8" applyFont="1" applyFill="1" applyBorder="1">
      <alignment vertical="center"/>
    </xf>
    <xf numFmtId="0" fontId="41" fillId="5" borderId="44" xfId="8" applyFont="1" applyFill="1" applyBorder="1">
      <alignment vertical="center"/>
    </xf>
    <xf numFmtId="0" fontId="41" fillId="5" borderId="43" xfId="8" applyFont="1" applyFill="1" applyBorder="1">
      <alignment vertical="center"/>
    </xf>
    <xf numFmtId="0" fontId="41" fillId="5" borderId="56" xfId="8" applyFont="1" applyFill="1" applyBorder="1">
      <alignment vertical="center"/>
    </xf>
    <xf numFmtId="0" fontId="49" fillId="5" borderId="0" xfId="8" applyFont="1" applyFill="1" applyAlignment="1">
      <alignment vertical="center" wrapText="1"/>
    </xf>
    <xf numFmtId="0" fontId="44" fillId="13" borderId="0" xfId="8" applyFont="1" applyFill="1">
      <alignment vertical="center"/>
    </xf>
    <xf numFmtId="179" fontId="44" fillId="13" borderId="0" xfId="8" applyNumberFormat="1" applyFont="1" applyFill="1" applyProtection="1">
      <alignment vertical="center"/>
      <protection locked="0"/>
    </xf>
    <xf numFmtId="0" fontId="44" fillId="13" borderId="0" xfId="8" applyFont="1" applyFill="1" applyAlignment="1" applyProtection="1">
      <alignment horizontal="center" vertical="center"/>
      <protection locked="0"/>
    </xf>
    <xf numFmtId="0" fontId="41" fillId="13" borderId="0" xfId="8" applyFont="1" applyFill="1">
      <alignment vertical="center"/>
    </xf>
    <xf numFmtId="179" fontId="41" fillId="13" borderId="0" xfId="8" applyNumberFormat="1" applyFont="1" applyFill="1" applyProtection="1">
      <alignment vertical="center"/>
      <protection locked="0"/>
    </xf>
    <xf numFmtId="176" fontId="48" fillId="5" borderId="4" xfId="1" applyNumberFormat="1" applyFont="1" applyFill="1" applyBorder="1" applyAlignment="1">
      <alignment vertical="center" wrapText="1"/>
    </xf>
    <xf numFmtId="176" fontId="48" fillId="0" borderId="31" xfId="1" applyNumberFormat="1" applyFont="1" applyBorder="1" applyAlignment="1" applyProtection="1">
      <alignment horizontal="center" vertical="center"/>
      <protection locked="0"/>
    </xf>
    <xf numFmtId="0" fontId="121" fillId="13" borderId="0" xfId="8" applyFont="1" applyFill="1">
      <alignment vertical="center"/>
    </xf>
    <xf numFmtId="176" fontId="48" fillId="5" borderId="7" xfId="1" applyNumberFormat="1" applyFont="1" applyFill="1" applyBorder="1" applyAlignment="1">
      <alignment vertical="center" wrapText="1"/>
    </xf>
    <xf numFmtId="176" fontId="41" fillId="0" borderId="6" xfId="1" applyNumberFormat="1" applyFont="1" applyBorder="1" applyAlignment="1" applyProtection="1">
      <alignment horizontal="center" vertical="center"/>
      <protection locked="0"/>
    </xf>
    <xf numFmtId="0" fontId="101" fillId="13" borderId="0" xfId="8" applyFont="1" applyFill="1">
      <alignment vertical="center"/>
    </xf>
    <xf numFmtId="176" fontId="41" fillId="5" borderId="7" xfId="1" applyNumberFormat="1" applyFont="1" applyFill="1" applyBorder="1" applyAlignment="1">
      <alignment vertical="center" wrapText="1"/>
    </xf>
    <xf numFmtId="176" fontId="48" fillId="5" borderId="6" xfId="1" applyNumberFormat="1" applyFont="1" applyFill="1" applyBorder="1" applyAlignment="1">
      <alignment horizontal="center" vertical="center"/>
    </xf>
    <xf numFmtId="176" fontId="48" fillId="5" borderId="8" xfId="1" applyNumberFormat="1" applyFont="1" applyFill="1" applyBorder="1" applyAlignment="1">
      <alignment vertical="center" wrapText="1"/>
    </xf>
    <xf numFmtId="176" fontId="48" fillId="5" borderId="43" xfId="1" applyNumberFormat="1" applyFont="1" applyFill="1" applyBorder="1" applyAlignment="1">
      <alignment horizontal="center" vertical="center"/>
    </xf>
    <xf numFmtId="0" fontId="41" fillId="5" borderId="14" xfId="8" applyFont="1" applyFill="1" applyBorder="1" applyAlignment="1">
      <alignment horizontal="center" vertical="center"/>
    </xf>
    <xf numFmtId="0" fontId="41" fillId="13" borderId="15" xfId="8" applyFont="1" applyFill="1" applyBorder="1" applyAlignment="1" applyProtection="1">
      <alignment horizontal="center" vertical="center"/>
      <protection locked="0"/>
    </xf>
    <xf numFmtId="0" fontId="41" fillId="5" borderId="4" xfId="8" applyFont="1" applyFill="1" applyBorder="1" applyAlignment="1">
      <alignment vertical="center" wrapText="1"/>
    </xf>
    <xf numFmtId="0" fontId="50" fillId="0" borderId="31" xfId="1" applyFont="1" applyBorder="1" applyAlignment="1" applyProtection="1">
      <alignment horizontal="center" vertical="center"/>
      <protection locked="0"/>
    </xf>
    <xf numFmtId="0" fontId="298" fillId="13" borderId="0" xfId="8" applyFont="1" applyFill="1" applyAlignment="1">
      <alignment horizontal="left" vertical="center"/>
    </xf>
    <xf numFmtId="179" fontId="41" fillId="13" borderId="0" xfId="8" applyNumberFormat="1" applyFont="1" applyFill="1" applyAlignment="1" applyProtection="1">
      <alignment horizontal="center" vertical="center"/>
      <protection locked="0"/>
    </xf>
    <xf numFmtId="0" fontId="41" fillId="13" borderId="0" xfId="8" applyFont="1" applyFill="1" applyAlignment="1" applyProtection="1">
      <alignment horizontal="center" vertical="center"/>
      <protection locked="0"/>
    </xf>
    <xf numFmtId="0" fontId="41" fillId="5" borderId="7" xfId="8" applyFont="1" applyFill="1" applyBorder="1" applyAlignment="1">
      <alignment vertical="center" wrapText="1"/>
    </xf>
    <xf numFmtId="0" fontId="50" fillId="0" borderId="6" xfId="1" applyFont="1" applyBorder="1" applyAlignment="1" applyProtection="1">
      <alignment horizontal="center" vertical="center"/>
      <protection locked="0"/>
    </xf>
    <xf numFmtId="0" fontId="101" fillId="13" borderId="0" xfId="8" applyFont="1" applyFill="1" applyAlignment="1" applyProtection="1">
      <alignment horizontal="center" vertical="center"/>
      <protection locked="0"/>
    </xf>
    <xf numFmtId="0" fontId="41" fillId="5" borderId="8" xfId="8" applyFont="1" applyFill="1" applyBorder="1" applyAlignment="1">
      <alignment vertical="center" wrapText="1"/>
    </xf>
    <xf numFmtId="0" fontId="50" fillId="0" borderId="43" xfId="1" applyFont="1" applyBorder="1" applyAlignment="1" applyProtection="1">
      <alignment horizontal="center" vertical="center"/>
      <protection locked="0"/>
    </xf>
    <xf numFmtId="0" fontId="101" fillId="13" borderId="0" xfId="8" applyFont="1" applyFill="1" applyAlignment="1">
      <alignment horizontal="left" vertical="center"/>
    </xf>
    <xf numFmtId="0" fontId="41" fillId="5" borderId="23" xfId="8" applyFont="1" applyFill="1" applyBorder="1" applyAlignment="1">
      <alignment vertical="center" wrapText="1"/>
    </xf>
    <xf numFmtId="0" fontId="50" fillId="0" borderId="34" xfId="1" applyFont="1" applyBorder="1" applyAlignment="1" applyProtection="1">
      <alignment horizontal="center" vertical="center"/>
      <protection locked="0"/>
    </xf>
    <xf numFmtId="0" fontId="48" fillId="5" borderId="6" xfId="1" applyFont="1" applyFill="1" applyBorder="1" applyAlignment="1">
      <alignment horizontal="center" vertical="center"/>
    </xf>
    <xf numFmtId="0" fontId="101" fillId="13" borderId="0" xfId="8" applyFont="1" applyFill="1" applyAlignment="1" applyProtection="1">
      <alignment horizontal="left" vertical="center"/>
      <protection locked="0"/>
    </xf>
    <xf numFmtId="0" fontId="41" fillId="5" borderId="16" xfId="8" applyFont="1" applyFill="1" applyBorder="1" applyAlignment="1">
      <alignment vertical="center" wrapText="1"/>
    </xf>
    <xf numFmtId="0" fontId="50" fillId="0" borderId="58" xfId="1" applyFont="1" applyBorder="1" applyAlignment="1" applyProtection="1">
      <alignment horizontal="center" vertical="center"/>
      <protection locked="0"/>
    </xf>
    <xf numFmtId="181" fontId="44" fillId="0" borderId="31" xfId="8" applyNumberFormat="1" applyFont="1" applyBorder="1" applyAlignment="1" applyProtection="1">
      <alignment horizontal="center" vertical="center"/>
      <protection locked="0"/>
    </xf>
    <xf numFmtId="0" fontId="119" fillId="13" borderId="0" xfId="8" applyFont="1" applyFill="1">
      <alignment vertical="center"/>
    </xf>
    <xf numFmtId="179" fontId="101" fillId="13" borderId="0" xfId="8" applyNumberFormat="1" applyFont="1" applyFill="1" applyProtection="1">
      <alignment vertical="center"/>
      <protection locked="0"/>
    </xf>
    <xf numFmtId="181" fontId="44" fillId="0" borderId="43" xfId="8" applyNumberFormat="1" applyFont="1" applyBorder="1" applyAlignment="1" applyProtection="1">
      <alignment horizontal="center" vertical="center"/>
      <protection locked="0"/>
    </xf>
    <xf numFmtId="181" fontId="44" fillId="0" borderId="34" xfId="8" applyNumberFormat="1" applyFont="1" applyBorder="1" applyAlignment="1" applyProtection="1">
      <alignment horizontal="center" vertical="center"/>
      <protection locked="0"/>
    </xf>
    <xf numFmtId="181" fontId="44" fillId="5" borderId="58" xfId="8" applyNumberFormat="1" applyFont="1" applyFill="1" applyBorder="1" applyAlignment="1">
      <alignment horizontal="center" vertical="center"/>
    </xf>
    <xf numFmtId="0" fontId="119" fillId="13" borderId="0" xfId="8" applyFont="1" applyFill="1" applyProtection="1">
      <alignment vertical="center"/>
      <protection locked="0"/>
    </xf>
    <xf numFmtId="0" fontId="41" fillId="6" borderId="16" xfId="8" applyFont="1" applyFill="1" applyBorder="1" applyAlignment="1" applyProtection="1">
      <alignment vertical="center" wrapText="1"/>
      <protection locked="0"/>
    </xf>
    <xf numFmtId="10" fontId="44" fillId="5" borderId="58" xfId="8" applyNumberFormat="1" applyFont="1" applyFill="1" applyBorder="1" applyAlignment="1">
      <alignment horizontal="center" vertical="center"/>
    </xf>
    <xf numFmtId="10" fontId="119" fillId="0" borderId="7" xfId="8" applyNumberFormat="1" applyFont="1" applyBorder="1" applyProtection="1">
      <alignment vertical="center"/>
      <protection locked="0"/>
    </xf>
    <xf numFmtId="10" fontId="41" fillId="5" borderId="31" xfId="8" applyNumberFormat="1" applyFont="1" applyFill="1" applyBorder="1" applyAlignment="1">
      <alignment horizontal="center" vertical="center"/>
    </xf>
    <xf numFmtId="0" fontId="41" fillId="5" borderId="16" xfId="8" applyFont="1" applyFill="1" applyBorder="1" applyAlignment="1">
      <alignment horizontal="left" vertical="center" wrapText="1"/>
    </xf>
    <xf numFmtId="10" fontId="41" fillId="0" borderId="58" xfId="8" applyNumberFormat="1" applyFont="1" applyBorder="1" applyAlignment="1" applyProtection="1">
      <alignment horizontal="center" vertical="center"/>
      <protection locked="0"/>
    </xf>
    <xf numFmtId="181" fontId="100" fillId="13" borderId="0" xfId="8" applyNumberFormat="1" applyFont="1" applyFill="1" applyAlignment="1">
      <alignment horizontal="center" vertical="center"/>
    </xf>
    <xf numFmtId="183" fontId="41" fillId="5" borderId="58" xfId="8" applyNumberFormat="1" applyFont="1" applyFill="1" applyBorder="1" applyAlignment="1">
      <alignment horizontal="center" vertical="center"/>
    </xf>
    <xf numFmtId="0" fontId="41" fillId="5" borderId="16" xfId="8" applyFont="1" applyFill="1" applyBorder="1" applyAlignment="1">
      <alignment horizontal="right" vertical="center" wrapText="1"/>
    </xf>
    <xf numFmtId="10" fontId="41" fillId="2" borderId="58" xfId="8" applyNumberFormat="1" applyFont="1" applyFill="1" applyBorder="1" applyAlignment="1" applyProtection="1">
      <alignment horizontal="center" vertical="center"/>
      <protection locked="0"/>
    </xf>
    <xf numFmtId="0" fontId="41" fillId="5" borderId="8" xfId="8" applyFont="1" applyFill="1" applyBorder="1" applyAlignment="1">
      <alignment horizontal="right" vertical="center" wrapText="1"/>
    </xf>
    <xf numFmtId="10" fontId="41" fillId="0" borderId="43" xfId="8" applyNumberFormat="1" applyFont="1" applyBorder="1" applyAlignment="1" applyProtection="1">
      <alignment horizontal="center" vertical="center"/>
      <protection locked="0"/>
    </xf>
    <xf numFmtId="0" fontId="121" fillId="13" borderId="0" xfId="8" applyFont="1" applyFill="1" applyAlignment="1">
      <alignment horizontal="left" vertical="center"/>
    </xf>
    <xf numFmtId="0" fontId="41" fillId="5" borderId="26" xfId="8" applyFont="1" applyFill="1" applyBorder="1" applyAlignment="1">
      <alignment vertical="center" wrapText="1"/>
    </xf>
    <xf numFmtId="10" fontId="41" fillId="0" borderId="50" xfId="8" applyNumberFormat="1" applyFont="1" applyBorder="1" applyAlignment="1" applyProtection="1">
      <alignment horizontal="center" vertical="center"/>
      <protection locked="0"/>
    </xf>
    <xf numFmtId="0" fontId="41" fillId="5" borderId="22" xfId="8" applyFont="1" applyFill="1" applyBorder="1" applyAlignment="1">
      <alignment vertical="center" wrapText="1"/>
    </xf>
    <xf numFmtId="10" fontId="41" fillId="5" borderId="59" xfId="8" applyNumberFormat="1" applyFont="1" applyFill="1" applyBorder="1" applyAlignment="1">
      <alignment horizontal="center" vertical="center"/>
    </xf>
    <xf numFmtId="10" fontId="41" fillId="5" borderId="43" xfId="8" applyNumberFormat="1" applyFont="1" applyFill="1" applyBorder="1" applyAlignment="1">
      <alignment horizontal="center" vertical="center"/>
    </xf>
    <xf numFmtId="178" fontId="41" fillId="5" borderId="59" xfId="8" applyNumberFormat="1" applyFont="1" applyFill="1" applyBorder="1" applyAlignment="1">
      <alignment horizontal="center" vertical="center"/>
    </xf>
    <xf numFmtId="0" fontId="41" fillId="2" borderId="6" xfId="8" applyFont="1" applyFill="1" applyBorder="1" applyAlignment="1" applyProtection="1">
      <alignment horizontal="center" vertical="center"/>
      <protection locked="0"/>
    </xf>
    <xf numFmtId="0" fontId="299" fillId="13" borderId="0" xfId="8" applyFont="1" applyFill="1">
      <alignment vertical="center"/>
    </xf>
    <xf numFmtId="0" fontId="41" fillId="0" borderId="7" xfId="8" applyFont="1" applyBorder="1" applyAlignment="1" applyProtection="1">
      <alignment horizontal="right" vertical="center" wrapText="1"/>
      <protection locked="0"/>
    </xf>
    <xf numFmtId="0" fontId="41" fillId="0" borderId="6" xfId="8" applyFont="1" applyBorder="1" applyAlignment="1" applyProtection="1">
      <alignment horizontal="center" vertical="center"/>
      <protection locked="0"/>
    </xf>
    <xf numFmtId="0" fontId="41" fillId="0" borderId="8" xfId="8" applyFont="1" applyBorder="1" applyAlignment="1" applyProtection="1">
      <alignment horizontal="right" vertical="center" wrapText="1"/>
      <protection locked="0"/>
    </xf>
    <xf numFmtId="0" fontId="41" fillId="0" borderId="43" xfId="8" applyFont="1" applyBorder="1" applyProtection="1">
      <alignment vertical="center"/>
      <protection locked="0"/>
    </xf>
    <xf numFmtId="0" fontId="44" fillId="13" borderId="0" xfId="8" applyFont="1" applyFill="1" applyAlignment="1" applyProtection="1">
      <alignment vertical="center" wrapText="1"/>
      <protection locked="0"/>
    </xf>
    <xf numFmtId="0" fontId="44" fillId="8" borderId="0" xfId="8" applyFont="1" applyFill="1" applyProtection="1">
      <alignment vertical="center"/>
      <protection locked="0"/>
    </xf>
    <xf numFmtId="0" fontId="44" fillId="8" borderId="0" xfId="8" applyFont="1" applyFill="1" applyAlignment="1" applyProtection="1">
      <alignment vertical="center" wrapText="1"/>
      <protection locked="0"/>
    </xf>
    <xf numFmtId="179" fontId="44" fillId="8" borderId="0" xfId="8" applyNumberFormat="1" applyFont="1" applyFill="1" applyProtection="1">
      <alignment vertical="center"/>
      <protection locked="0"/>
    </xf>
    <xf numFmtId="0" fontId="44" fillId="8" borderId="0" xfId="8" applyFont="1" applyFill="1" applyAlignment="1" applyProtection="1">
      <alignment horizontal="center" vertical="center"/>
      <protection locked="0"/>
    </xf>
    <xf numFmtId="0" fontId="44" fillId="0" borderId="0" xfId="8" applyFont="1" applyAlignment="1" applyProtection="1">
      <alignment vertical="center" wrapText="1"/>
      <protection locked="0"/>
    </xf>
    <xf numFmtId="179" fontId="44" fillId="0" borderId="0" xfId="8" applyNumberFormat="1" applyFont="1" applyProtection="1">
      <alignment vertical="center"/>
      <protection locked="0"/>
    </xf>
    <xf numFmtId="0" fontId="44" fillId="0" borderId="0" xfId="8" applyFont="1" applyAlignment="1" applyProtection="1">
      <alignment horizontal="center" vertical="center"/>
      <protection locked="0"/>
    </xf>
    <xf numFmtId="0" fontId="44" fillId="0" borderId="0" xfId="8" applyFont="1" applyAlignment="1">
      <alignment vertical="center" wrapText="1"/>
    </xf>
    <xf numFmtId="179" fontId="44" fillId="0" borderId="0" xfId="8" applyNumberFormat="1" applyFont="1">
      <alignment vertical="center"/>
    </xf>
    <xf numFmtId="0" fontId="44" fillId="0" borderId="0" xfId="8" applyFont="1" applyAlignment="1">
      <alignment horizontal="center" vertical="center"/>
    </xf>
    <xf numFmtId="0" fontId="103" fillId="6" borderId="1" xfId="0" applyFont="1" applyFill="1" applyBorder="1" applyAlignment="1" applyProtection="1">
      <alignment horizontal="center" vertical="center" wrapText="1"/>
      <protection locked="0"/>
    </xf>
    <xf numFmtId="10" fontId="95" fillId="0" borderId="0" xfId="8" applyNumberFormat="1" applyAlignment="1">
      <alignment horizontal="center" vertical="center" wrapText="1" shrinkToFit="1"/>
    </xf>
    <xf numFmtId="0" fontId="95" fillId="0" borderId="0" xfId="8" applyAlignment="1">
      <alignment horizontal="center" vertical="center" wrapText="1" shrinkToFit="1"/>
    </xf>
    <xf numFmtId="0" fontId="97" fillId="6" borderId="0" xfId="8" applyFont="1" applyFill="1" applyAlignment="1">
      <alignment vertical="center" wrapText="1"/>
    </xf>
    <xf numFmtId="10" fontId="95" fillId="0" borderId="0" xfId="8" applyNumberFormat="1" applyAlignment="1">
      <alignment horizontal="center" vertical="center" wrapText="1"/>
    </xf>
    <xf numFmtId="9" fontId="113" fillId="6" borderId="1" xfId="8" applyNumberFormat="1" applyFont="1" applyFill="1" applyBorder="1" applyAlignment="1">
      <alignment horizontal="center" vertical="center" wrapText="1" shrinkToFit="1"/>
    </xf>
    <xf numFmtId="0" fontId="95" fillId="0" borderId="1" xfId="8" applyBorder="1" applyAlignment="1">
      <alignment horizontal="center" vertical="center" wrapText="1" shrinkToFit="1"/>
    </xf>
    <xf numFmtId="0" fontId="94" fillId="0" borderId="19" xfId="0" applyNumberFormat="1" applyFont="1" applyFill="1" applyBorder="1" applyAlignment="1" applyProtection="1">
      <alignment horizontal="left" vertical="center" wrapText="1"/>
      <protection locked="0"/>
    </xf>
    <xf numFmtId="49" fontId="94" fillId="0" borderId="22" xfId="0" applyNumberFormat="1" applyFont="1" applyFill="1" applyBorder="1" applyAlignment="1" applyProtection="1">
      <alignment horizontal="left" vertical="center" wrapText="1"/>
      <protection locked="0"/>
    </xf>
    <xf numFmtId="49" fontId="94" fillId="0" borderId="16" xfId="0" applyNumberFormat="1" applyFont="1" applyFill="1" applyBorder="1" applyAlignment="1" applyProtection="1">
      <alignment horizontal="left" vertical="center" wrapText="1"/>
      <protection locked="0"/>
    </xf>
    <xf numFmtId="49" fontId="300" fillId="0" borderId="26" xfId="0" applyNumberFormat="1" applyFont="1" applyFill="1" applyBorder="1" applyAlignment="1" applyProtection="1">
      <alignment horizontal="left" vertical="center" wrapText="1"/>
      <protection locked="0"/>
    </xf>
    <xf numFmtId="49" fontId="300" fillId="0" borderId="16" xfId="0" applyNumberFormat="1" applyFont="1" applyFill="1" applyBorder="1" applyAlignment="1" applyProtection="1">
      <alignment horizontal="left" vertical="center" wrapText="1"/>
      <protection locked="0"/>
    </xf>
    <xf numFmtId="0" fontId="94" fillId="0" borderId="51" xfId="0" applyNumberFormat="1" applyFont="1" applyFill="1" applyBorder="1" applyAlignment="1" applyProtection="1">
      <alignment horizontal="left" vertical="center" wrapText="1"/>
      <protection locked="0"/>
    </xf>
    <xf numFmtId="186" fontId="95" fillId="0" borderId="1" xfId="8" applyNumberFormat="1" applyBorder="1" applyAlignment="1">
      <alignment horizontal="center" vertical="center" wrapText="1" shrinkToFit="1"/>
    </xf>
    <xf numFmtId="186" fontId="95" fillId="0" borderId="1" xfId="8" applyNumberFormat="1" applyBorder="1" applyAlignment="1">
      <alignment horizontal="center"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3" fillId="0" borderId="1" xfId="0" applyFont="1" applyBorder="1" applyProtection="1">
      <alignment vertical="center"/>
    </xf>
    <xf numFmtId="0" fontId="123" fillId="0" borderId="1" xfId="0" applyFont="1" applyBorder="1" applyAlignment="1" applyProtection="1">
      <alignment vertical="center" wrapText="1"/>
    </xf>
    <xf numFmtId="0" fontId="123" fillId="0" borderId="18" xfId="0" applyFont="1" applyBorder="1" applyProtection="1">
      <alignment vertical="center"/>
    </xf>
    <xf numFmtId="0" fontId="123" fillId="0" borderId="75" xfId="0" applyFont="1" applyBorder="1" applyProtection="1">
      <alignment vertical="center"/>
    </xf>
    <xf numFmtId="0" fontId="123" fillId="0" borderId="0" xfId="0" applyFont="1" applyBorder="1" applyAlignment="1" applyProtection="1">
      <alignment horizontal="center" vertical="center"/>
    </xf>
    <xf numFmtId="0" fontId="123" fillId="0" borderId="32" xfId="0" applyFont="1" applyBorder="1" applyAlignment="1" applyProtection="1">
      <alignment horizontal="center" vertical="center"/>
    </xf>
    <xf numFmtId="0" fontId="123" fillId="0" borderId="1" xfId="0" applyFont="1" applyBorder="1" applyAlignment="1" applyProtection="1">
      <alignment horizontal="center" vertical="center"/>
    </xf>
    <xf numFmtId="0" fontId="123" fillId="0" borderId="163" xfId="0" applyFont="1" applyBorder="1" applyAlignment="1" applyProtection="1">
      <alignment horizontal="left" vertical="center" wrapText="1"/>
    </xf>
    <xf numFmtId="0" fontId="123" fillId="0" borderId="164" xfId="0" applyFont="1" applyBorder="1" applyAlignment="1" applyProtection="1">
      <alignment horizontal="left" vertical="center" wrapText="1"/>
    </xf>
    <xf numFmtId="0" fontId="123" fillId="0" borderId="161" xfId="0" applyFont="1" applyBorder="1" applyAlignment="1" applyProtection="1">
      <alignment horizontal="left" vertical="center" wrapText="1"/>
    </xf>
    <xf numFmtId="0" fontId="123" fillId="0" borderId="162" xfId="0" applyFont="1" applyBorder="1" applyAlignment="1" applyProtection="1">
      <alignment horizontal="left" vertical="center" wrapText="1"/>
    </xf>
    <xf numFmtId="0" fontId="123"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2"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8" fillId="0" borderId="1" xfId="0" applyFont="1" applyFill="1" applyBorder="1" applyAlignment="1" applyProtection="1">
      <alignment horizontal="center" vertical="center" wrapText="1"/>
    </xf>
    <xf numFmtId="182" fontId="58" fillId="0" borderId="1" xfId="0" applyNumberFormat="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0" fontId="58" fillId="0" borderId="75" xfId="0" applyFont="1" applyFill="1" applyBorder="1" applyAlignment="1" applyProtection="1">
      <alignment horizontal="center" vertical="center" wrapText="1"/>
    </xf>
    <xf numFmtId="182" fontId="58" fillId="0" borderId="75"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58" fillId="0" borderId="32" xfId="0" applyFont="1" applyFill="1" applyBorder="1" applyAlignment="1" applyProtection="1">
      <alignment horizontal="center" vertical="center" wrapText="1"/>
    </xf>
    <xf numFmtId="182" fontId="58" fillId="0" borderId="2" xfId="0" applyNumberFormat="1" applyFont="1" applyFill="1" applyBorder="1" applyAlignment="1" applyProtection="1">
      <alignment horizontal="center" vertical="center" wrapText="1"/>
    </xf>
    <xf numFmtId="182" fontId="58" fillId="0" borderId="51" xfId="0" applyNumberFormat="1" applyFont="1" applyFill="1" applyBorder="1" applyAlignment="1" applyProtection="1">
      <alignment horizontal="center" vertical="center" wrapText="1"/>
    </xf>
    <xf numFmtId="182" fontId="58"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31" fillId="0" borderId="0" xfId="0" applyFont="1" applyBorder="1" applyAlignment="1">
      <alignment horizontal="left" vertical="center" wrapText="1"/>
    </xf>
    <xf numFmtId="0" fontId="134"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1" fillId="0" borderId="2"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2"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0" borderId="1" xfId="0" applyFont="1" applyBorder="1" applyAlignment="1" applyProtection="1">
      <alignment horizontal="left" vertical="center"/>
    </xf>
    <xf numFmtId="0" fontId="100" fillId="6" borderId="18" xfId="0" applyFont="1" applyFill="1" applyBorder="1" applyAlignment="1" applyProtection="1">
      <alignment horizontal="left" vertical="center"/>
    </xf>
    <xf numFmtId="0" fontId="100" fillId="6" borderId="49" xfId="0" applyFont="1" applyFill="1" applyBorder="1" applyAlignment="1" applyProtection="1">
      <alignment horizontal="left" vertical="center"/>
    </xf>
    <xf numFmtId="0" fontId="100" fillId="6" borderId="17" xfId="0" applyFont="1" applyFill="1" applyBorder="1" applyAlignment="1" applyProtection="1">
      <alignment horizontal="left" vertical="center"/>
    </xf>
    <xf numFmtId="0" fontId="124" fillId="6"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73" xfId="5" applyFont="1" applyBorder="1" applyAlignment="1">
      <alignment horizontal="left" vertical="center"/>
    </xf>
    <xf numFmtId="0" fontId="100" fillId="5" borderId="0" xfId="0" applyFont="1" applyFill="1" applyBorder="1" applyAlignment="1" applyProtection="1">
      <alignment horizontal="center" vertical="center" wrapText="1"/>
    </xf>
    <xf numFmtId="0" fontId="44" fillId="5" borderId="0" xfId="0" applyFont="1" applyFill="1" applyBorder="1" applyAlignment="1" applyProtection="1">
      <alignment vertical="center" wrapText="1"/>
    </xf>
    <xf numFmtId="0" fontId="44" fillId="5" borderId="63" xfId="0" applyFont="1" applyFill="1" applyBorder="1" applyAlignment="1" applyProtection="1">
      <alignment vertical="center" wrapText="1"/>
    </xf>
    <xf numFmtId="0" fontId="44" fillId="5" borderId="24" xfId="0" applyFont="1" applyFill="1" applyBorder="1" applyAlignment="1" applyProtection="1">
      <alignment vertical="center" wrapText="1"/>
    </xf>
    <xf numFmtId="0" fontId="44" fillId="5" borderId="52" xfId="0" applyFont="1" applyFill="1" applyBorder="1" applyAlignment="1" applyProtection="1">
      <alignment vertical="center" wrapText="1"/>
    </xf>
    <xf numFmtId="0" fontId="44" fillId="5" borderId="27" xfId="0" applyFont="1" applyFill="1" applyBorder="1" applyAlignment="1" applyProtection="1">
      <alignment vertical="center" wrapText="1"/>
    </xf>
    <xf numFmtId="0" fontId="44" fillId="5" borderId="4" xfId="0" applyFont="1" applyFill="1" applyBorder="1" applyAlignment="1" applyProtection="1">
      <alignment vertical="center" wrapText="1"/>
    </xf>
    <xf numFmtId="0" fontId="44" fillId="5" borderId="11" xfId="0" applyFont="1" applyFill="1" applyBorder="1" applyAlignment="1" applyProtection="1">
      <alignment vertical="center" wrapText="1"/>
    </xf>
    <xf numFmtId="0" fontId="44" fillId="5" borderId="52" xfId="0" applyFont="1" applyFill="1" applyBorder="1" applyAlignment="1" applyProtection="1">
      <alignment vertical="top" wrapText="1"/>
    </xf>
    <xf numFmtId="0" fontId="44" fillId="5" borderId="39" xfId="0" applyFont="1" applyFill="1" applyBorder="1" applyAlignment="1" applyProtection="1">
      <alignment vertical="top" wrapText="1"/>
    </xf>
    <xf numFmtId="0" fontId="44" fillId="5" borderId="63" xfId="0" applyFont="1" applyFill="1" applyBorder="1" applyAlignment="1" applyProtection="1">
      <alignment vertical="top" wrapText="1"/>
    </xf>
    <xf numFmtId="0" fontId="141" fillId="5" borderId="172" xfId="0" applyFont="1" applyFill="1" applyBorder="1" applyAlignment="1" applyProtection="1">
      <alignment horizontal="center" vertical="center" wrapText="1"/>
    </xf>
    <xf numFmtId="0" fontId="44" fillId="5" borderId="26" xfId="0" applyFont="1" applyFill="1" applyBorder="1" applyAlignment="1" applyProtection="1">
      <alignment vertical="center" wrapText="1"/>
    </xf>
    <xf numFmtId="0" fontId="44" fillId="5" borderId="7" xfId="0" applyFont="1" applyFill="1" applyBorder="1" applyAlignment="1" applyProtection="1">
      <alignment vertical="center" wrapText="1"/>
    </xf>
    <xf numFmtId="0" fontId="44" fillId="5" borderId="8" xfId="0" applyFont="1" applyFill="1" applyBorder="1" applyAlignment="1" applyProtection="1">
      <alignment vertical="center" wrapText="1"/>
    </xf>
    <xf numFmtId="0" fontId="77" fillId="5" borderId="22" xfId="0" applyFont="1" applyFill="1" applyBorder="1" applyAlignment="1" applyProtection="1">
      <alignment vertical="center" wrapText="1"/>
    </xf>
    <xf numFmtId="0" fontId="44" fillId="5" borderId="42" xfId="0" applyFont="1" applyFill="1" applyBorder="1" applyAlignment="1" applyProtection="1">
      <alignment vertical="center" wrapText="1"/>
    </xf>
    <xf numFmtId="0" fontId="44" fillId="5" borderId="61" xfId="0" applyFont="1" applyFill="1" applyBorder="1" applyAlignment="1" applyProtection="1">
      <alignment vertical="center" wrapText="1"/>
    </xf>
    <xf numFmtId="0" fontId="44" fillId="5" borderId="46" xfId="0" applyFont="1" applyFill="1" applyBorder="1" applyAlignment="1" applyProtection="1">
      <alignment vertical="center" wrapText="1"/>
    </xf>
    <xf numFmtId="0" fontId="44" fillId="5" borderId="28" xfId="0" applyFont="1" applyFill="1" applyBorder="1" applyAlignment="1" applyProtection="1">
      <alignment vertical="center" wrapText="1"/>
    </xf>
    <xf numFmtId="0" fontId="44" fillId="5" borderId="19" xfId="0" applyFont="1" applyFill="1" applyBorder="1" applyAlignment="1" applyProtection="1">
      <alignment vertical="center" wrapText="1"/>
    </xf>
    <xf numFmtId="0" fontId="44" fillId="5" borderId="3" xfId="0" applyFont="1" applyFill="1" applyBorder="1" applyAlignment="1" applyProtection="1">
      <alignment vertical="center" wrapText="1"/>
    </xf>
    <xf numFmtId="0" fontId="44" fillId="5" borderId="20" xfId="0" applyFont="1" applyFill="1" applyBorder="1" applyAlignment="1" applyProtection="1">
      <alignment vertical="center" wrapText="1"/>
    </xf>
    <xf numFmtId="0" fontId="44" fillId="5" borderId="56" xfId="0" applyFont="1" applyFill="1" applyBorder="1" applyAlignment="1" applyProtection="1">
      <alignment vertical="center" wrapText="1"/>
    </xf>
    <xf numFmtId="0" fontId="44" fillId="0" borderId="64" xfId="0" applyFont="1" applyFill="1" applyBorder="1" applyAlignment="1" applyProtection="1">
      <alignment vertical="center" wrapText="1"/>
      <protection locked="0"/>
    </xf>
    <xf numFmtId="0" fontId="44" fillId="0" borderId="68" xfId="0" applyFont="1" applyFill="1" applyBorder="1" applyAlignment="1" applyProtection="1">
      <alignment vertical="center" wrapText="1"/>
      <protection locked="0"/>
    </xf>
    <xf numFmtId="0" fontId="44" fillId="0" borderId="2" xfId="0" applyFont="1" applyFill="1" applyBorder="1" applyAlignment="1" applyProtection="1">
      <alignment vertical="center" wrapText="1"/>
      <protection locked="0"/>
    </xf>
    <xf numFmtId="0" fontId="44" fillId="0" borderId="41" xfId="0" applyFont="1" applyFill="1" applyBorder="1" applyAlignment="1" applyProtection="1">
      <alignment vertical="center" wrapText="1"/>
      <protection locked="0"/>
    </xf>
    <xf numFmtId="0" fontId="44" fillId="0" borderId="35" xfId="0" applyFont="1" applyFill="1" applyBorder="1" applyAlignment="1" applyProtection="1">
      <alignment vertical="center" wrapText="1"/>
      <protection locked="0"/>
    </xf>
    <xf numFmtId="0" fontId="44" fillId="0" borderId="80" xfId="0" applyFont="1" applyFill="1" applyBorder="1" applyAlignment="1" applyProtection="1">
      <alignment vertical="center" wrapText="1"/>
      <protection locked="0"/>
    </xf>
    <xf numFmtId="0" fontId="44" fillId="5" borderId="13" xfId="0" applyFont="1" applyFill="1" applyBorder="1" applyAlignment="1" applyProtection="1">
      <alignment vertical="center"/>
    </xf>
    <xf numFmtId="0" fontId="44" fillId="5" borderId="38" xfId="0" applyFont="1" applyFill="1" applyBorder="1" applyAlignment="1" applyProtection="1">
      <alignment vertical="center"/>
    </xf>
    <xf numFmtId="0" fontId="44" fillId="5" borderId="46" xfId="0" applyFont="1" applyFill="1" applyBorder="1" applyAlignment="1" applyProtection="1">
      <alignment vertical="center"/>
    </xf>
    <xf numFmtId="0" fontId="44" fillId="5" borderId="47" xfId="0" applyFont="1" applyFill="1" applyBorder="1" applyAlignment="1" applyProtection="1">
      <alignment vertical="center"/>
    </xf>
    <xf numFmtId="0" fontId="21" fillId="0" borderId="1" xfId="0" applyFont="1" applyFill="1" applyBorder="1" applyAlignment="1" applyProtection="1">
      <alignment horizontal="center" vertical="center" wrapText="1"/>
    </xf>
    <xf numFmtId="0" fontId="98" fillId="0" borderId="1" xfId="0" applyFont="1" applyBorder="1" applyAlignment="1">
      <alignment horizontal="center" vertical="center" wrapText="1"/>
    </xf>
    <xf numFmtId="179" fontId="43" fillId="5" borderId="22" xfId="0" applyNumberFormat="1" applyFont="1" applyFill="1" applyBorder="1" applyAlignment="1" applyProtection="1">
      <alignment horizontal="left" vertical="center" wrapText="1"/>
      <protection locked="0"/>
    </xf>
    <xf numFmtId="179" fontId="43" fillId="5" borderId="26" xfId="0" applyNumberFormat="1" applyFont="1" applyFill="1" applyBorder="1" applyAlignment="1" applyProtection="1">
      <alignment horizontal="left" vertical="center" wrapText="1"/>
      <protection locked="0"/>
    </xf>
    <xf numFmtId="0" fontId="40" fillId="5" borderId="117" xfId="0" applyFont="1" applyFill="1" applyBorder="1" applyAlignment="1" applyProtection="1">
      <alignment horizontal="left" vertical="center"/>
    </xf>
    <xf numFmtId="0" fontId="40" fillId="5" borderId="112" xfId="0" applyFont="1" applyFill="1" applyBorder="1" applyAlignment="1" applyProtection="1">
      <alignment horizontal="left" vertical="center"/>
    </xf>
    <xf numFmtId="0" fontId="48" fillId="5" borderId="1" xfId="0"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xf>
    <xf numFmtId="0" fontId="48" fillId="5" borderId="2"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7" fillId="18" borderId="1" xfId="0" applyNumberFormat="1" applyFont="1" applyFill="1" applyBorder="1" applyAlignment="1" applyProtection="1">
      <alignment horizontal="left" vertical="center"/>
    </xf>
    <xf numFmtId="0" fontId="48" fillId="5" borderId="18" xfId="0" applyFont="1" applyFill="1" applyBorder="1" applyAlignment="1" applyProtection="1">
      <alignment horizontal="left" vertical="center" textRotation="255" wrapText="1"/>
    </xf>
    <xf numFmtId="0" fontId="48" fillId="5" borderId="49" xfId="0" applyFont="1" applyFill="1" applyBorder="1" applyAlignment="1" applyProtection="1">
      <alignment horizontal="left" vertical="center" textRotation="255" wrapText="1"/>
    </xf>
    <xf numFmtId="0" fontId="48" fillId="5" borderId="17" xfId="0" applyFont="1" applyFill="1" applyBorder="1" applyAlignment="1" applyProtection="1">
      <alignment horizontal="left" vertical="center" textRotation="255" wrapText="1"/>
    </xf>
    <xf numFmtId="0" fontId="41" fillId="5" borderId="2"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48" fillId="5" borderId="27" xfId="0" applyFont="1" applyFill="1" applyBorder="1" applyAlignment="1" applyProtection="1">
      <alignment horizontal="left" vertical="center"/>
    </xf>
    <xf numFmtId="0" fontId="48" fillId="5" borderId="60" xfId="0" applyFont="1" applyFill="1" applyBorder="1" applyAlignment="1" applyProtection="1">
      <alignment horizontal="left" vertical="center"/>
    </xf>
    <xf numFmtId="0" fontId="48" fillId="5" borderId="25" xfId="0" applyFont="1" applyFill="1" applyBorder="1" applyAlignment="1" applyProtection="1">
      <alignment horizontal="left" vertical="center"/>
    </xf>
    <xf numFmtId="0" fontId="48" fillId="5" borderId="64"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1" fillId="5" borderId="51" xfId="0" applyFont="1" applyFill="1" applyBorder="1" applyAlignment="1" applyProtection="1">
      <alignment horizontal="left" vertical="center"/>
    </xf>
    <xf numFmtId="0" fontId="48" fillId="5" borderId="18" xfId="0" applyFont="1" applyFill="1" applyBorder="1" applyAlignment="1" applyProtection="1">
      <alignment horizontal="left" vertical="center" wrapText="1"/>
    </xf>
    <xf numFmtId="0" fontId="48" fillId="5" borderId="49"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xf>
    <xf numFmtId="0" fontId="48" fillId="5" borderId="49" xfId="0"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5" borderId="28" xfId="0" applyFont="1" applyFill="1" applyBorder="1" applyAlignment="1" applyProtection="1">
      <alignment horizontal="left" vertical="center" wrapText="1"/>
    </xf>
    <xf numFmtId="0" fontId="48" fillId="5" borderId="13"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25" xfId="0" applyFont="1" applyFill="1" applyBorder="1" applyAlignment="1" applyProtection="1">
      <alignment horizontal="left" vertical="center" wrapText="1"/>
    </xf>
    <xf numFmtId="0" fontId="48" fillId="5" borderId="64"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xf>
    <xf numFmtId="0" fontId="224" fillId="0" borderId="3" xfId="0" applyFont="1" applyFill="1" applyBorder="1" applyAlignment="1" applyProtection="1">
      <alignment horizontal="left" vertical="center" wrapText="1"/>
      <protection locked="0"/>
    </xf>
    <xf numFmtId="0" fontId="179" fillId="0" borderId="2" xfId="0" applyFont="1" applyFill="1" applyBorder="1" applyAlignment="1" applyProtection="1">
      <alignment horizontal="left" vertical="center" wrapText="1"/>
      <protection locked="0"/>
    </xf>
    <xf numFmtId="0" fontId="179" fillId="0" borderId="7" xfId="0" applyFont="1" applyFill="1" applyBorder="1" applyAlignment="1" applyProtection="1">
      <alignment horizontal="left" vertical="center" wrapText="1"/>
      <protection locked="0"/>
    </xf>
    <xf numFmtId="0" fontId="179" fillId="0" borderId="6" xfId="0" applyFont="1" applyFill="1" applyBorder="1" applyAlignment="1" applyProtection="1">
      <alignment horizontal="left" vertical="center" wrapText="1"/>
      <protection locked="0"/>
    </xf>
    <xf numFmtId="0" fontId="179" fillId="0" borderId="16" xfId="0" applyFont="1" applyFill="1" applyBorder="1" applyAlignment="1" applyProtection="1">
      <alignment horizontal="left" vertical="center" wrapText="1"/>
      <protection locked="0"/>
    </xf>
    <xf numFmtId="0" fontId="179" fillId="0" borderId="58" xfId="0" applyFont="1" applyFill="1" applyBorder="1" applyAlignment="1" applyProtection="1">
      <alignment horizontal="left" vertical="center" wrapText="1"/>
      <protection locked="0"/>
    </xf>
    <xf numFmtId="0" fontId="224" fillId="0" borderId="7" xfId="0" applyFont="1" applyFill="1" applyBorder="1" applyAlignment="1" applyProtection="1">
      <alignment horizontal="left" vertical="center" wrapText="1"/>
      <protection locked="0"/>
    </xf>
    <xf numFmtId="0" fontId="179" fillId="0" borderId="27" xfId="0" applyFont="1" applyFill="1" applyBorder="1" applyAlignment="1" applyProtection="1">
      <alignment horizontal="left" vertical="center" wrapText="1"/>
      <protection locked="0"/>
    </xf>
    <xf numFmtId="0" fontId="179" fillId="0" borderId="35" xfId="0" applyFont="1" applyFill="1" applyBorder="1" applyAlignment="1" applyProtection="1">
      <alignment horizontal="left" vertical="center" wrapText="1"/>
      <protection locked="0"/>
    </xf>
    <xf numFmtId="10" fontId="113" fillId="0" borderId="1" xfId="8" applyNumberFormat="1" applyFont="1" applyBorder="1" applyAlignment="1">
      <alignment horizontal="center" vertical="center" wrapText="1" shrinkToFit="1"/>
    </xf>
    <xf numFmtId="0" fontId="113" fillId="0" borderId="2" xfId="8" applyFont="1" applyBorder="1" applyAlignment="1">
      <alignment horizontal="center" vertical="center" wrapText="1" shrinkToFit="1"/>
    </xf>
    <xf numFmtId="0" fontId="113" fillId="0" borderId="51" xfId="8" applyFont="1" applyBorder="1" applyAlignment="1">
      <alignment horizontal="center" vertical="center" wrapText="1" shrinkToFit="1"/>
    </xf>
    <xf numFmtId="0" fontId="113" fillId="0" borderId="3" xfId="8" applyFont="1" applyBorder="1" applyAlignment="1">
      <alignment horizontal="center" vertical="center" wrapText="1" shrinkToFit="1"/>
    </xf>
    <xf numFmtId="0" fontId="113" fillId="0" borderId="1" xfId="8" applyFont="1" applyBorder="1" applyAlignment="1">
      <alignment horizontal="center" vertical="center" wrapText="1" shrinkToFit="1"/>
    </xf>
    <xf numFmtId="179" fontId="148" fillId="0" borderId="1" xfId="8" applyNumberFormat="1" applyFont="1" applyBorder="1" applyAlignment="1">
      <alignment horizontal="center" vertical="center" wrapText="1"/>
    </xf>
    <xf numFmtId="0" fontId="265" fillId="24" borderId="0" xfId="8" applyFont="1" applyFill="1" applyAlignment="1">
      <alignment horizontal="center" vertical="center" wrapText="1"/>
    </xf>
    <xf numFmtId="0" fontId="148" fillId="0" borderId="1" xfId="8" applyFont="1" applyBorder="1" applyAlignment="1">
      <alignment horizontal="center" vertical="center" wrapText="1"/>
    </xf>
    <xf numFmtId="0" fontId="113" fillId="0" borderId="1" xfId="8" applyFont="1" applyBorder="1" applyAlignment="1">
      <alignment horizontal="left" vertical="center" wrapText="1" shrinkToFit="1"/>
    </xf>
    <xf numFmtId="179" fontId="113" fillId="0" borderId="35" xfId="8" applyNumberFormat="1" applyFont="1" applyBorder="1" applyAlignment="1">
      <alignment horizontal="center" vertical="center" wrapText="1" shrinkToFit="1"/>
    </xf>
    <xf numFmtId="179" fontId="113" fillId="0" borderId="36" xfId="8" applyNumberFormat="1" applyFont="1" applyBorder="1" applyAlignment="1">
      <alignment horizontal="center" vertical="center" wrapText="1" shrinkToFit="1"/>
    </xf>
    <xf numFmtId="179" fontId="113" fillId="0" borderId="27" xfId="8" applyNumberFormat="1" applyFont="1" applyBorder="1" applyAlignment="1">
      <alignment horizontal="center" vertical="center" wrapText="1" shrinkToFit="1"/>
    </xf>
    <xf numFmtId="179" fontId="113" fillId="0" borderId="64" xfId="8" applyNumberFormat="1" applyFont="1" applyBorder="1" applyAlignment="1">
      <alignment horizontal="center" vertical="center" wrapText="1" shrinkToFit="1"/>
    </xf>
    <xf numFmtId="179" fontId="113" fillId="0" borderId="65" xfId="8" applyNumberFormat="1" applyFont="1" applyBorder="1" applyAlignment="1">
      <alignment horizontal="center" vertical="center" wrapText="1" shrinkToFit="1"/>
    </xf>
    <xf numFmtId="179" fontId="113" fillId="0" borderId="24" xfId="8" applyNumberFormat="1" applyFont="1" applyBorder="1" applyAlignment="1">
      <alignment horizontal="center" vertical="center" wrapText="1" shrinkToFit="1"/>
    </xf>
    <xf numFmtId="0" fontId="113" fillId="0" borderId="2" xfId="8" applyFont="1" applyBorder="1" applyAlignment="1">
      <alignment horizontal="right" vertical="center" wrapText="1" shrinkToFit="1"/>
    </xf>
    <xf numFmtId="0" fontId="113" fillId="0" borderId="51" xfId="8" applyFont="1" applyBorder="1" applyAlignment="1">
      <alignment horizontal="right" vertical="center" wrapText="1" shrinkToFit="1"/>
    </xf>
    <xf numFmtId="10" fontId="113" fillId="0" borderId="51" xfId="8" applyNumberFormat="1" applyFont="1" applyBorder="1" applyAlignment="1">
      <alignment horizontal="left" vertical="center" wrapText="1" shrinkToFit="1"/>
    </xf>
    <xf numFmtId="10" fontId="113" fillId="0" borderId="3" xfId="8" applyNumberFormat="1" applyFont="1" applyBorder="1" applyAlignment="1">
      <alignment horizontal="left" vertical="center" wrapText="1" shrinkToFit="1"/>
    </xf>
    <xf numFmtId="183" fontId="113" fillId="0" borderId="1" xfId="8" applyNumberFormat="1" applyFont="1" applyBorder="1" applyAlignment="1">
      <alignment horizontal="center" vertical="center" wrapText="1" shrinkToFit="1"/>
    </xf>
    <xf numFmtId="9" fontId="113" fillId="0" borderId="18" xfId="8" applyNumberFormat="1" applyFont="1" applyBorder="1" applyAlignment="1">
      <alignment horizontal="left" vertical="center" wrapText="1" shrinkToFit="1"/>
    </xf>
    <xf numFmtId="9" fontId="113" fillId="0" borderId="17" xfId="8" applyNumberFormat="1" applyFont="1" applyBorder="1" applyAlignment="1">
      <alignment horizontal="left" vertical="center" wrapText="1" shrinkToFit="1"/>
    </xf>
    <xf numFmtId="9" fontId="113" fillId="0" borderId="1" xfId="8" applyNumberFormat="1" applyFont="1" applyBorder="1" applyAlignment="1">
      <alignment horizontal="center" vertical="center" wrapText="1" shrinkToFit="1"/>
    </xf>
    <xf numFmtId="0" fontId="113" fillId="0" borderId="51" xfId="8" applyFont="1" applyBorder="1" applyAlignment="1">
      <alignment horizontal="left" vertical="center" wrapText="1" shrinkToFit="1"/>
    </xf>
    <xf numFmtId="0" fontId="113" fillId="0" borderId="3" xfId="8" applyFont="1" applyBorder="1" applyAlignment="1">
      <alignment horizontal="left" vertical="center" wrapText="1" shrinkToFit="1"/>
    </xf>
    <xf numFmtId="181" fontId="113" fillId="0" borderId="1" xfId="8" applyNumberFormat="1" applyFont="1" applyBorder="1" applyAlignment="1">
      <alignment horizontal="center" vertical="center" wrapText="1" shrinkToFit="1"/>
    </xf>
    <xf numFmtId="180" fontId="113" fillId="0" borderId="2" xfId="8" applyNumberFormat="1" applyFont="1" applyBorder="1" applyAlignment="1">
      <alignment horizontal="right" vertical="center" wrapText="1" shrinkToFit="1"/>
    </xf>
    <xf numFmtId="180" fontId="113" fillId="0" borderId="51" xfId="8" applyNumberFormat="1" applyFont="1" applyBorder="1" applyAlignment="1">
      <alignment horizontal="right" vertical="center" wrapText="1" shrinkToFit="1"/>
    </xf>
    <xf numFmtId="0" fontId="118" fillId="0" borderId="0" xfId="8" applyFont="1" applyAlignment="1">
      <alignment horizontal="center" vertical="center" wrapText="1"/>
    </xf>
    <xf numFmtId="0" fontId="95" fillId="0" borderId="1" xfId="8" applyBorder="1" applyAlignment="1">
      <alignment horizontal="center" vertical="center" wrapText="1"/>
    </xf>
    <xf numFmtId="0" fontId="113" fillId="0" borderId="35" xfId="8" applyFont="1" applyBorder="1" applyAlignment="1">
      <alignment horizontal="center" vertical="center" wrapText="1" shrinkToFit="1"/>
    </xf>
    <xf numFmtId="0" fontId="113" fillId="0" borderId="36" xfId="8" applyFont="1" applyBorder="1" applyAlignment="1">
      <alignment horizontal="center" vertical="center" wrapText="1" shrinkToFit="1"/>
    </xf>
    <xf numFmtId="0" fontId="113" fillId="0" borderId="27" xfId="8" applyFont="1" applyBorder="1" applyAlignment="1">
      <alignment horizontal="center" vertical="center" wrapText="1" shrinkToFit="1"/>
    </xf>
    <xf numFmtId="0" fontId="113" fillId="0" borderId="60" xfId="8" applyFont="1" applyBorder="1" applyAlignment="1">
      <alignment horizontal="center" vertical="center" wrapText="1" shrinkToFit="1"/>
    </xf>
    <xf numFmtId="0" fontId="113" fillId="0" borderId="0" xfId="8" applyFont="1" applyAlignment="1">
      <alignment horizontal="center" vertical="center" wrapText="1" shrinkToFit="1"/>
    </xf>
    <xf numFmtId="0" fontId="113" fillId="0" borderId="25" xfId="8" applyFont="1" applyBorder="1" applyAlignment="1">
      <alignment horizontal="center" vertical="center" wrapText="1" shrinkToFit="1"/>
    </xf>
    <xf numFmtId="0" fontId="113" fillId="0" borderId="64" xfId="8" applyFont="1" applyBorder="1" applyAlignment="1">
      <alignment horizontal="center" vertical="center" wrapText="1" shrinkToFit="1"/>
    </xf>
    <xf numFmtId="0" fontId="113" fillId="0" borderId="65" xfId="8" applyFont="1" applyBorder="1" applyAlignment="1">
      <alignment horizontal="center" vertical="center" wrapText="1" shrinkToFit="1"/>
    </xf>
    <xf numFmtId="0" fontId="113" fillId="0" borderId="24" xfId="8" applyFont="1" applyBorder="1" applyAlignment="1">
      <alignment horizontal="center" vertical="center" wrapText="1" shrinkToFit="1"/>
    </xf>
    <xf numFmtId="0" fontId="95" fillId="0" borderId="1" xfId="8" applyBorder="1" applyAlignment="1">
      <alignment horizontal="center" vertical="center" wrapText="1" shrinkToFit="1"/>
    </xf>
    <xf numFmtId="0" fontId="103" fillId="5" borderId="40" xfId="0" applyFont="1" applyFill="1" applyBorder="1" applyAlignment="1" applyProtection="1">
      <alignment horizontal="left" vertical="center" wrapText="1"/>
    </xf>
    <xf numFmtId="0" fontId="103" fillId="5" borderId="40"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49" fillId="5" borderId="19"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2" xfId="0" applyFont="1" applyFill="1" applyBorder="1" applyAlignment="1" applyProtection="1">
      <alignment horizontal="left" vertical="center" wrapText="1"/>
    </xf>
    <xf numFmtId="0" fontId="49" fillId="5" borderId="27" xfId="0" applyFont="1" applyFill="1" applyBorder="1" applyAlignment="1" applyProtection="1">
      <alignment horizontal="left" vertical="center" wrapText="1"/>
    </xf>
    <xf numFmtId="0" fontId="49" fillId="5" borderId="29" xfId="0" applyFont="1" applyFill="1" applyBorder="1" applyAlignment="1" applyProtection="1">
      <alignment horizontal="left" vertical="center" wrapText="1"/>
    </xf>
    <xf numFmtId="0" fontId="49" fillId="5" borderId="70" xfId="0" applyFont="1" applyFill="1" applyBorder="1" applyAlignment="1" applyProtection="1">
      <alignment horizontal="left" vertical="center" wrapText="1"/>
    </xf>
    <xf numFmtId="0" fontId="49" fillId="5" borderId="51" xfId="0" applyFont="1" applyFill="1" applyBorder="1" applyAlignment="1" applyProtection="1">
      <alignment horizontal="left" vertical="center" wrapText="1"/>
    </xf>
    <xf numFmtId="182" fontId="44" fillId="5" borderId="2" xfId="0" applyNumberFormat="1" applyFont="1" applyFill="1" applyBorder="1" applyAlignment="1" applyProtection="1">
      <alignment horizontal="left" vertical="center" wrapText="1"/>
    </xf>
    <xf numFmtId="182" fontId="44" fillId="5" borderId="51" xfId="0" applyNumberFormat="1" applyFont="1" applyFill="1" applyBorder="1" applyAlignment="1" applyProtection="1">
      <alignment horizontal="left" vertical="center" wrapText="1"/>
    </xf>
    <xf numFmtId="182" fontId="44" fillId="5" borderId="41" xfId="0" applyNumberFormat="1"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4" fillId="5" borderId="19" xfId="0" applyFont="1" applyFill="1" applyBorder="1" applyAlignment="1" applyProtection="1">
      <alignment horizontal="left" vertical="center" shrinkToFit="1"/>
    </xf>
    <xf numFmtId="0" fontId="44" fillId="5" borderId="3" xfId="0" applyFont="1" applyFill="1" applyBorder="1" applyAlignment="1" applyProtection="1">
      <alignment horizontal="left" vertical="center" shrinkToFit="1"/>
    </xf>
    <xf numFmtId="0" fontId="49" fillId="5" borderId="118"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shrinkToFit="1"/>
      <protection locked="0"/>
    </xf>
    <xf numFmtId="0" fontId="49" fillId="0" borderId="3" xfId="0" applyFont="1" applyFill="1" applyBorder="1" applyAlignment="1" applyProtection="1">
      <alignment horizontal="left" vertical="center" shrinkToFit="1"/>
      <protection locked="0"/>
    </xf>
    <xf numFmtId="0" fontId="44" fillId="5" borderId="8"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wrapText="1"/>
    </xf>
    <xf numFmtId="182" fontId="44" fillId="5" borderId="2" xfId="0" applyNumberFormat="1" applyFont="1" applyFill="1" applyBorder="1" applyAlignment="1" applyProtection="1">
      <alignment horizontal="left" vertical="center" shrinkToFit="1"/>
    </xf>
    <xf numFmtId="182" fontId="44" fillId="5" borderId="41" xfId="0" applyNumberFormat="1" applyFont="1" applyFill="1" applyBorder="1" applyAlignment="1" applyProtection="1">
      <alignment horizontal="left" vertical="center" shrinkToFit="1"/>
    </xf>
    <xf numFmtId="182" fontId="44" fillId="5" borderId="72" xfId="0" applyNumberFormat="1" applyFont="1" applyFill="1" applyBorder="1" applyAlignment="1" applyProtection="1">
      <alignment horizontal="left" vertical="center" wrapText="1"/>
    </xf>
    <xf numFmtId="182" fontId="44" fillId="5" borderId="40" xfId="0" applyNumberFormat="1" applyFont="1" applyFill="1" applyBorder="1" applyAlignment="1" applyProtection="1">
      <alignment horizontal="left" vertical="center" wrapText="1"/>
    </xf>
    <xf numFmtId="182" fontId="44" fillId="5" borderId="30" xfId="0" applyNumberFormat="1"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wrapText="1"/>
    </xf>
    <xf numFmtId="10" fontId="44" fillId="5" borderId="51" xfId="0" applyNumberFormat="1" applyFont="1" applyFill="1" applyBorder="1" applyAlignment="1" applyProtection="1">
      <alignment horizontal="left" vertical="center" wrapText="1"/>
    </xf>
    <xf numFmtId="10" fontId="44" fillId="5" borderId="41" xfId="0" applyNumberFormat="1" applyFont="1" applyFill="1" applyBorder="1" applyAlignment="1" applyProtection="1">
      <alignment horizontal="left" vertical="center" wrapText="1"/>
    </xf>
    <xf numFmtId="0" fontId="49" fillId="5" borderId="46"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1" fillId="0" borderId="18" xfId="0" applyFont="1" applyBorder="1" applyAlignment="1" applyProtection="1">
      <alignment horizontal="left" vertical="center"/>
      <protection locked="0"/>
    </xf>
    <xf numFmtId="0" fontId="41" fillId="0" borderId="17" xfId="0" applyFont="1" applyBorder="1" applyAlignment="1" applyProtection="1">
      <alignment horizontal="left" vertical="center"/>
      <protection locked="0"/>
    </xf>
    <xf numFmtId="0" fontId="43" fillId="5" borderId="22" xfId="0" applyFont="1" applyFill="1" applyBorder="1" applyAlignment="1" applyProtection="1">
      <alignment horizontal="left" vertical="center" wrapText="1"/>
    </xf>
    <xf numFmtId="0" fontId="43" fillId="5" borderId="26"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0" fontId="49" fillId="5" borderId="36" xfId="0" applyFont="1" applyFill="1" applyBorder="1" applyAlignment="1" applyProtection="1">
      <alignment horizontal="left" vertical="center" wrapText="1"/>
    </xf>
    <xf numFmtId="0" fontId="49" fillId="5" borderId="40" xfId="0" applyFont="1" applyFill="1" applyBorder="1" applyAlignment="1" applyProtection="1">
      <alignment horizontal="center" vertical="center"/>
    </xf>
    <xf numFmtId="0" fontId="145" fillId="5" borderId="60" xfId="0" applyFont="1" applyFill="1" applyBorder="1" applyAlignment="1" applyProtection="1">
      <alignment horizontal="left" vertical="center" wrapText="1"/>
    </xf>
    <xf numFmtId="0" fontId="145" fillId="5" borderId="0" xfId="0" applyFont="1" applyFill="1" applyAlignment="1" applyProtection="1">
      <alignment horizontal="left" vertical="center" wrapText="1"/>
    </xf>
    <xf numFmtId="0" fontId="225" fillId="5" borderId="0" xfId="0" applyFont="1" applyFill="1" applyAlignment="1" applyProtection="1">
      <alignment horizontal="center" vertical="center"/>
    </xf>
    <xf numFmtId="0" fontId="44" fillId="5" borderId="41" xfId="0" applyFont="1" applyFill="1" applyBorder="1" applyAlignment="1" applyProtection="1">
      <alignment horizontal="left" vertical="center" wrapText="1"/>
    </xf>
    <xf numFmtId="0" fontId="41" fillId="0" borderId="1" xfId="0" applyFont="1" applyBorder="1" applyAlignment="1" applyProtection="1">
      <alignment horizontal="left" vertical="center"/>
      <protection locked="0"/>
    </xf>
    <xf numFmtId="0" fontId="44" fillId="5" borderId="63" xfId="0" applyFont="1" applyFill="1" applyBorder="1" applyAlignment="1" applyProtection="1">
      <alignment horizontal="center" vertical="center"/>
    </xf>
    <xf numFmtId="0" fontId="44" fillId="5" borderId="65" xfId="0" applyFont="1" applyFill="1" applyBorder="1" applyAlignment="1" applyProtection="1">
      <alignment horizontal="center" vertical="center"/>
    </xf>
    <xf numFmtId="0" fontId="41" fillId="0" borderId="49" xfId="0" applyFont="1" applyBorder="1" applyAlignment="1" applyProtection="1">
      <alignment horizontal="left" vertical="center"/>
      <protection locked="0"/>
    </xf>
    <xf numFmtId="0" fontId="51" fillId="5" borderId="4"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43" fillId="5" borderId="23" xfId="0" applyFont="1" applyFill="1" applyBorder="1" applyAlignment="1" applyProtection="1">
      <alignment horizontal="left" vertical="center" wrapText="1"/>
    </xf>
    <xf numFmtId="0" fontId="51" fillId="5" borderId="39"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182" fontId="44" fillId="5" borderId="118" xfId="0" applyNumberFormat="1" applyFont="1" applyFill="1" applyBorder="1" applyAlignment="1" applyProtection="1">
      <alignment horizontal="left" vertical="center" wrapText="1"/>
    </xf>
    <xf numFmtId="0" fontId="131" fillId="5" borderId="0" xfId="0" applyFont="1" applyFill="1" applyBorder="1" applyAlignment="1" applyProtection="1">
      <alignment horizontal="center" vertical="center" shrinkToFit="1"/>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110" fillId="8" borderId="18" xfId="0" applyFont="1" applyFill="1" applyBorder="1" applyAlignment="1" applyProtection="1">
      <alignment horizontal="left" vertical="center" wrapText="1"/>
    </xf>
    <xf numFmtId="0" fontId="110" fillId="8" borderId="17" xfId="0" applyFont="1" applyFill="1" applyBorder="1" applyAlignment="1" applyProtection="1">
      <alignment horizontal="left" vertical="center" wrapText="1"/>
    </xf>
    <xf numFmtId="0" fontId="110" fillId="8" borderId="1" xfId="0" applyFont="1" applyFill="1" applyBorder="1" applyAlignment="1" applyProtection="1">
      <alignment horizontal="left" vertical="center" wrapText="1"/>
    </xf>
    <xf numFmtId="182" fontId="44" fillId="5" borderId="3" xfId="0" applyNumberFormat="1" applyFont="1" applyFill="1" applyBorder="1" applyAlignment="1" applyProtection="1">
      <alignment horizontal="left" vertical="center" shrinkToFit="1"/>
    </xf>
    <xf numFmtId="0" fontId="44" fillId="5" borderId="19" xfId="0" applyFont="1" applyFill="1" applyBorder="1" applyAlignment="1" applyProtection="1">
      <alignment horizontal="left" vertical="center" wrapText="1"/>
    </xf>
    <xf numFmtId="0" fontId="103" fillId="5" borderId="7" xfId="0" applyFont="1" applyFill="1" applyBorder="1" applyAlignment="1" applyProtection="1">
      <alignment horizontal="left" vertical="center" wrapText="1"/>
    </xf>
    <xf numFmtId="0" fontId="103" fillId="5" borderId="8"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shrinkToFit="1"/>
    </xf>
    <xf numFmtId="0" fontId="103" fillId="5" borderId="6" xfId="0" applyFont="1" applyFill="1" applyBorder="1" applyAlignment="1" applyProtection="1">
      <alignment horizontal="left" vertical="center" shrinkToFit="1"/>
    </xf>
    <xf numFmtId="0" fontId="103" fillId="5" borderId="1" xfId="0" applyFont="1" applyFill="1" applyBorder="1" applyAlignment="1" applyProtection="1">
      <alignment horizontal="left" vertical="center" wrapText="1"/>
    </xf>
    <xf numFmtId="0" fontId="103" fillId="5" borderId="6"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shrinkToFit="1"/>
      <protection locked="0"/>
    </xf>
    <xf numFmtId="0" fontId="49" fillId="0" borderId="1" xfId="0" applyFont="1" applyFill="1" applyBorder="1" applyAlignment="1" applyProtection="1">
      <alignment horizontal="left" vertical="center" shrinkToFit="1"/>
      <protection locked="0"/>
    </xf>
    <xf numFmtId="0" fontId="43" fillId="5" borderId="46" xfId="0" applyFont="1" applyFill="1" applyBorder="1" applyAlignment="1" applyProtection="1">
      <alignment horizontal="center" vertical="center" wrapText="1"/>
    </xf>
    <xf numFmtId="0" fontId="43" fillId="5" borderId="47" xfId="0" applyFont="1" applyFill="1" applyBorder="1" applyAlignment="1" applyProtection="1">
      <alignment horizontal="center" vertical="center" wrapText="1"/>
    </xf>
    <xf numFmtId="0" fontId="43" fillId="5" borderId="38" xfId="0" applyFont="1" applyFill="1" applyBorder="1" applyAlignment="1" applyProtection="1">
      <alignment horizontal="center" vertical="center" wrapText="1"/>
    </xf>
    <xf numFmtId="0" fontId="199" fillId="8" borderId="2" xfId="0" applyFont="1" applyFill="1" applyBorder="1" applyAlignment="1" applyProtection="1">
      <alignment horizontal="left" vertical="center"/>
    </xf>
    <xf numFmtId="0" fontId="199" fillId="8" borderId="51" xfId="0" applyFont="1" applyFill="1" applyBorder="1" applyAlignment="1" applyProtection="1">
      <alignment horizontal="left" vertical="center"/>
    </xf>
    <xf numFmtId="0" fontId="249" fillId="5" borderId="1" xfId="0"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4" fillId="6" borderId="2" xfId="0" applyFont="1" applyFill="1" applyBorder="1" applyAlignment="1" applyProtection="1">
      <alignment horizontal="left" vertical="center" wrapText="1"/>
      <protection locked="0"/>
    </xf>
    <xf numFmtId="0" fontId="44" fillId="6"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106" fillId="5" borderId="119" xfId="0" applyFont="1" applyFill="1" applyBorder="1" applyAlignment="1" applyProtection="1">
      <alignment vertical="center" wrapText="1"/>
    </xf>
    <xf numFmtId="0" fontId="106" fillId="5" borderId="120" xfId="0" applyFont="1" applyFill="1" applyBorder="1" applyAlignment="1" applyProtection="1">
      <alignment vertical="center" wrapText="1"/>
    </xf>
    <xf numFmtId="10" fontId="77" fillId="5" borderId="1" xfId="0" applyNumberFormat="1" applyFont="1" applyFill="1" applyBorder="1" applyAlignment="1" applyProtection="1">
      <alignment horizontal="left" vertical="center" wrapText="1"/>
    </xf>
    <xf numFmtId="0" fontId="199" fillId="8" borderId="3" xfId="0" applyFont="1" applyFill="1" applyBorder="1" applyAlignment="1" applyProtection="1">
      <alignment horizontal="left" vertical="center"/>
    </xf>
    <xf numFmtId="0" fontId="44" fillId="5" borderId="58" xfId="0" applyFont="1" applyFill="1" applyBorder="1" applyAlignment="1" applyProtection="1">
      <alignment horizontal="left" vertical="center"/>
    </xf>
    <xf numFmtId="0" fontId="44" fillId="5" borderId="50" xfId="0" applyFont="1" applyFill="1" applyBorder="1" applyAlignment="1" applyProtection="1">
      <alignment horizontal="left" vertical="center"/>
    </xf>
    <xf numFmtId="0" fontId="44" fillId="5" borderId="34" xfId="0" applyFont="1" applyFill="1" applyBorder="1" applyAlignment="1" applyProtection="1">
      <alignment horizontal="left" vertical="center"/>
    </xf>
    <xf numFmtId="0" fontId="49" fillId="5" borderId="80" xfId="0" applyFont="1" applyFill="1" applyBorder="1" applyAlignment="1" applyProtection="1">
      <alignment horizontal="left" vertical="center" wrapText="1"/>
    </xf>
    <xf numFmtId="0" fontId="42" fillId="5" borderId="0" xfId="0" applyFont="1" applyFill="1" applyBorder="1" applyAlignment="1" applyProtection="1">
      <alignment horizontal="center" vertical="center" wrapText="1"/>
    </xf>
    <xf numFmtId="0" fontId="118" fillId="8" borderId="1" xfId="0" applyFont="1" applyFill="1" applyBorder="1" applyAlignment="1" applyProtection="1">
      <alignment horizontal="center" vertical="center" wrapText="1"/>
    </xf>
    <xf numFmtId="0" fontId="118"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92" fontId="247" fillId="8" borderId="1" xfId="0" applyNumberFormat="1" applyFont="1" applyFill="1" applyBorder="1" applyAlignment="1" applyProtection="1">
      <alignment horizontal="left" vertical="center" wrapText="1"/>
    </xf>
    <xf numFmtId="0" fontId="49" fillId="5" borderId="63" xfId="0" applyFont="1" applyFill="1" applyBorder="1" applyAlignment="1" applyProtection="1">
      <alignment horizontal="left" vertical="center" wrapText="1"/>
    </xf>
    <xf numFmtId="0" fontId="49" fillId="5" borderId="24" xfId="0" applyFont="1" applyFill="1" applyBorder="1" applyAlignment="1" applyProtection="1">
      <alignment horizontal="left" vertical="center" wrapText="1"/>
    </xf>
    <xf numFmtId="0" fontId="103" fillId="5" borderId="23" xfId="0" applyFont="1" applyFill="1" applyBorder="1" applyAlignment="1" applyProtection="1">
      <alignment horizontal="left" vertical="center" wrapText="1"/>
    </xf>
    <xf numFmtId="0" fontId="228" fillId="5" borderId="121"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43" fillId="5" borderId="63" xfId="0" applyFont="1" applyFill="1" applyBorder="1" applyAlignment="1" applyProtection="1">
      <alignment horizontal="center"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protection locked="0"/>
    </xf>
    <xf numFmtId="0" fontId="49" fillId="0" borderId="19" xfId="0" applyFont="1" applyFill="1" applyBorder="1" applyAlignment="1" applyProtection="1">
      <alignment horizontal="left" vertical="center" wrapText="1"/>
      <protection locked="0"/>
    </xf>
    <xf numFmtId="0" fontId="49" fillId="0" borderId="3" xfId="0" applyFont="1" applyFill="1" applyBorder="1" applyAlignment="1" applyProtection="1">
      <alignment horizontal="left" vertical="center" wrapText="1"/>
      <protection locked="0"/>
    </xf>
    <xf numFmtId="0" fontId="43" fillId="5" borderId="4" xfId="0" applyFont="1" applyFill="1" applyBorder="1" applyAlignment="1" applyProtection="1">
      <alignment horizontal="center" vertical="center" wrapText="1"/>
    </xf>
    <xf numFmtId="0" fontId="43" fillId="5" borderId="11" xfId="0" applyFont="1" applyFill="1" applyBorder="1" applyAlignment="1" applyProtection="1">
      <alignment horizontal="center" vertical="center" wrapText="1"/>
    </xf>
    <xf numFmtId="0" fontId="43" fillId="5" borderId="31" xfId="0" applyFont="1" applyFill="1" applyBorder="1" applyAlignment="1" applyProtection="1">
      <alignment horizontal="center" vertical="center" wrapText="1"/>
    </xf>
    <xf numFmtId="0" fontId="51" fillId="5" borderId="39" xfId="0"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103" fillId="8" borderId="18" xfId="0" applyFont="1" applyFill="1" applyBorder="1" applyAlignment="1" applyProtection="1">
      <alignment horizontal="left" vertical="center" wrapText="1"/>
    </xf>
    <xf numFmtId="0" fontId="103" fillId="8" borderId="17"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xf>
    <xf numFmtId="0" fontId="44" fillId="8" borderId="2" xfId="0" applyFont="1" applyFill="1" applyBorder="1" applyAlignment="1" applyProtection="1">
      <alignment horizontal="left" vertical="center"/>
    </xf>
    <xf numFmtId="0" fontId="44" fillId="8" borderId="51" xfId="0" applyFont="1" applyFill="1" applyBorder="1" applyAlignment="1" applyProtection="1">
      <alignment horizontal="left" vertical="center"/>
    </xf>
    <xf numFmtId="0" fontId="104" fillId="8" borderId="1" xfId="0" applyFont="1" applyFill="1" applyBorder="1" applyAlignment="1" applyProtection="1">
      <alignment horizontal="left" vertical="center" wrapText="1"/>
    </xf>
    <xf numFmtId="0" fontId="136" fillId="8" borderId="1" xfId="0" applyFont="1" applyFill="1" applyBorder="1" applyAlignment="1" applyProtection="1">
      <alignment horizontal="left" vertical="center" wrapText="1"/>
    </xf>
    <xf numFmtId="0" fontId="44" fillId="8" borderId="3" xfId="0" applyFont="1" applyFill="1" applyBorder="1" applyAlignment="1" applyProtection="1">
      <alignment horizontal="left" vertical="center"/>
    </xf>
    <xf numFmtId="0" fontId="228" fillId="5" borderId="0" xfId="0" applyFont="1" applyFill="1" applyAlignment="1" applyProtection="1">
      <alignment horizontal="center" vertical="center"/>
    </xf>
    <xf numFmtId="0" fontId="174" fillId="5" borderId="1" xfId="0" applyFont="1" applyFill="1" applyBorder="1" applyAlignment="1" applyProtection="1">
      <alignment horizontal="left" vertical="center" wrapText="1"/>
    </xf>
    <xf numFmtId="0" fontId="104" fillId="8" borderId="1" xfId="0" applyFont="1" applyFill="1" applyBorder="1" applyAlignment="1" applyProtection="1">
      <alignment horizontal="center" vertical="center" wrapText="1"/>
    </xf>
    <xf numFmtId="0" fontId="136" fillId="0" borderId="1" xfId="0" applyFont="1" applyFill="1" applyBorder="1" applyAlignment="1" applyProtection="1">
      <alignment horizontal="left" vertical="center" wrapText="1"/>
    </xf>
    <xf numFmtId="192" fontId="136" fillId="8" borderId="1" xfId="0" applyNumberFormat="1" applyFont="1" applyFill="1" applyBorder="1" applyAlignment="1" applyProtection="1">
      <alignment horizontal="left" vertical="center" wrapText="1"/>
    </xf>
    <xf numFmtId="0" fontId="119" fillId="5" borderId="14" xfId="0" applyFont="1" applyFill="1" applyBorder="1" applyAlignment="1" applyProtection="1">
      <alignment horizontal="left" vertical="center" wrapText="1"/>
    </xf>
    <xf numFmtId="0" fontId="119" fillId="5" borderId="81" xfId="0" applyFont="1" applyFill="1" applyBorder="1" applyAlignment="1" applyProtection="1">
      <alignment horizontal="left" vertical="center" wrapText="1"/>
    </xf>
    <xf numFmtId="0" fontId="149" fillId="11" borderId="2" xfId="0" applyFont="1" applyFill="1" applyBorder="1" applyAlignment="1">
      <alignment horizontal="left" vertical="center"/>
    </xf>
    <xf numFmtId="0" fontId="149" fillId="11" borderId="51" xfId="0" applyFont="1" applyFill="1" applyBorder="1" applyAlignment="1">
      <alignment horizontal="left" vertical="center"/>
    </xf>
    <xf numFmtId="0" fontId="149" fillId="11" borderId="3" xfId="0" applyFont="1" applyFill="1" applyBorder="1" applyAlignment="1">
      <alignment horizontal="left" vertical="center"/>
    </xf>
    <xf numFmtId="0" fontId="138" fillId="11" borderId="1" xfId="0" applyFont="1" applyFill="1" applyBorder="1" applyAlignment="1">
      <alignment horizontal="center" vertical="center"/>
    </xf>
    <xf numFmtId="0" fontId="18" fillId="0" borderId="1" xfId="0" applyFont="1" applyBorder="1" applyAlignment="1">
      <alignment horizontal="center"/>
    </xf>
    <xf numFmtId="0" fontId="18" fillId="0" borderId="1" xfId="0" applyFont="1" applyBorder="1" applyAlignment="1"/>
    <xf numFmtId="0" fontId="138" fillId="5" borderId="7" xfId="0" applyFont="1" applyFill="1" applyBorder="1" applyAlignment="1">
      <alignment horizontal="left" vertical="center" wrapText="1"/>
    </xf>
    <xf numFmtId="0" fontId="18" fillId="0" borderId="1" xfId="0" applyFont="1" applyFill="1" applyBorder="1" applyAlignment="1">
      <alignment horizontal="center" vertical="center"/>
    </xf>
    <xf numFmtId="0" fontId="138" fillId="0" borderId="1" xfId="0" applyFont="1" applyFill="1" applyBorder="1" applyAlignment="1">
      <alignment horizontal="center" vertical="center"/>
    </xf>
    <xf numFmtId="0" fontId="138" fillId="5" borderId="1" xfId="0" applyFont="1" applyFill="1" applyBorder="1" applyAlignment="1">
      <alignment horizontal="left" vertical="center" wrapText="1"/>
    </xf>
    <xf numFmtId="0" fontId="149" fillId="5" borderId="52" xfId="0" applyFont="1" applyFill="1" applyBorder="1" applyAlignment="1">
      <alignment vertical="center"/>
    </xf>
    <xf numFmtId="0" fontId="149" fillId="5" borderId="36" xfId="0" applyFont="1" applyFill="1" applyBorder="1" applyAlignment="1">
      <alignment vertical="center"/>
    </xf>
    <xf numFmtId="0" fontId="149" fillId="5" borderId="27" xfId="0" applyFont="1" applyFill="1" applyBorder="1" applyAlignment="1">
      <alignment vertical="center"/>
    </xf>
    <xf numFmtId="0" fontId="149" fillId="5" borderId="29" xfId="0" applyFont="1" applyFill="1" applyBorder="1" applyAlignment="1">
      <alignment vertical="center"/>
    </xf>
    <xf numFmtId="0" fontId="149" fillId="5" borderId="40" xfId="0" applyFont="1" applyFill="1" applyBorder="1" applyAlignment="1">
      <alignment vertical="center"/>
    </xf>
    <xf numFmtId="0" fontId="149" fillId="5" borderId="70" xfId="0" applyFont="1" applyFill="1" applyBorder="1" applyAlignment="1">
      <alignment vertical="center"/>
    </xf>
    <xf numFmtId="0" fontId="147" fillId="5" borderId="19" xfId="0" applyFont="1" applyFill="1" applyBorder="1" applyAlignment="1">
      <alignment horizontal="left" vertical="center"/>
    </xf>
    <xf numFmtId="0" fontId="147" fillId="5" borderId="51" xfId="0" applyFont="1" applyFill="1" applyBorder="1" applyAlignment="1">
      <alignment horizontal="left" vertical="center"/>
    </xf>
    <xf numFmtId="0" fontId="147" fillId="5" borderId="3" xfId="0" applyFont="1" applyFill="1" applyBorder="1" applyAlignment="1">
      <alignment horizontal="left" vertical="center"/>
    </xf>
    <xf numFmtId="0" fontId="91" fillId="5" borderId="1" xfId="0" applyFont="1" applyFill="1" applyBorder="1" applyAlignment="1">
      <alignment horizontal="center" vertical="center"/>
    </xf>
    <xf numFmtId="0" fontId="91" fillId="5" borderId="6" xfId="0" applyFont="1" applyFill="1" applyBorder="1" applyAlignment="1">
      <alignment horizontal="center" vertical="center"/>
    </xf>
    <xf numFmtId="0" fontId="44" fillId="5" borderId="2" xfId="0" applyFont="1" applyFill="1" applyBorder="1" applyAlignment="1" applyProtection="1">
      <alignment horizontal="center" vertical="center"/>
    </xf>
    <xf numFmtId="0" fontId="44" fillId="5" borderId="51" xfId="0" applyFont="1" applyFill="1" applyBorder="1" applyAlignment="1" applyProtection="1">
      <alignment horizontal="center" vertical="center"/>
    </xf>
    <xf numFmtId="0" fontId="44" fillId="5" borderId="3" xfId="0" applyFont="1" applyFill="1" applyBorder="1" applyAlignment="1" applyProtection="1">
      <alignment horizontal="center" vertical="center"/>
    </xf>
    <xf numFmtId="0" fontId="44" fillId="5" borderId="72" xfId="0" applyFont="1" applyFill="1" applyBorder="1" applyAlignment="1" applyProtection="1">
      <alignment horizontal="center" vertical="center"/>
      <protection locked="0"/>
    </xf>
    <xf numFmtId="0" fontId="44" fillId="5" borderId="40" xfId="0" applyFont="1" applyFill="1" applyBorder="1" applyAlignment="1" applyProtection="1">
      <alignment horizontal="center" vertical="center"/>
      <protection locked="0"/>
    </xf>
    <xf numFmtId="0" fontId="44" fillId="5" borderId="70" xfId="0" applyFont="1" applyFill="1" applyBorder="1" applyAlignment="1" applyProtection="1">
      <alignment horizontal="center" vertical="center"/>
      <protection locked="0"/>
    </xf>
    <xf numFmtId="0" fontId="48" fillId="5" borderId="2" xfId="0" applyNumberFormat="1" applyFont="1" applyFill="1" applyBorder="1" applyAlignment="1" applyProtection="1">
      <alignment horizontal="left" vertical="center"/>
    </xf>
    <xf numFmtId="0" fontId="48" fillId="5" borderId="3" xfId="0" applyNumberFormat="1" applyFont="1" applyFill="1" applyBorder="1" applyAlignment="1" applyProtection="1">
      <alignment horizontal="left" vertical="center"/>
    </xf>
    <xf numFmtId="0" fontId="48" fillId="5" borderId="16"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5" borderId="16" xfId="0" applyFont="1" applyFill="1" applyBorder="1" applyAlignment="1" applyProtection="1">
      <alignment horizontal="left" vertical="center" textRotation="255" wrapText="1"/>
    </xf>
    <xf numFmtId="0" fontId="48" fillId="5" borderId="26" xfId="0" applyFont="1" applyFill="1" applyBorder="1" applyAlignment="1" applyProtection="1">
      <alignment horizontal="left" vertical="center" textRotation="255" wrapText="1"/>
    </xf>
    <xf numFmtId="0" fontId="48" fillId="5" borderId="23" xfId="0" applyFont="1" applyFill="1" applyBorder="1" applyAlignment="1" applyProtection="1">
      <alignment horizontal="left" vertical="center" textRotation="255" wrapText="1"/>
    </xf>
    <xf numFmtId="0" fontId="48" fillId="5" borderId="7" xfId="0" applyFont="1" applyFill="1" applyBorder="1" applyAlignment="1" applyProtection="1">
      <alignment horizontal="left" vertical="center" wrapText="1"/>
    </xf>
    <xf numFmtId="0" fontId="179" fillId="0" borderId="3" xfId="0" applyFont="1" applyFill="1" applyBorder="1" applyAlignment="1" applyProtection="1">
      <alignment horizontal="left" vertical="center" wrapText="1"/>
      <protection locked="0"/>
    </xf>
    <xf numFmtId="0" fontId="48" fillId="5" borderId="1" xfId="0" applyFont="1" applyFill="1" applyBorder="1" applyAlignment="1" applyProtection="1">
      <alignment horizontal="center" vertical="center" wrapText="1"/>
    </xf>
    <xf numFmtId="0" fontId="48" fillId="5" borderId="1" xfId="0" applyNumberFormat="1" applyFont="1" applyFill="1" applyBorder="1" applyAlignment="1" applyProtection="1">
      <alignment horizontal="center" vertical="center"/>
    </xf>
    <xf numFmtId="0" fontId="48" fillId="5" borderId="2" xfId="0" applyFont="1" applyFill="1" applyBorder="1" applyAlignment="1" applyProtection="1">
      <alignment horizontal="center" vertical="center" wrapText="1"/>
    </xf>
    <xf numFmtId="0" fontId="48" fillId="5" borderId="3" xfId="0" applyFont="1" applyFill="1" applyBorder="1" applyAlignment="1" applyProtection="1">
      <alignment horizontal="center" vertical="center" wrapText="1"/>
    </xf>
    <xf numFmtId="0" fontId="47" fillId="18" borderId="1" xfId="0" applyNumberFormat="1" applyFont="1" applyFill="1" applyBorder="1" applyAlignment="1" applyProtection="1">
      <alignment horizontal="center" vertical="center"/>
    </xf>
    <xf numFmtId="0" fontId="48" fillId="5" borderId="18" xfId="0" applyFont="1" applyFill="1" applyBorder="1" applyAlignment="1" applyProtection="1">
      <alignment horizontal="center" vertical="center" textRotation="255" wrapText="1"/>
    </xf>
    <xf numFmtId="0" fontId="48" fillId="5" borderId="49" xfId="0" applyFont="1" applyFill="1" applyBorder="1" applyAlignment="1" applyProtection="1">
      <alignment horizontal="center" vertical="center" textRotation="255" wrapText="1"/>
    </xf>
    <xf numFmtId="0" fontId="48" fillId="5" borderId="17" xfId="0" applyFont="1" applyFill="1" applyBorder="1" applyAlignment="1" applyProtection="1">
      <alignment horizontal="center" vertical="center" textRotation="255" wrapText="1"/>
    </xf>
    <xf numFmtId="0" fontId="41" fillId="5" borderId="2" xfId="0" applyFont="1" applyFill="1" applyBorder="1" applyAlignment="1" applyProtection="1">
      <alignment horizontal="center" vertical="center"/>
    </xf>
    <xf numFmtId="0" fontId="41" fillId="5" borderId="3"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48" fillId="5" borderId="27" xfId="0" applyFont="1" applyFill="1" applyBorder="1" applyAlignment="1" applyProtection="1">
      <alignment horizontal="center" vertical="center"/>
    </xf>
    <xf numFmtId="0" fontId="48" fillId="5" borderId="60" xfId="0" applyFont="1" applyFill="1" applyBorder="1" applyAlignment="1" applyProtection="1">
      <alignment horizontal="center" vertical="center"/>
    </xf>
    <xf numFmtId="0" fontId="48" fillId="5" borderId="25"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0" fontId="48" fillId="5" borderId="24"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xf>
    <xf numFmtId="0" fontId="48" fillId="5" borderId="49" xfId="0" applyFont="1" applyFill="1" applyBorder="1" applyAlignment="1" applyProtection="1">
      <alignment horizontal="center" vertical="center"/>
    </xf>
    <xf numFmtId="0" fontId="48" fillId="5" borderId="17" xfId="0" applyFont="1" applyFill="1" applyBorder="1" applyAlignment="1" applyProtection="1">
      <alignment horizontal="center" vertical="center"/>
    </xf>
    <xf numFmtId="0" fontId="48" fillId="5" borderId="4" xfId="0" applyFont="1" applyFill="1" applyBorder="1" applyAlignment="1" applyProtection="1">
      <alignment horizontal="center" vertical="center" wrapText="1"/>
    </xf>
    <xf numFmtId="0" fontId="48" fillId="5" borderId="31" xfId="0" applyFont="1" applyFill="1" applyBorder="1" applyAlignment="1" applyProtection="1">
      <alignment horizontal="center" vertical="center" wrapText="1"/>
    </xf>
    <xf numFmtId="0" fontId="48" fillId="5" borderId="28"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xf>
    <xf numFmtId="0" fontId="48" fillId="5" borderId="35" xfId="0" applyFont="1" applyFill="1" applyBorder="1" applyAlignment="1" applyProtection="1">
      <alignment horizontal="center" vertical="center" wrapText="1"/>
    </xf>
    <xf numFmtId="0" fontId="48" fillId="5" borderId="2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48" fillId="5" borderId="25"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0" fontId="48" fillId="5" borderId="24"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224" fillId="0" borderId="3"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186" fontId="48" fillId="5" borderId="1" xfId="0" applyNumberFormat="1" applyFont="1" applyFill="1" applyBorder="1" applyAlignment="1" applyProtection="1">
      <alignment horizontal="left" vertical="center"/>
    </xf>
    <xf numFmtId="186" fontId="47" fillId="18" borderId="1" xfId="0" applyNumberFormat="1" applyFont="1" applyFill="1" applyBorder="1" applyAlignment="1" applyProtection="1">
      <alignment horizontal="left" vertical="center"/>
    </xf>
    <xf numFmtId="186" fontId="47" fillId="18" borderId="1" xfId="0" applyNumberFormat="1" applyFont="1" applyFill="1" applyBorder="1" applyAlignment="1" applyProtection="1">
      <alignment horizontal="center" vertical="center"/>
    </xf>
    <xf numFmtId="186" fontId="48" fillId="5" borderId="1" xfId="0" applyNumberFormat="1" applyFont="1" applyFill="1" applyBorder="1" applyAlignment="1" applyProtection="1">
      <alignment horizontal="center" vertical="center"/>
    </xf>
    <xf numFmtId="0" fontId="50" fillId="5" borderId="58" xfId="0" applyFont="1" applyFill="1" applyBorder="1" applyAlignment="1" applyProtection="1">
      <alignment horizontal="left" vertical="center"/>
    </xf>
    <xf numFmtId="0" fontId="50" fillId="5" borderId="50" xfId="0" applyFont="1" applyFill="1" applyBorder="1" applyAlignment="1" applyProtection="1">
      <alignment horizontal="left" vertical="center"/>
    </xf>
    <xf numFmtId="0" fontId="50" fillId="5" borderId="34" xfId="0" applyFont="1" applyFill="1" applyBorder="1" applyAlignment="1" applyProtection="1">
      <alignment horizontal="left" vertical="center"/>
    </xf>
    <xf numFmtId="0" fontId="50" fillId="5" borderId="51" xfId="6" applyFont="1" applyFill="1" applyBorder="1" applyAlignment="1" applyProtection="1">
      <alignment horizontal="left" vertical="center" wrapText="1"/>
      <protection locked="0"/>
    </xf>
    <xf numFmtId="0" fontId="50" fillId="5" borderId="3" xfId="6" applyFont="1" applyFill="1" applyBorder="1" applyAlignment="1" applyProtection="1">
      <alignment horizontal="left" vertical="center" wrapText="1"/>
      <protection locked="0"/>
    </xf>
    <xf numFmtId="0" fontId="54" fillId="5" borderId="2" xfId="0" applyFont="1" applyFill="1" applyBorder="1" applyAlignment="1" applyProtection="1">
      <alignment horizontal="left" vertical="center" wrapText="1"/>
    </xf>
    <xf numFmtId="0" fontId="54" fillId="5" borderId="51" xfId="0" applyFont="1" applyFill="1" applyBorder="1" applyAlignment="1" applyProtection="1">
      <alignment horizontal="left" vertical="center" wrapText="1"/>
    </xf>
    <xf numFmtId="0" fontId="54" fillId="5" borderId="0" xfId="0" applyFont="1" applyFill="1" applyBorder="1" applyAlignment="1" applyProtection="1">
      <alignment horizontal="left" vertical="center" wrapText="1"/>
    </xf>
    <xf numFmtId="0" fontId="54" fillId="5" borderId="27"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100" fillId="5" borderId="39" xfId="0" applyFont="1" applyFill="1" applyBorder="1" applyAlignment="1" applyProtection="1">
      <alignment horizontal="left" vertical="center" wrapText="1"/>
    </xf>
    <xf numFmtId="0" fontId="100" fillId="5" borderId="42" xfId="0" applyFont="1" applyFill="1" applyBorder="1" applyAlignment="1" applyProtection="1">
      <alignment horizontal="left" vertical="center" wrapText="1"/>
    </xf>
    <xf numFmtId="0" fontId="50" fillId="5" borderId="5" xfId="0" applyFont="1" applyFill="1" applyBorder="1" applyAlignment="1" applyProtection="1">
      <alignment horizontal="left" vertical="center" wrapText="1"/>
    </xf>
    <xf numFmtId="0" fontId="50" fillId="5" borderId="39" xfId="0" applyFont="1" applyFill="1" applyBorder="1" applyAlignment="1" applyProtection="1">
      <alignment horizontal="left" vertical="center" wrapText="1"/>
    </xf>
    <xf numFmtId="0" fontId="104" fillId="5" borderId="0" xfId="0" applyFont="1" applyFill="1" applyAlignment="1" applyProtection="1">
      <alignment horizontal="left" vertical="center"/>
    </xf>
    <xf numFmtId="0" fontId="103" fillId="0" borderId="0" xfId="0" applyFont="1" applyAlignment="1" applyProtection="1">
      <alignment horizontal="left" vertical="center"/>
    </xf>
    <xf numFmtId="0" fontId="103" fillId="5" borderId="1" xfId="0" applyFont="1" applyFill="1" applyBorder="1" applyAlignment="1" applyProtection="1">
      <alignment horizontal="left" vertical="center"/>
    </xf>
    <xf numFmtId="0" fontId="103" fillId="5" borderId="18" xfId="0" applyFont="1" applyFill="1" applyBorder="1" applyAlignment="1" applyProtection="1">
      <alignment horizontal="left" vertical="center"/>
    </xf>
    <xf numFmtId="0" fontId="103" fillId="5" borderId="49" xfId="0" applyFont="1" applyFill="1" applyBorder="1" applyAlignment="1" applyProtection="1">
      <alignment horizontal="left" vertical="center"/>
    </xf>
    <xf numFmtId="0" fontId="103" fillId="5" borderId="17" xfId="0" applyFont="1" applyFill="1" applyBorder="1" applyAlignment="1" applyProtection="1">
      <alignment horizontal="left" vertical="center"/>
    </xf>
    <xf numFmtId="0" fontId="103" fillId="5" borderId="18" xfId="0" applyFont="1" applyFill="1" applyBorder="1" applyAlignment="1" applyProtection="1">
      <alignment horizontal="left" vertical="center" wrapText="1"/>
    </xf>
    <xf numFmtId="0" fontId="103" fillId="5" borderId="17" xfId="0" applyFont="1" applyFill="1" applyBorder="1" applyAlignment="1" applyProtection="1">
      <alignment horizontal="left" vertical="center" wrapText="1"/>
    </xf>
    <xf numFmtId="0" fontId="241" fillId="5" borderId="18" xfId="0" applyFont="1" applyFill="1" applyBorder="1" applyAlignment="1" applyProtection="1">
      <alignment horizontal="left" vertical="center" wrapText="1"/>
    </xf>
    <xf numFmtId="0" fontId="241" fillId="5" borderId="49" xfId="0" applyFont="1" applyFill="1" applyBorder="1" applyAlignment="1" applyProtection="1">
      <alignment horizontal="left" vertical="center" wrapText="1"/>
    </xf>
    <xf numFmtId="0" fontId="241" fillId="5" borderId="17" xfId="0" applyFont="1" applyFill="1" applyBorder="1" applyAlignment="1" applyProtection="1">
      <alignment horizontal="left" vertical="center" wrapText="1"/>
    </xf>
    <xf numFmtId="0" fontId="50" fillId="5" borderId="12"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6" fillId="0" borderId="18" xfId="4" applyFont="1" applyBorder="1" applyAlignment="1">
      <alignment horizontal="center"/>
    </xf>
    <xf numFmtId="0" fontId="6" fillId="0" borderId="49" xfId="4" applyFont="1" applyBorder="1" applyAlignment="1">
      <alignment horizontal="center"/>
    </xf>
    <xf numFmtId="0" fontId="6" fillId="0" borderId="17" xfId="4" applyFont="1" applyBorder="1" applyAlignment="1">
      <alignment horizontal="center"/>
    </xf>
    <xf numFmtId="0" fontId="18" fillId="0" borderId="36" xfId="4" applyFont="1" applyBorder="1" applyAlignment="1">
      <alignment horizontal="left"/>
    </xf>
    <xf numFmtId="0" fontId="32" fillId="0" borderId="36" xfId="4" applyBorder="1" applyAlignment="1">
      <alignment horizontal="left"/>
    </xf>
    <xf numFmtId="0" fontId="164" fillId="0" borderId="65" xfId="4" applyFont="1" applyBorder="1" applyAlignment="1">
      <alignment horizontal="center" vertical="center"/>
    </xf>
    <xf numFmtId="0" fontId="6" fillId="0" borderId="18" xfId="4" applyFont="1" applyBorder="1" applyAlignment="1">
      <alignment horizontal="center" vertical="center" wrapText="1"/>
    </xf>
    <xf numFmtId="0" fontId="6" fillId="0" borderId="49"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 xfId="4" applyFont="1" applyBorder="1" applyAlignment="1">
      <alignment horizontal="center" vertical="center" wrapText="1"/>
    </xf>
    <xf numFmtId="0" fontId="6" fillId="0" borderId="51" xfId="4" applyFont="1" applyBorder="1" applyAlignment="1">
      <alignment horizontal="center" vertical="center" wrapText="1"/>
    </xf>
    <xf numFmtId="176" fontId="6" fillId="0" borderId="2" xfId="4" applyNumberFormat="1" applyFont="1" applyBorder="1" applyAlignment="1">
      <alignment horizontal="center" vertical="center" wrapText="1"/>
    </xf>
    <xf numFmtId="176" fontId="6" fillId="0" borderId="51" xfId="4" applyNumberFormat="1" applyFont="1" applyBorder="1" applyAlignment="1">
      <alignment horizontal="center" vertical="center" wrapText="1"/>
    </xf>
    <xf numFmtId="176" fontId="6" fillId="0" borderId="3" xfId="4" applyNumberFormat="1" applyFont="1" applyBorder="1" applyAlignment="1">
      <alignment horizontal="center" vertical="center" wrapText="1"/>
    </xf>
    <xf numFmtId="176" fontId="6" fillId="0" borderId="18" xfId="4" applyNumberFormat="1" applyFont="1" applyBorder="1" applyAlignment="1">
      <alignment horizontal="center" vertical="center" wrapText="1"/>
    </xf>
    <xf numFmtId="176" fontId="6" fillId="0" borderId="17" xfId="4" applyNumberFormat="1" applyFont="1" applyBorder="1" applyAlignment="1">
      <alignment horizontal="center" vertical="center" wrapText="1"/>
    </xf>
    <xf numFmtId="14" fontId="18" fillId="0" borderId="0" xfId="4" applyNumberFormat="1" applyFont="1" applyAlignment="1">
      <alignment horizontal="center" vertical="center"/>
    </xf>
    <xf numFmtId="0" fontId="18" fillId="0" borderId="0" xfId="4" applyFont="1" applyAlignment="1">
      <alignment horizontal="center" vertical="center"/>
    </xf>
    <xf numFmtId="0" fontId="270" fillId="0" borderId="1" xfId="4" applyFont="1" applyBorder="1" applyAlignment="1">
      <alignment horizontal="center" vertical="center" wrapText="1"/>
    </xf>
    <xf numFmtId="0" fontId="270" fillId="26" borderId="1" xfId="4" applyFont="1" applyFill="1" applyBorder="1" applyAlignment="1">
      <alignment horizontal="center" vertical="center" wrapText="1"/>
    </xf>
    <xf numFmtId="44" fontId="279" fillId="0" borderId="1" xfId="17" applyFont="1" applyFill="1" applyBorder="1" applyAlignment="1">
      <alignment horizontal="center" vertical="center"/>
    </xf>
    <xf numFmtId="0" fontId="270" fillId="26" borderId="1" xfId="4" applyFont="1" applyFill="1" applyBorder="1" applyAlignment="1">
      <alignment horizontal="center" vertical="center"/>
    </xf>
    <xf numFmtId="0" fontId="6" fillId="26" borderId="1" xfId="4" applyFont="1" applyFill="1" applyBorder="1" applyAlignment="1">
      <alignment horizontal="center" vertical="center" wrapText="1"/>
    </xf>
    <xf numFmtId="177" fontId="270" fillId="0" borderId="35" xfId="4" applyNumberFormat="1" applyFont="1" applyBorder="1" applyAlignment="1">
      <alignment horizontal="center" vertical="center"/>
    </xf>
    <xf numFmtId="177" fontId="270" fillId="0" borderId="60" xfId="4" applyNumberFormat="1" applyFont="1" applyBorder="1" applyAlignment="1">
      <alignment horizontal="center" vertical="center"/>
    </xf>
    <xf numFmtId="0" fontId="270" fillId="0" borderId="1" xfId="4" applyFont="1" applyBorder="1" applyAlignment="1">
      <alignment vertical="center" wrapText="1"/>
    </xf>
    <xf numFmtId="177" fontId="270" fillId="26" borderId="64" xfId="4" applyNumberFormat="1" applyFont="1" applyFill="1" applyBorder="1" applyAlignment="1">
      <alignment horizontal="center" vertical="center"/>
    </xf>
    <xf numFmtId="0" fontId="270" fillId="0" borderId="17" xfId="4" applyFont="1" applyBorder="1" applyAlignment="1">
      <alignment horizontal="center" vertical="center" wrapText="1"/>
    </xf>
    <xf numFmtId="0" fontId="32" fillId="0" borderId="18" xfId="4" applyBorder="1" applyAlignment="1">
      <alignment horizontal="center" vertical="center"/>
    </xf>
    <xf numFmtId="0" fontId="32" fillId="0" borderId="17" xfId="4" applyBorder="1" applyAlignment="1">
      <alignment horizontal="center" vertical="center"/>
    </xf>
    <xf numFmtId="43" fontId="285" fillId="0" borderId="1" xfId="14" applyNumberFormat="1" applyFont="1" applyAlignment="1">
      <alignment horizontal="center" vertical="center"/>
    </xf>
    <xf numFmtId="0" fontId="284" fillId="6" borderId="1" xfId="14" applyNumberFormat="1" applyFont="1" applyFill="1" applyAlignment="1">
      <alignment horizontal="center" vertical="center" wrapText="1"/>
    </xf>
    <xf numFmtId="0" fontId="284" fillId="6" borderId="18" xfId="14" applyNumberFormat="1" applyFont="1" applyFill="1" applyBorder="1" applyAlignment="1">
      <alignment horizontal="center" vertical="center" wrapText="1"/>
    </xf>
    <xf numFmtId="0" fontId="284" fillId="6" borderId="17" xfId="14" applyNumberFormat="1" applyFont="1" applyFill="1" applyBorder="1" applyAlignment="1">
      <alignment horizontal="center" vertical="center" wrapText="1"/>
    </xf>
    <xf numFmtId="0" fontId="285" fillId="6" borderId="1" xfId="14" applyNumberFormat="1" applyFont="1" applyFill="1" applyAlignment="1">
      <alignment horizontal="center" vertical="center" wrapText="1"/>
    </xf>
    <xf numFmtId="197" fontId="284" fillId="6" borderId="18" xfId="4" applyNumberFormat="1" applyFont="1" applyFill="1" applyBorder="1" applyAlignment="1">
      <alignment horizontal="center" vertical="center"/>
    </xf>
    <xf numFmtId="197" fontId="284" fillId="6" borderId="17" xfId="4" applyNumberFormat="1" applyFont="1" applyFill="1" applyBorder="1" applyAlignment="1">
      <alignment horizontal="center" vertical="center"/>
    </xf>
    <xf numFmtId="0" fontId="287" fillId="6" borderId="1" xfId="14" applyNumberFormat="1" applyFont="1" applyFill="1" applyAlignment="1">
      <alignment horizontal="center" vertical="center" wrapText="1"/>
    </xf>
    <xf numFmtId="0" fontId="287" fillId="6" borderId="18" xfId="14" applyNumberFormat="1" applyFont="1" applyFill="1" applyBorder="1" applyAlignment="1">
      <alignment horizontal="center" vertical="center" wrapText="1"/>
    </xf>
    <xf numFmtId="0" fontId="287" fillId="6" borderId="17" xfId="14" applyNumberFormat="1" applyFont="1" applyFill="1" applyBorder="1" applyAlignment="1">
      <alignment horizontal="center" vertical="center" wrapText="1"/>
    </xf>
    <xf numFmtId="0" fontId="285" fillId="6" borderId="1" xfId="15" applyNumberFormat="1" applyFont="1" applyFill="1" applyAlignment="1">
      <alignment horizontal="center" vertical="center"/>
    </xf>
    <xf numFmtId="43" fontId="276" fillId="6" borderId="1" xfId="16" applyFont="1" applyFill="1" applyBorder="1" applyAlignment="1">
      <alignment horizontal="center" vertical="center" wrapText="1"/>
    </xf>
    <xf numFmtId="0" fontId="270" fillId="0" borderId="18" xfId="4" applyFont="1" applyBorder="1" applyAlignment="1">
      <alignment horizontal="center" vertical="center" wrapText="1"/>
    </xf>
    <xf numFmtId="0" fontId="270" fillId="0" borderId="49" xfId="4" applyFont="1" applyBorder="1" applyAlignment="1">
      <alignment horizontal="center" vertical="center" wrapText="1"/>
    </xf>
    <xf numFmtId="0" fontId="270" fillId="0" borderId="1" xfId="14" applyNumberFormat="1" applyFont="1" applyFill="1" applyAlignment="1">
      <alignment horizontal="center" vertical="center" wrapText="1"/>
    </xf>
    <xf numFmtId="0" fontId="270" fillId="0" borderId="18" xfId="14" applyNumberFormat="1" applyFont="1" applyFill="1" applyBorder="1" applyAlignment="1">
      <alignment horizontal="center" vertical="center" wrapText="1"/>
    </xf>
    <xf numFmtId="0" fontId="270" fillId="0" borderId="17" xfId="14" applyNumberFormat="1" applyFont="1" applyFill="1" applyBorder="1" applyAlignment="1">
      <alignment horizontal="center" vertical="center" wrapText="1"/>
    </xf>
    <xf numFmtId="0" fontId="278" fillId="0" borderId="1" xfId="14" applyNumberFormat="1" applyFont="1" applyFill="1" applyAlignment="1">
      <alignment horizontal="center" vertical="center"/>
    </xf>
    <xf numFmtId="43" fontId="278" fillId="0" borderId="1" xfId="14" applyNumberFormat="1" applyFont="1" applyFill="1" applyAlignment="1">
      <alignment horizontal="center" vertical="center"/>
    </xf>
    <xf numFmtId="0" fontId="287" fillId="0" borderId="1" xfId="14" applyNumberFormat="1" applyFont="1" applyFill="1" applyAlignment="1">
      <alignment horizontal="center" vertical="center" wrapText="1"/>
    </xf>
    <xf numFmtId="10" fontId="277" fillId="0" borderId="18" xfId="14" applyNumberFormat="1" applyFont="1" applyFill="1" applyBorder="1" applyAlignment="1">
      <alignment horizontal="center" vertical="center" wrapText="1"/>
    </xf>
    <xf numFmtId="10" fontId="277" fillId="0" borderId="17" xfId="14" applyNumberFormat="1" applyFont="1" applyFill="1" applyBorder="1" applyAlignment="1">
      <alignment horizontal="center" vertical="center" wrapText="1"/>
    </xf>
    <xf numFmtId="0" fontId="276" fillId="0" borderId="17" xfId="15" applyNumberFormat="1" applyFont="1" applyFill="1" applyBorder="1" applyAlignment="1">
      <alignment horizontal="center" vertical="center"/>
    </xf>
    <xf numFmtId="0" fontId="276" fillId="0" borderId="1" xfId="15" applyNumberFormat="1" applyFont="1" applyFill="1" applyAlignment="1">
      <alignment horizontal="center" vertical="center"/>
    </xf>
    <xf numFmtId="43" fontId="276" fillId="0" borderId="1" xfId="16" applyFont="1" applyFill="1" applyBorder="1" applyAlignment="1">
      <alignment horizontal="center" vertical="center" wrapText="1"/>
    </xf>
    <xf numFmtId="0" fontId="269" fillId="0" borderId="0" xfId="4" applyFont="1" applyAlignment="1">
      <alignment horizontal="center" vertical="center" wrapText="1"/>
    </xf>
    <xf numFmtId="0" fontId="269" fillId="0" borderId="0" xfId="4" applyFont="1" applyAlignment="1">
      <alignment horizontal="center" vertical="center"/>
    </xf>
    <xf numFmtId="0" fontId="269" fillId="25" borderId="0" xfId="4" applyFont="1" applyFill="1" applyAlignment="1">
      <alignment horizontal="center" vertical="center"/>
    </xf>
    <xf numFmtId="0" fontId="18" fillId="0" borderId="65" xfId="4" applyFont="1" applyBorder="1" applyAlignment="1">
      <alignment horizontal="center" vertical="center"/>
    </xf>
    <xf numFmtId="0" fontId="272" fillId="0" borderId="176" xfId="4" applyFont="1" applyBorder="1" applyAlignment="1">
      <alignment horizontal="center" vertical="center" wrapText="1"/>
    </xf>
    <xf numFmtId="0" fontId="274" fillId="0" borderId="177" xfId="4" applyFont="1" applyBorder="1" applyAlignment="1">
      <alignment horizontal="center" vertical="center"/>
    </xf>
    <xf numFmtId="0" fontId="274" fillId="0" borderId="178" xfId="4" applyFont="1" applyBorder="1" applyAlignment="1">
      <alignment horizontal="center" vertical="center" wrapText="1"/>
    </xf>
    <xf numFmtId="0" fontId="274" fillId="0" borderId="179" xfId="4" applyFont="1" applyBorder="1" applyAlignment="1">
      <alignment horizontal="center" vertical="center"/>
    </xf>
    <xf numFmtId="0" fontId="274" fillId="0" borderId="1" xfId="4" applyFont="1" applyBorder="1" applyAlignment="1">
      <alignment horizontal="center" vertical="center"/>
    </xf>
    <xf numFmtId="0" fontId="270" fillId="0" borderId="18" xfId="4" applyFont="1" applyBorder="1" applyAlignment="1">
      <alignment horizontal="center" vertical="center"/>
    </xf>
    <xf numFmtId="0" fontId="270" fillId="0" borderId="49" xfId="4" applyFont="1" applyBorder="1" applyAlignment="1">
      <alignment horizontal="center" vertical="center"/>
    </xf>
    <xf numFmtId="0" fontId="270" fillId="0" borderId="3" xfId="4" applyFont="1" applyBorder="1" applyAlignment="1">
      <alignment horizontal="center" vertical="center" wrapText="1"/>
    </xf>
    <xf numFmtId="0" fontId="270" fillId="0" borderId="27" xfId="4" applyFont="1" applyBorder="1" applyAlignment="1">
      <alignment horizontal="center" vertical="center" wrapText="1"/>
    </xf>
    <xf numFmtId="0" fontId="284" fillId="0" borderId="1" xfId="4" applyFont="1" applyBorder="1" applyAlignment="1">
      <alignment horizontal="center" vertical="center" wrapText="1"/>
    </xf>
    <xf numFmtId="0" fontId="284" fillId="0" borderId="18" xfId="4" applyFont="1" applyBorder="1" applyAlignment="1">
      <alignment horizontal="center" vertical="center" wrapText="1"/>
    </xf>
    <xf numFmtId="197" fontId="270" fillId="0" borderId="35" xfId="4" applyNumberFormat="1" applyFont="1" applyBorder="1" applyAlignment="1">
      <alignment horizontal="center" vertical="center" wrapText="1"/>
    </xf>
    <xf numFmtId="197" fontId="270" fillId="0" borderId="27" xfId="4" applyNumberFormat="1" applyFont="1" applyBorder="1" applyAlignment="1">
      <alignment horizontal="center" vertical="center" wrapText="1"/>
    </xf>
    <xf numFmtId="197" fontId="270" fillId="0" borderId="64" xfId="4" applyNumberFormat="1" applyFont="1" applyBorder="1" applyAlignment="1">
      <alignment horizontal="center" vertical="center" wrapText="1"/>
    </xf>
    <xf numFmtId="197" fontId="270" fillId="0" borderId="24" xfId="4" applyNumberFormat="1" applyFont="1" applyBorder="1" applyAlignment="1">
      <alignment horizontal="center" vertical="center" wrapText="1"/>
    </xf>
    <xf numFmtId="197" fontId="270" fillId="0" borderId="18" xfId="4" applyNumberFormat="1" applyFont="1" applyBorder="1" applyAlignment="1">
      <alignment horizontal="center" vertical="center" wrapText="1"/>
    </xf>
    <xf numFmtId="197" fontId="270" fillId="0" borderId="49" xfId="4" applyNumberFormat="1" applyFont="1" applyBorder="1" applyAlignment="1">
      <alignment horizontal="center" vertical="center" wrapText="1"/>
    </xf>
    <xf numFmtId="0" fontId="6" fillId="26" borderId="1" xfId="4" applyFont="1" applyFill="1" applyBorder="1" applyAlignment="1">
      <alignment horizontal="center" vertical="center"/>
    </xf>
    <xf numFmtId="0" fontId="290" fillId="0" borderId="40" xfId="18" applyFont="1" applyBorder="1" applyAlignment="1">
      <alignment horizontal="left" vertical="center" wrapText="1"/>
    </xf>
    <xf numFmtId="0" fontId="290" fillId="0" borderId="0" xfId="18" applyFont="1" applyAlignment="1">
      <alignment horizontal="left" vertical="center" wrapText="1"/>
    </xf>
    <xf numFmtId="0" fontId="91" fillId="0" borderId="122" xfId="18" applyFont="1" applyBorder="1" applyAlignment="1">
      <alignment vertical="center"/>
    </xf>
    <xf numFmtId="43" fontId="91" fillId="0" borderId="28" xfId="18" applyNumberFormat="1" applyFont="1" applyBorder="1" applyAlignment="1">
      <alignment horizontal="center" vertical="center" wrapText="1"/>
    </xf>
    <xf numFmtId="43" fontId="91" fillId="0" borderId="38" xfId="18" applyNumberFormat="1" applyFont="1" applyBorder="1" applyAlignment="1">
      <alignment horizontal="center" vertical="center" wrapText="1"/>
    </xf>
    <xf numFmtId="0" fontId="91" fillId="0" borderId="4" xfId="18" applyFont="1" applyBorder="1" applyAlignment="1">
      <alignment vertical="center"/>
    </xf>
    <xf numFmtId="0" fontId="91" fillId="0" borderId="11" xfId="18" applyFont="1" applyBorder="1" applyAlignment="1">
      <alignment vertical="center"/>
    </xf>
    <xf numFmtId="0" fontId="91" fillId="0" borderId="13" xfId="18" applyFont="1" applyBorder="1" applyAlignment="1">
      <alignment vertical="center"/>
    </xf>
    <xf numFmtId="0" fontId="95" fillId="0" borderId="0" xfId="8" applyAlignment="1">
      <alignment horizontal="center" vertical="center" wrapText="1"/>
    </xf>
    <xf numFmtId="0" fontId="95" fillId="34" borderId="0" xfId="8" applyFill="1" applyAlignment="1">
      <alignment horizontal="center" vertical="center"/>
    </xf>
    <xf numFmtId="0" fontId="95" fillId="0" borderId="0" xfId="8" applyAlignment="1">
      <alignment horizontal="center" vertical="center"/>
    </xf>
    <xf numFmtId="0" fontId="95" fillId="22" borderId="0" xfId="8" applyFill="1" applyAlignment="1">
      <alignment horizontal="center" vertical="center"/>
    </xf>
    <xf numFmtId="0" fontId="95" fillId="33" borderId="180" xfId="8" applyFill="1" applyBorder="1" applyAlignment="1">
      <alignment horizontal="center" vertical="center"/>
    </xf>
    <xf numFmtId="0" fontId="95" fillId="37" borderId="180" xfId="8" applyFill="1" applyBorder="1" applyAlignment="1">
      <alignment horizontal="center" vertical="center"/>
    </xf>
    <xf numFmtId="0" fontId="133" fillId="5" borderId="0" xfId="0" applyFont="1" applyFill="1" applyAlignment="1" applyProtection="1">
      <alignment horizontal="center" vertical="center"/>
    </xf>
    <xf numFmtId="0" fontId="115" fillId="5" borderId="0" xfId="0" applyFont="1" applyFill="1" applyBorder="1" applyAlignment="1" applyProtection="1">
      <alignment horizontal="left" vertical="center"/>
    </xf>
    <xf numFmtId="0" fontId="114" fillId="5" borderId="4" xfId="0" applyFont="1" applyFill="1" applyBorder="1" applyAlignment="1" applyProtection="1">
      <alignment horizontal="center" vertical="center" wrapText="1"/>
    </xf>
    <xf numFmtId="0" fontId="114" fillId="5" borderId="8"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xf>
    <xf numFmtId="0" fontId="149" fillId="0" borderId="0" xfId="7" applyFont="1" applyAlignment="1">
      <alignment horizontal="left" vertical="center"/>
    </xf>
    <xf numFmtId="0" fontId="104" fillId="0" borderId="0" xfId="7" applyFont="1" applyAlignment="1">
      <alignment horizontal="left" vertical="center"/>
    </xf>
    <xf numFmtId="0" fontId="152" fillId="12" borderId="139" xfId="7"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52" fillId="12" borderId="135" xfId="7" applyFont="1" applyFill="1" applyBorder="1" applyAlignment="1" applyProtection="1">
      <alignment horizontal="left" vertical="center" wrapText="1"/>
    </xf>
    <xf numFmtId="0" fontId="150" fillId="0" borderId="0" xfId="7" applyFont="1" applyAlignment="1">
      <alignment horizontal="left" vertical="center"/>
    </xf>
    <xf numFmtId="0" fontId="152" fillId="12" borderId="130" xfId="7" applyFont="1" applyFill="1" applyBorder="1" applyAlignment="1" applyProtection="1">
      <alignment horizontal="left" vertical="center" wrapText="1"/>
    </xf>
    <xf numFmtId="0" fontId="103" fillId="12" borderId="139" xfId="7" applyFont="1" applyFill="1" applyBorder="1" applyAlignment="1" applyProtection="1">
      <alignment horizontal="left" vertical="center" wrapText="1"/>
    </xf>
    <xf numFmtId="0" fontId="103" fillId="12" borderId="133" xfId="7" applyFont="1" applyFill="1" applyBorder="1" applyAlignment="1" applyProtection="1">
      <alignment horizontal="left" vertical="center" wrapText="1"/>
    </xf>
    <xf numFmtId="0" fontId="103" fillId="12" borderId="135" xfId="7" applyFont="1" applyFill="1" applyBorder="1" applyAlignment="1" applyProtection="1">
      <alignment horizontal="left" vertical="center" wrapText="1"/>
    </xf>
    <xf numFmtId="0" fontId="152" fillId="12" borderId="167" xfId="7" applyFont="1" applyFill="1" applyBorder="1" applyAlignment="1" applyProtection="1">
      <alignment horizontal="left" vertical="center" wrapText="1"/>
    </xf>
    <xf numFmtId="186" fontId="95" fillId="6" borderId="0" xfId="8" applyNumberFormat="1" applyFill="1" applyAlignment="1">
      <alignment horizontal="center" vertical="center" wrapText="1" shrinkToFit="1"/>
    </xf>
  </cellXfs>
  <cellStyles count="23">
    <cellStyle name="百分比 2" xfId="22" xr:uid="{F029480B-CAF6-43DD-9A81-66DE9B35F5C6}"/>
    <cellStyle name="常规" xfId="0" builtinId="0"/>
    <cellStyle name="常规 10" xfId="18" xr:uid="{AADE5728-7F98-42BE-8E0E-3141FF576151}"/>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 name="常规_Sheet1" xfId="14" xr:uid="{F65B8C23-2197-42C0-A8EB-067E39A95D0E}"/>
    <cellStyle name="常规_物业管理费（二）" xfId="15" xr:uid="{8D762BFC-63B9-4791-93AE-0C6DC04E7B8E}"/>
    <cellStyle name="超链接" xfId="21" builtinId="8"/>
    <cellStyle name="货币 2" xfId="17" xr:uid="{6E5958A2-254B-4C01-BE58-8183D9E2B6FF}"/>
    <cellStyle name="千位分隔 2" xfId="16" xr:uid="{9037BBDA-93BD-4611-81CD-FE0B08CDB7EB}"/>
    <cellStyle name="千位分隔 3" xfId="19" xr:uid="{A08874B7-4A8F-44AB-8D87-4442519BB618}"/>
    <cellStyle name="千位分隔_综合北_3" xfId="20" xr:uid="{664D540E-E972-4F9B-A599-BB0DA72E5E7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theme" Target="theme/them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sz="1800" b="0" i="0" baseline="0">
                <a:effectLst/>
              </a:rPr>
              <a:t>第一太平全市办公</a:t>
            </a:r>
            <a:r>
              <a:rPr lang="zh-CN" altLang="zh-CN" sz="1800" b="0" i="0" baseline="0">
                <a:effectLst/>
              </a:rPr>
              <a:t>市场分析</a:t>
            </a:r>
            <a:endParaRPr lang="zh-CN" altLang="zh-CN">
              <a:effectLst/>
            </a:endParaRPr>
          </a:p>
        </c:rich>
      </c:tx>
      <c:layout>
        <c:manualLayout>
          <c:xMode val="edge"/>
          <c:yMode val="edge"/>
          <c:x val="0.21111111111111111"/>
          <c:y val="3.2407407407407406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219"/>
        <c:axId val="230451840"/>
        <c:axId val="230461824"/>
        <c:extLst>
          <c:ext xmlns:c15="http://schemas.microsoft.com/office/drawing/2012/chart" uri="{02D57815-91ED-43cb-92C2-25804820EDAC}">
            <c15:filteredBarSeries>
              <c15:ser>
                <c:idx val="5"/>
                <c:order val="5"/>
                <c:tx>
                  <c:strRef>
                    <c:extLst>
                      <c:ext uri="{02D57815-91ED-43cb-92C2-25804820EDAC}">
                        <c15:formulaRef>
                          <c15:sqref>写字楼!$AA$3</c15:sqref>
                        </c15:formulaRef>
                      </c:ext>
                    </c:extLst>
                    <c:strCache>
                      <c:ptCount val="1"/>
                      <c:pt idx="0">
                        <c:v>存量（万㎡）</c:v>
                      </c:pt>
                    </c:strCache>
                  </c:strRef>
                </c:tx>
                <c:spPr>
                  <a:solidFill>
                    <a:schemeClr val="accent6"/>
                  </a:solidFill>
                  <a:ln>
                    <a:noFill/>
                  </a:ln>
                  <a:effectLst/>
                </c:spPr>
                <c:invertIfNegative val="0"/>
                <c:cat>
                  <c:strRef>
                    <c:extLst>
                      <c:ext uri="{02D57815-91ED-43cb-92C2-25804820EDAC}">
                        <c15:formulaRef>
                          <c15:sqref>写字楼!$U$4:$U$31</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写字楼!$AA$4:$AA$31</c15:sqref>
                        </c15:formulaRef>
                      </c:ext>
                    </c:extLst>
                    <c:numCache>
                      <c:formatCode>General</c:formatCode>
                      <c:ptCount val="28"/>
                      <c:pt idx="0">
                        <c:v>924</c:v>
                      </c:pt>
                      <c:pt idx="1">
                        <c:v>954</c:v>
                      </c:pt>
                      <c:pt idx="2">
                        <c:v>976</c:v>
                      </c:pt>
                      <c:pt idx="3">
                        <c:v>992</c:v>
                      </c:pt>
                      <c:pt idx="4">
                        <c:v>1008</c:v>
                      </c:pt>
                      <c:pt idx="5">
                        <c:v>1020</c:v>
                      </c:pt>
                      <c:pt idx="6">
                        <c:v>1030</c:v>
                      </c:pt>
                      <c:pt idx="7">
                        <c:v>1074</c:v>
                      </c:pt>
                      <c:pt idx="8">
                        <c:v>1065</c:v>
                      </c:pt>
                      <c:pt idx="9">
                        <c:v>1072</c:v>
                      </c:pt>
                      <c:pt idx="10">
                        <c:v>1086.5</c:v>
                      </c:pt>
                      <c:pt idx="11">
                        <c:v>1102.2</c:v>
                      </c:pt>
                      <c:pt idx="12">
                        <c:v>1102.2</c:v>
                      </c:pt>
                      <c:pt idx="13">
                        <c:v>1130.5999999999999</c:v>
                      </c:pt>
                      <c:pt idx="14">
                        <c:v>1148.5999999999999</c:v>
                      </c:pt>
                      <c:pt idx="15">
                        <c:v>1241.9000000000001</c:v>
                      </c:pt>
                      <c:pt idx="16">
                        <c:v>1237.8</c:v>
                      </c:pt>
                      <c:pt idx="17">
                        <c:v>1247.8</c:v>
                      </c:pt>
                      <c:pt idx="18">
                        <c:v>1272.5999999999999</c:v>
                      </c:pt>
                      <c:pt idx="19">
                        <c:v>1289</c:v>
                      </c:pt>
                      <c:pt idx="20">
                        <c:v>1317</c:v>
                      </c:pt>
                      <c:pt idx="21">
                        <c:v>1355</c:v>
                      </c:pt>
                      <c:pt idx="22">
                        <c:v>1396</c:v>
                      </c:pt>
                      <c:pt idx="23">
                        <c:v>1416.4</c:v>
                      </c:pt>
                      <c:pt idx="24">
                        <c:v>1430.5</c:v>
                      </c:pt>
                      <c:pt idx="25">
                        <c:v>1437.9</c:v>
                      </c:pt>
                      <c:pt idx="26">
                        <c:v>1437.9</c:v>
                      </c:pt>
                      <c:pt idx="27">
                        <c:v>1445.6</c:v>
                      </c:pt>
                    </c:numCache>
                  </c:numRef>
                </c:val>
                <c:extLst>
                  <c:ext xmlns:c16="http://schemas.microsoft.com/office/drawing/2014/chart" uri="{C3380CC4-5D6E-409C-BE32-E72D297353CC}">
                    <c16:uniqueId val="{00000000-B932-4772-99A5-357700AE26CC}"/>
                  </c:ext>
                </c:extLst>
              </c15:ser>
            </c15:filteredBarSeries>
          </c:ext>
        </c:extLst>
      </c:barChart>
      <c:lineChart>
        <c:grouping val="standard"/>
        <c:varyColors val="0"/>
        <c:ser>
          <c:idx val="0"/>
          <c:order val="0"/>
          <c:tx>
            <c:strRef>
              <c:f>写字楼!$V$3</c:f>
              <c:strCache>
                <c:ptCount val="1"/>
                <c:pt idx="0">
                  <c:v>平均有效租金</c:v>
                </c:pt>
              </c:strCache>
            </c:strRef>
          </c:tx>
          <c:spPr>
            <a:ln w="28575" cap="rnd">
              <a:solidFill>
                <a:schemeClr val="accent1"/>
              </a:solidFill>
              <a:round/>
            </a:ln>
            <a:effectLst/>
          </c:spPr>
          <c:marker>
            <c:symbol val="none"/>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写字楼!$V$4:$V$31</c:f>
              <c:numCache>
                <c:formatCode>General</c:formatCode>
                <c:ptCount val="28"/>
                <c:pt idx="0">
                  <c:v>339.8</c:v>
                </c:pt>
                <c:pt idx="1">
                  <c:v>337.8</c:v>
                </c:pt>
                <c:pt idx="2">
                  <c:v>337.8</c:v>
                </c:pt>
                <c:pt idx="3">
                  <c:v>336.9</c:v>
                </c:pt>
                <c:pt idx="4">
                  <c:v>335.1</c:v>
                </c:pt>
                <c:pt idx="5">
                  <c:v>338.1</c:v>
                </c:pt>
                <c:pt idx="6">
                  <c:v>338.2</c:v>
                </c:pt>
                <c:pt idx="7">
                  <c:v>340</c:v>
                </c:pt>
                <c:pt idx="8">
                  <c:v>345.3</c:v>
                </c:pt>
                <c:pt idx="9">
                  <c:v>355</c:v>
                </c:pt>
                <c:pt idx="10">
                  <c:v>366.9</c:v>
                </c:pt>
                <c:pt idx="11">
                  <c:v>369</c:v>
                </c:pt>
                <c:pt idx="12">
                  <c:v>368</c:v>
                </c:pt>
                <c:pt idx="13">
                  <c:v>368.3</c:v>
                </c:pt>
                <c:pt idx="14">
                  <c:v>367.6</c:v>
                </c:pt>
                <c:pt idx="15">
                  <c:v>364.9</c:v>
                </c:pt>
                <c:pt idx="16">
                  <c:v>363</c:v>
                </c:pt>
                <c:pt idx="17">
                  <c:v>360.5</c:v>
                </c:pt>
                <c:pt idx="18">
                  <c:v>354.8</c:v>
                </c:pt>
                <c:pt idx="19">
                  <c:v>349.2</c:v>
                </c:pt>
                <c:pt idx="20">
                  <c:v>344.9</c:v>
                </c:pt>
                <c:pt idx="21">
                  <c:v>341.3</c:v>
                </c:pt>
                <c:pt idx="22">
                  <c:v>341.7</c:v>
                </c:pt>
                <c:pt idx="23">
                  <c:v>341</c:v>
                </c:pt>
                <c:pt idx="24">
                  <c:v>339</c:v>
                </c:pt>
                <c:pt idx="25">
                  <c:v>337.5</c:v>
                </c:pt>
                <c:pt idx="26">
                  <c:v>331.5</c:v>
                </c:pt>
                <c:pt idx="27">
                  <c:v>325.8</c:v>
                </c:pt>
              </c:numCache>
            </c:numRef>
          </c:val>
          <c:smooth val="0"/>
          <c:extLst>
            <c:ext xmlns:c16="http://schemas.microsoft.com/office/drawing/2014/chart" uri="{C3380CC4-5D6E-409C-BE32-E72D297353CC}">
              <c16:uniqueId val="{00000001-B932-4772-99A5-357700AE26CC}"/>
            </c:ext>
          </c:extLst>
        </c:ser>
        <c:ser>
          <c:idx val="3"/>
          <c:order val="3"/>
          <c:tx>
            <c:strRef>
              <c:f>写字楼!$Y$3</c:f>
              <c:strCache>
                <c:ptCount val="1"/>
                <c:pt idx="0">
                  <c:v>新增供应</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写字楼!$Y$4:$Y$31</c:f>
            </c:numRef>
          </c:val>
          <c:smooth val="0"/>
          <c:extLst xmlns:c15="http://schemas.microsoft.com/office/drawing/2012/chart">
            <c:ext xmlns:c16="http://schemas.microsoft.com/office/drawing/2014/chart" uri="{C3380CC4-5D6E-409C-BE32-E72D297353CC}">
              <c16:uniqueId val="{00000004-B932-4772-99A5-357700AE26CC}"/>
            </c:ext>
          </c:extLst>
        </c:ser>
        <c:ser>
          <c:idx val="4"/>
          <c:order val="4"/>
          <c:tx>
            <c:strRef>
              <c:f>写字楼!$Z$3</c:f>
              <c:strCache>
                <c:ptCount val="1"/>
                <c:pt idx="0">
                  <c:v>存量（㎡）</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写字楼!$Z$4:$Z$31</c:f>
            </c:numRef>
          </c:val>
          <c:smooth val="0"/>
          <c:extLst xmlns:c15="http://schemas.microsoft.com/office/drawing/2012/chart">
            <c:ext xmlns:c16="http://schemas.microsoft.com/office/drawing/2014/chart" uri="{C3380CC4-5D6E-409C-BE32-E72D297353CC}">
              <c16:uniqueId val="{00000005-B932-4772-99A5-357700AE26CC}"/>
            </c:ext>
          </c:extLst>
        </c:ser>
        <c:dLbls>
          <c:showLegendKey val="0"/>
          <c:showVal val="0"/>
          <c:showCatName val="0"/>
          <c:showSerName val="0"/>
          <c:showPercent val="0"/>
          <c:showBubbleSize val="0"/>
        </c:dLbls>
        <c:marker val="1"/>
        <c:smooth val="0"/>
        <c:axId val="230451840"/>
        <c:axId val="230461824"/>
        <c:extLst>
          <c:ext xmlns:c15="http://schemas.microsoft.com/office/drawing/2012/chart" uri="{02D57815-91ED-43cb-92C2-25804820EDAC}">
            <c15:filteredLineSeries>
              <c15:ser>
                <c:idx val="2"/>
                <c:order val="2"/>
                <c:tx>
                  <c:strRef>
                    <c:extLst>
                      <c:ext uri="{02D57815-91ED-43cb-92C2-25804820EDAC}">
                        <c15:formulaRef>
                          <c15:sqref>写字楼!$X$3</c15:sqref>
                        </c15:formulaRef>
                      </c:ext>
                    </c:extLst>
                    <c:strCache>
                      <c:ptCount val="1"/>
                      <c:pt idx="0">
                        <c:v>租金增长率</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写字楼!$U$4:$U$31</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写字楼!$X$4:$X$31</c15:sqref>
                        </c15:formulaRef>
                      </c:ext>
                    </c:extLst>
                    <c:numCache>
                      <c:formatCode>0.00%</c:formatCode>
                      <c:ptCount val="28"/>
                      <c:pt idx="1">
                        <c:v>-5.885815185403178E-3</c:v>
                      </c:pt>
                      <c:pt idx="2">
                        <c:v>0</c:v>
                      </c:pt>
                      <c:pt idx="3">
                        <c:v>-2.6642984014210599E-3</c:v>
                      </c:pt>
                      <c:pt idx="4">
                        <c:v>-5.3428317008012904E-3</c:v>
                      </c:pt>
                      <c:pt idx="5">
                        <c:v>8.9525514771709933E-3</c:v>
                      </c:pt>
                      <c:pt idx="6">
                        <c:v>2.9577048210578492E-4</c:v>
                      </c:pt>
                      <c:pt idx="7">
                        <c:v>5.3222945002957172E-3</c:v>
                      </c:pt>
                      <c:pt idx="8">
                        <c:v>1.558823529411768E-2</c:v>
                      </c:pt>
                      <c:pt idx="9">
                        <c:v>2.8091514624963766E-2</c:v>
                      </c:pt>
                      <c:pt idx="10">
                        <c:v>3.3521126760563319E-2</c:v>
                      </c:pt>
                      <c:pt idx="11">
                        <c:v>5.7236304170074212E-3</c:v>
                      </c:pt>
                      <c:pt idx="12">
                        <c:v>-2.7100271002710027E-3</c:v>
                      </c:pt>
                      <c:pt idx="13">
                        <c:v>8.1521739130437868E-4</c:v>
                      </c:pt>
                      <c:pt idx="14">
                        <c:v>-1.9006244909041232E-3</c:v>
                      </c:pt>
                      <c:pt idx="15">
                        <c:v>-7.344940152339623E-3</c:v>
                      </c:pt>
                      <c:pt idx="16">
                        <c:v>-5.2069060016442245E-3</c:v>
                      </c:pt>
                      <c:pt idx="17">
                        <c:v>-6.8870523415977963E-3</c:v>
                      </c:pt>
                      <c:pt idx="18">
                        <c:v>-1.5811373092926458E-2</c:v>
                      </c:pt>
                      <c:pt idx="19">
                        <c:v>-1.578354002254798E-2</c:v>
                      </c:pt>
                      <c:pt idx="20">
                        <c:v>-1.2313860252004614E-2</c:v>
                      </c:pt>
                      <c:pt idx="21">
                        <c:v>-1.0437808060307236E-2</c:v>
                      </c:pt>
                      <c:pt idx="22">
                        <c:v>1.1719894520948644E-3</c:v>
                      </c:pt>
                      <c:pt idx="23">
                        <c:v>-2.0485806262803296E-3</c:v>
                      </c:pt>
                      <c:pt idx="24">
                        <c:v>-5.8651026392961877E-3</c:v>
                      </c:pt>
                      <c:pt idx="25">
                        <c:v>-4.4247787610619468E-3</c:v>
                      </c:pt>
                      <c:pt idx="26">
                        <c:v>-1.7777777777777778E-2</c:v>
                      </c:pt>
                      <c:pt idx="27">
                        <c:v>-1.7194570135746573E-2</c:v>
                      </c:pt>
                    </c:numCache>
                  </c:numRef>
                </c:val>
                <c:smooth val="0"/>
                <c:extLst>
                  <c:ext xmlns:c16="http://schemas.microsoft.com/office/drawing/2014/chart" uri="{C3380CC4-5D6E-409C-BE32-E72D297353CC}">
                    <c16:uniqueId val="{00000003-B932-4772-99A5-357700AE26CC}"/>
                  </c:ext>
                </c:extLst>
              </c15:ser>
            </c15:filteredLineSeries>
          </c:ext>
        </c:extLst>
      </c:lineChart>
      <c:lineChart>
        <c:grouping val="standard"/>
        <c:varyColors val="0"/>
        <c:ser>
          <c:idx val="1"/>
          <c:order val="1"/>
          <c:tx>
            <c:strRef>
              <c:f>写字楼!$W$3</c:f>
              <c:strCache>
                <c:ptCount val="1"/>
                <c:pt idx="0">
                  <c:v>空置率</c:v>
                </c:pt>
              </c:strCache>
            </c:strRef>
          </c:tx>
          <c:spPr>
            <a:ln w="28575" cap="rnd">
              <a:solidFill>
                <a:schemeClr val="accent2"/>
              </a:solidFill>
              <a:round/>
            </a:ln>
            <a:effectLst/>
          </c:spPr>
          <c:marker>
            <c:symbol val="none"/>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写字楼!$W$4:$W$31</c:f>
              <c:numCache>
                <c:formatCode>0.00%</c:formatCode>
                <c:ptCount val="28"/>
                <c:pt idx="0">
                  <c:v>3.9E-2</c:v>
                </c:pt>
                <c:pt idx="1">
                  <c:v>4.3999999999999997E-2</c:v>
                </c:pt>
                <c:pt idx="2">
                  <c:v>4.9000000000000002E-2</c:v>
                </c:pt>
                <c:pt idx="3">
                  <c:v>5.6000000000000001E-2</c:v>
                </c:pt>
                <c:pt idx="4">
                  <c:v>6.0999999999999999E-2</c:v>
                </c:pt>
                <c:pt idx="5">
                  <c:v>6.5000000000000002E-2</c:v>
                </c:pt>
                <c:pt idx="6">
                  <c:v>5.5E-2</c:v>
                </c:pt>
                <c:pt idx="7">
                  <c:v>7.5999999999999998E-2</c:v>
                </c:pt>
                <c:pt idx="8">
                  <c:v>6.8000000000000005E-2</c:v>
                </c:pt>
                <c:pt idx="9">
                  <c:v>5.8000000000000003E-2</c:v>
                </c:pt>
                <c:pt idx="10">
                  <c:v>6.5000000000000002E-2</c:v>
                </c:pt>
                <c:pt idx="11">
                  <c:v>7.0000000000000007E-2</c:v>
                </c:pt>
                <c:pt idx="12">
                  <c:v>6.9000000000000006E-2</c:v>
                </c:pt>
                <c:pt idx="13">
                  <c:v>8.5999999999999993E-2</c:v>
                </c:pt>
                <c:pt idx="14">
                  <c:v>9.1999999999999998E-2</c:v>
                </c:pt>
                <c:pt idx="15">
                  <c:v>0.127</c:v>
                </c:pt>
                <c:pt idx="16">
                  <c:v>0.13200000000000001</c:v>
                </c:pt>
                <c:pt idx="17">
                  <c:v>0.13600000000000001</c:v>
                </c:pt>
                <c:pt idx="18">
                  <c:v>0.15</c:v>
                </c:pt>
                <c:pt idx="19">
                  <c:v>0.158</c:v>
                </c:pt>
                <c:pt idx="20">
                  <c:v>0.16600000000000001</c:v>
                </c:pt>
                <c:pt idx="21">
                  <c:v>0.17299999999999999</c:v>
                </c:pt>
                <c:pt idx="22">
                  <c:v>0.16700000000000001</c:v>
                </c:pt>
                <c:pt idx="23">
                  <c:v>0.15</c:v>
                </c:pt>
                <c:pt idx="24">
                  <c:v>0.153</c:v>
                </c:pt>
                <c:pt idx="25">
                  <c:v>0.158</c:v>
                </c:pt>
                <c:pt idx="26">
                  <c:v>0.158</c:v>
                </c:pt>
                <c:pt idx="27">
                  <c:v>0.16300000000000001</c:v>
                </c:pt>
              </c:numCache>
            </c:numRef>
          </c:val>
          <c:smooth val="0"/>
          <c:extLst>
            <c:ext xmlns:c16="http://schemas.microsoft.com/office/drawing/2014/chart" uri="{C3380CC4-5D6E-409C-BE32-E72D297353CC}">
              <c16:uniqueId val="{00000002-B932-4772-99A5-357700AE26CC}"/>
            </c:ext>
          </c:extLst>
        </c:ser>
        <c:dLbls>
          <c:showLegendKey val="0"/>
          <c:showVal val="0"/>
          <c:showCatName val="0"/>
          <c:showSerName val="0"/>
          <c:showPercent val="0"/>
          <c:showBubbleSize val="0"/>
        </c:dLbls>
        <c:marker val="1"/>
        <c:smooth val="0"/>
        <c:axId val="230464896"/>
        <c:axId val="230463360"/>
      </c:lineChart>
      <c:catAx>
        <c:axId val="23045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461824"/>
        <c:crosses val="autoZero"/>
        <c:auto val="1"/>
        <c:lblAlgn val="ctr"/>
        <c:lblOffset val="100"/>
        <c:noMultiLvlLbl val="0"/>
      </c:catAx>
      <c:valAx>
        <c:axId val="230461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451840"/>
        <c:crosses val="autoZero"/>
        <c:crossBetween val="between"/>
      </c:valAx>
      <c:valAx>
        <c:axId val="230463360"/>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464896"/>
        <c:crosses val="max"/>
        <c:crossBetween val="between"/>
      </c:valAx>
      <c:catAx>
        <c:axId val="230464896"/>
        <c:scaling>
          <c:orientation val="minMax"/>
        </c:scaling>
        <c:delete val="1"/>
        <c:axPos val="b"/>
        <c:numFmt formatCode="General" sourceLinked="1"/>
        <c:majorTickMark val="out"/>
        <c:minorTickMark val="none"/>
        <c:tickLblPos val="nextTo"/>
        <c:crossAx val="230463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戴德全市甲级及以上办公楼市场分析</a:t>
            </a:r>
          </a:p>
        </c:rich>
      </c:tx>
      <c:layout>
        <c:manualLayout>
          <c:xMode val="edge"/>
          <c:yMode val="edge"/>
          <c:x val="0.26353151200229524"/>
          <c:y val="4.6644457689282347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230705792"/>
        <c:axId val="230711680"/>
        <c:extLst>
          <c:ext xmlns:c15="http://schemas.microsoft.com/office/drawing/2012/chart" uri="{02D57815-91ED-43cb-92C2-25804820EDAC}">
            <c15:filteredBarSeries>
              <c15:ser>
                <c:idx val="4"/>
                <c:order val="4"/>
                <c:tx>
                  <c:strRef>
                    <c:extLst>
                      <c:ext uri="{02D57815-91ED-43cb-92C2-25804820EDAC}">
                        <c15:formulaRef>
                          <c15:sqref>写字楼!$G$3</c15:sqref>
                        </c15:formulaRef>
                      </c:ext>
                    </c:extLst>
                    <c:strCache>
                      <c:ptCount val="1"/>
                      <c:pt idx="0">
                        <c:v>库存（万㎡）</c:v>
                      </c:pt>
                    </c:strCache>
                  </c:strRef>
                </c:tx>
                <c:invertIfNegative val="0"/>
                <c:cat>
                  <c:strRef>
                    <c:extLst>
                      <c:ex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写字楼!$G$4:$G$31</c15:sqref>
                        </c15:fullRef>
                        <c15:formulaRef>
                          <c15:sqref>写字楼!$G$5:$G$31</c15:sqref>
                        </c15:formulaRef>
                      </c:ext>
                    </c:extLst>
                    <c:numCache>
                      <c:formatCode>General</c:formatCode>
                      <c:ptCount val="27"/>
                      <c:pt idx="0">
                        <c:v>852.08</c:v>
                      </c:pt>
                      <c:pt idx="1">
                        <c:v>905.39</c:v>
                      </c:pt>
                      <c:pt idx="2">
                        <c:v>930.21</c:v>
                      </c:pt>
                      <c:pt idx="3">
                        <c:v>946</c:v>
                      </c:pt>
                      <c:pt idx="4">
                        <c:v>967.06</c:v>
                      </c:pt>
                      <c:pt idx="5">
                        <c:v>967.06</c:v>
                      </c:pt>
                      <c:pt idx="6">
                        <c:v>1005.54</c:v>
                      </c:pt>
                      <c:pt idx="7">
                        <c:v>1043.6099999999999</c:v>
                      </c:pt>
                      <c:pt idx="8">
                        <c:v>1043.6099999999999</c:v>
                      </c:pt>
                      <c:pt idx="9">
                        <c:v>1048.5999999999999</c:v>
                      </c:pt>
                      <c:pt idx="10">
                        <c:v>1058</c:v>
                      </c:pt>
                      <c:pt idx="11">
                        <c:v>1058</c:v>
                      </c:pt>
                      <c:pt idx="12">
                        <c:v>1034.68</c:v>
                      </c:pt>
                      <c:pt idx="13">
                        <c:v>1055.3800000000001</c:v>
                      </c:pt>
                      <c:pt idx="14">
                        <c:v>1114.18</c:v>
                      </c:pt>
                      <c:pt idx="15">
                        <c:v>1114.18</c:v>
                      </c:pt>
                      <c:pt idx="16">
                        <c:v>1150.42</c:v>
                      </c:pt>
                      <c:pt idx="17">
                        <c:v>1166.92</c:v>
                      </c:pt>
                      <c:pt idx="18">
                        <c:v>1198.4100000000001</c:v>
                      </c:pt>
                      <c:pt idx="19">
                        <c:v>1198.4100000000001</c:v>
                      </c:pt>
                      <c:pt idx="20">
                        <c:v>1245.3599999999999</c:v>
                      </c:pt>
                      <c:pt idx="21">
                        <c:v>1255.1199999999999</c:v>
                      </c:pt>
                      <c:pt idx="22">
                        <c:v>1260.82</c:v>
                      </c:pt>
                      <c:pt idx="23">
                        <c:v>1278.3499999999999</c:v>
                      </c:pt>
                      <c:pt idx="24">
                        <c:v>1280.3499999999999</c:v>
                      </c:pt>
                      <c:pt idx="25">
                        <c:v>1295.5</c:v>
                      </c:pt>
                      <c:pt idx="26">
                        <c:v>1303.2</c:v>
                      </c:pt>
                    </c:numCache>
                  </c:numRef>
                </c:val>
                <c:extLst>
                  <c:ext xmlns:c16="http://schemas.microsoft.com/office/drawing/2014/chart" uri="{C3380CC4-5D6E-409C-BE32-E72D297353CC}">
                    <c16:uniqueId val="{00000000-0E25-4A05-88E5-A0FAB0C5F4FC}"/>
                  </c:ext>
                </c:extLst>
              </c15:ser>
            </c15:filteredBarSeries>
          </c:ext>
        </c:extLst>
      </c:barChart>
      <c:lineChart>
        <c:grouping val="standard"/>
        <c:varyColors val="0"/>
        <c:ser>
          <c:idx val="0"/>
          <c:order val="0"/>
          <c:tx>
            <c:strRef>
              <c:f>写字楼!$C$3</c:f>
              <c:strCache>
                <c:ptCount val="1"/>
                <c:pt idx="0">
                  <c:v>平均有效租金</c:v>
                </c:pt>
              </c:strCache>
            </c:strRef>
          </c:tx>
          <c:spPr>
            <a:effectLst/>
          </c:spPr>
          <c:marker>
            <c:symbol val="none"/>
          </c:marker>
          <c:cat>
            <c:strRef>
              <c:extLst>
                <c:ext xmlns:c15="http://schemas.microsoft.com/office/drawing/2012/chart" uri="{02D57815-91ED-43cb-92C2-25804820EDAC}">
                  <c15:fullRef>
                    <c15:sqref>写字楼!$B$4:$B$31</c15:sqref>
                  </c15:fullRef>
                </c:ext>
              </c:extLst>
              <c:f>写字楼!$B$5:$B$31</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写字楼!$C$4:$C$31</c15:sqref>
                  </c15:fullRef>
                </c:ext>
              </c:extLst>
              <c:f>写字楼!$C$5:$C$31</c:f>
              <c:numCache>
                <c:formatCode>General</c:formatCode>
                <c:ptCount val="27"/>
                <c:pt idx="0">
                  <c:v>378.1</c:v>
                </c:pt>
                <c:pt idx="1">
                  <c:v>383.7</c:v>
                </c:pt>
                <c:pt idx="2">
                  <c:v>387.2</c:v>
                </c:pt>
                <c:pt idx="3">
                  <c:v>388.4</c:v>
                </c:pt>
                <c:pt idx="4">
                  <c:v>392.1</c:v>
                </c:pt>
                <c:pt idx="5">
                  <c:v>391.3</c:v>
                </c:pt>
                <c:pt idx="6">
                  <c:v>395.7</c:v>
                </c:pt>
                <c:pt idx="7">
                  <c:v>391.3</c:v>
                </c:pt>
                <c:pt idx="8">
                  <c:v>394.4</c:v>
                </c:pt>
                <c:pt idx="9">
                  <c:v>403</c:v>
                </c:pt>
                <c:pt idx="10">
                  <c:v>400.1</c:v>
                </c:pt>
                <c:pt idx="11">
                  <c:v>399.75</c:v>
                </c:pt>
                <c:pt idx="12">
                  <c:v>396.19</c:v>
                </c:pt>
                <c:pt idx="13">
                  <c:v>388.16</c:v>
                </c:pt>
                <c:pt idx="14">
                  <c:v>382.4</c:v>
                </c:pt>
                <c:pt idx="15">
                  <c:v>377.49</c:v>
                </c:pt>
                <c:pt idx="16">
                  <c:v>358.51</c:v>
                </c:pt>
                <c:pt idx="17">
                  <c:v>348.4</c:v>
                </c:pt>
                <c:pt idx="18">
                  <c:v>337.2</c:v>
                </c:pt>
                <c:pt idx="19">
                  <c:v>334</c:v>
                </c:pt>
                <c:pt idx="20">
                  <c:v>326</c:v>
                </c:pt>
                <c:pt idx="21">
                  <c:v>332</c:v>
                </c:pt>
                <c:pt idx="22">
                  <c:v>337.6</c:v>
                </c:pt>
                <c:pt idx="23">
                  <c:v>334.6</c:v>
                </c:pt>
                <c:pt idx="24">
                  <c:v>332.7</c:v>
                </c:pt>
                <c:pt idx="25">
                  <c:v>330.8</c:v>
                </c:pt>
                <c:pt idx="26">
                  <c:v>321.5</c:v>
                </c:pt>
              </c:numCache>
            </c:numRef>
          </c:val>
          <c:smooth val="0"/>
          <c:extLst>
            <c:ext xmlns:c16="http://schemas.microsoft.com/office/drawing/2014/chart" uri="{C3380CC4-5D6E-409C-BE32-E72D297353CC}">
              <c16:uniqueId val="{00000001-0E25-4A05-88E5-A0FAB0C5F4FC}"/>
            </c:ext>
          </c:extLst>
        </c:ser>
        <c:dLbls>
          <c:showLegendKey val="0"/>
          <c:showVal val="0"/>
          <c:showCatName val="0"/>
          <c:showSerName val="0"/>
          <c:showPercent val="0"/>
          <c:showBubbleSize val="0"/>
        </c:dLbls>
        <c:marker val="1"/>
        <c:smooth val="0"/>
        <c:axId val="230705792"/>
        <c:axId val="230711680"/>
      </c:lineChart>
      <c:lineChart>
        <c:grouping val="standard"/>
        <c:varyColors val="0"/>
        <c:ser>
          <c:idx val="1"/>
          <c:order val="1"/>
          <c:tx>
            <c:strRef>
              <c:f>写字楼!$D$3</c:f>
              <c:strCache>
                <c:ptCount val="1"/>
                <c:pt idx="0">
                  <c:v>空置率</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写字楼!$B$4:$B$31</c15:sqref>
                  </c15:fullRef>
                </c:ext>
              </c:extLst>
              <c:f>写字楼!$B$5:$B$31</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写字楼!$D$4:$D$31</c15:sqref>
                  </c15:fullRef>
                </c:ext>
              </c:extLst>
              <c:f>写字楼!$D$5:$D$31</c:f>
              <c:numCache>
                <c:formatCode>0.00%</c:formatCode>
                <c:ptCount val="27"/>
                <c:pt idx="0">
                  <c:v>7.2999999999999995E-2</c:v>
                </c:pt>
                <c:pt idx="1">
                  <c:v>5.8000000000000003E-2</c:v>
                </c:pt>
                <c:pt idx="2">
                  <c:v>6.6000000000000003E-2</c:v>
                </c:pt>
                <c:pt idx="3">
                  <c:v>6.6000000000000003E-2</c:v>
                </c:pt>
                <c:pt idx="4">
                  <c:v>7.1999999999999995E-2</c:v>
                </c:pt>
                <c:pt idx="5">
                  <c:v>6.3E-2</c:v>
                </c:pt>
                <c:pt idx="6">
                  <c:v>7.6999999999999999E-2</c:v>
                </c:pt>
                <c:pt idx="7">
                  <c:v>8.4000000000000005E-2</c:v>
                </c:pt>
                <c:pt idx="8">
                  <c:v>7.0999999999999994E-2</c:v>
                </c:pt>
                <c:pt idx="9">
                  <c:v>7.9000000000000001E-2</c:v>
                </c:pt>
                <c:pt idx="10">
                  <c:v>8.1000000000000003E-2</c:v>
                </c:pt>
                <c:pt idx="11">
                  <c:v>7.9200000000000007E-2</c:v>
                </c:pt>
                <c:pt idx="12">
                  <c:v>8.8999999999999996E-2</c:v>
                </c:pt>
                <c:pt idx="13">
                  <c:v>0.10150000000000001</c:v>
                </c:pt>
                <c:pt idx="14">
                  <c:v>0.13500000000000001</c:v>
                </c:pt>
                <c:pt idx="15">
                  <c:v>0.13800000000000001</c:v>
                </c:pt>
                <c:pt idx="16">
                  <c:v>0.16200000000000001</c:v>
                </c:pt>
                <c:pt idx="17">
                  <c:v>0.16600000000000001</c:v>
                </c:pt>
                <c:pt idx="18">
                  <c:v>0.17</c:v>
                </c:pt>
                <c:pt idx="19">
                  <c:v>0.17199999999999999</c:v>
                </c:pt>
                <c:pt idx="20">
                  <c:v>0.17499999999999999</c:v>
                </c:pt>
                <c:pt idx="21">
                  <c:v>0.16200000000000001</c:v>
                </c:pt>
                <c:pt idx="22">
                  <c:v>0.14599999999999999</c:v>
                </c:pt>
                <c:pt idx="23">
                  <c:v>0.14299999999999999</c:v>
                </c:pt>
                <c:pt idx="24">
                  <c:v>0.13900000000000001</c:v>
                </c:pt>
                <c:pt idx="25">
                  <c:v>0.14599999999999999</c:v>
                </c:pt>
                <c:pt idx="26">
                  <c:v>0.16</c:v>
                </c:pt>
              </c:numCache>
            </c:numRef>
          </c:val>
          <c:smooth val="0"/>
          <c:extLst>
            <c:ext xmlns:c16="http://schemas.microsoft.com/office/drawing/2014/chart" uri="{C3380CC4-5D6E-409C-BE32-E72D297353CC}">
              <c16:uniqueId val="{00000002-0E25-4A05-88E5-A0FAB0C5F4FC}"/>
            </c:ext>
          </c:extLst>
        </c:ser>
        <c:dLbls>
          <c:showLegendKey val="0"/>
          <c:showVal val="0"/>
          <c:showCatName val="0"/>
          <c:showSerName val="0"/>
          <c:showPercent val="0"/>
          <c:showBubbleSize val="0"/>
        </c:dLbls>
        <c:marker val="1"/>
        <c:smooth val="0"/>
        <c:axId val="230714752"/>
        <c:axId val="230713216"/>
        <c:extLst>
          <c:ext xmlns:c15="http://schemas.microsoft.com/office/drawing/2012/chart" uri="{02D57815-91ED-43cb-92C2-25804820EDAC}">
            <c15:filteredLineSeries>
              <c15:ser>
                <c:idx val="2"/>
                <c:order val="2"/>
                <c:tx>
                  <c:strRef>
                    <c:extLst>
                      <c:ext uri="{02D57815-91ED-43cb-92C2-25804820EDAC}">
                        <c15:formulaRef>
                          <c15:sqref>写字楼!$E$3</c15:sqref>
                        </c15:formulaRef>
                      </c:ext>
                    </c:extLst>
                    <c:strCache>
                      <c:ptCount val="1"/>
                      <c:pt idx="0">
                        <c:v>租金增长率（环比）</c:v>
                      </c:pt>
                    </c:strCache>
                  </c:strRef>
                </c:tx>
                <c:marker>
                  <c:symbol val="none"/>
                </c:marker>
                <c:cat>
                  <c:strRef>
                    <c:extLst>
                      <c:ex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写字楼!$E$4:$E$31</c15:sqref>
                        </c15:fullRef>
                        <c15:formulaRef>
                          <c15:sqref>写字楼!$E$5:$E$31</c15:sqref>
                        </c15:formulaRef>
                      </c:ext>
                    </c:extLst>
                    <c:numCache>
                      <c:formatCode>0.00%</c:formatCode>
                      <c:ptCount val="27"/>
                      <c:pt idx="0">
                        <c:v>-3.9515279241306633E-3</c:v>
                      </c:pt>
                      <c:pt idx="1">
                        <c:v>1.4810896588204088E-2</c:v>
                      </c:pt>
                      <c:pt idx="2">
                        <c:v>9.1217096690122488E-3</c:v>
                      </c:pt>
                      <c:pt idx="3">
                        <c:v>3.0991735537189789E-3</c:v>
                      </c:pt>
                      <c:pt idx="4">
                        <c:v>9.5262615859939385E-3</c:v>
                      </c:pt>
                      <c:pt idx="5">
                        <c:v>-2.0402958428972491E-3</c:v>
                      </c:pt>
                      <c:pt idx="6">
                        <c:v>1.124456938410421E-2</c:v>
                      </c:pt>
                      <c:pt idx="7">
                        <c:v>-1.1119535001263526E-2</c:v>
                      </c:pt>
                      <c:pt idx="8">
                        <c:v>7.9223102478915564E-3</c:v>
                      </c:pt>
                      <c:pt idx="9">
                        <c:v>2.1805273833671458E-2</c:v>
                      </c:pt>
                      <c:pt idx="10">
                        <c:v>-7.1960297766748811E-3</c:v>
                      </c:pt>
                      <c:pt idx="11">
                        <c:v>-8.7478130467388837E-4</c:v>
                      </c:pt>
                      <c:pt idx="12">
                        <c:v>-8.9055659787367156E-3</c:v>
                      </c:pt>
                      <c:pt idx="13">
                        <c:v>-2.0268053206794652E-2</c:v>
                      </c:pt>
                      <c:pt idx="14">
                        <c:v>-1.4839241549876462E-2</c:v>
                      </c:pt>
                      <c:pt idx="15">
                        <c:v>-1.2839958158995734E-2</c:v>
                      </c:pt>
                      <c:pt idx="16">
                        <c:v>-5.0279477602055728E-2</c:v>
                      </c:pt>
                      <c:pt idx="17">
                        <c:v>-2.8200050207804563E-2</c:v>
                      </c:pt>
                      <c:pt idx="18">
                        <c:v>-3.2146957520091821E-2</c:v>
                      </c:pt>
                      <c:pt idx="19">
                        <c:v>-9.4899169632265412E-3</c:v>
                      </c:pt>
                      <c:pt idx="20">
                        <c:v>-2.5000000000000001E-2</c:v>
                      </c:pt>
                      <c:pt idx="21">
                        <c:v>1.7999999999999999E-2</c:v>
                      </c:pt>
                      <c:pt idx="22">
                        <c:v>1.7000000000000001E-2</c:v>
                      </c:pt>
                      <c:pt idx="23">
                        <c:v>-8.9999999999999993E-3</c:v>
                      </c:pt>
                      <c:pt idx="24">
                        <c:v>-6.0000000000000001E-3</c:v>
                      </c:pt>
                      <c:pt idx="25">
                        <c:v>-6.0000000000000001E-3</c:v>
                      </c:pt>
                      <c:pt idx="26">
                        <c:v>-2.8000000000000001E-2</c:v>
                      </c:pt>
                    </c:numCache>
                  </c:numRef>
                </c:val>
                <c:smooth val="0"/>
                <c:extLst>
                  <c:ext xmlns:c16="http://schemas.microsoft.com/office/drawing/2014/chart" uri="{C3380CC4-5D6E-409C-BE32-E72D297353CC}">
                    <c16:uniqueId val="{00000003-0E25-4A05-88E5-A0FAB0C5F4F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写字楼!$F$3</c15:sqref>
                        </c15:formulaRef>
                      </c:ext>
                    </c:extLst>
                    <c:strCache>
                      <c:ptCount val="1"/>
                      <c:pt idx="0">
                        <c:v>新增供应</c:v>
                      </c:pt>
                    </c:strCache>
                  </c:strRef>
                </c:tx>
                <c:marker>
                  <c:symbol val="none"/>
                </c:marker>
                <c:cat>
                  <c:strRef>
                    <c:extLst>
                      <c:ext xmlns:c15="http://schemas.microsoft.com/office/drawing/2012/char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写字楼!$F$4:$F$31</c15:sqref>
                        </c15:fullRef>
                        <c15:formulaRef>
                          <c15:sqref>写字楼!$F$5:$F$31</c15:sqref>
                        </c15:formulaRef>
                      </c:ext>
                    </c:extLst>
                    <c:numCache>
                      <c:formatCode>General</c:formatCode>
                      <c:ptCount val="27"/>
                      <c:pt idx="1">
                        <c:v>53.309999999999945</c:v>
                      </c:pt>
                      <c:pt idx="2">
                        <c:v>24.82000000000005</c:v>
                      </c:pt>
                      <c:pt idx="3">
                        <c:v>15.789999999999964</c:v>
                      </c:pt>
                      <c:pt idx="4">
                        <c:v>21.059999999999945</c:v>
                      </c:pt>
                      <c:pt idx="5">
                        <c:v>0</c:v>
                      </c:pt>
                      <c:pt idx="6">
                        <c:v>38.480000000000018</c:v>
                      </c:pt>
                      <c:pt idx="7">
                        <c:v>38.069999999999936</c:v>
                      </c:pt>
                      <c:pt idx="8">
                        <c:v>0</c:v>
                      </c:pt>
                      <c:pt idx="9">
                        <c:v>4.9900000000000091</c:v>
                      </c:pt>
                      <c:pt idx="10">
                        <c:v>9.4000000000000909</c:v>
                      </c:pt>
                      <c:pt idx="11">
                        <c:v>0</c:v>
                      </c:pt>
                      <c:pt idx="12">
                        <c:v>-23.319999999999936</c:v>
                      </c:pt>
                      <c:pt idx="13">
                        <c:v>20.700000000000045</c:v>
                      </c:pt>
                      <c:pt idx="14">
                        <c:v>58.799999999999955</c:v>
                      </c:pt>
                      <c:pt idx="15">
                        <c:v>0</c:v>
                      </c:pt>
                      <c:pt idx="16">
                        <c:v>36.240000000000009</c:v>
                      </c:pt>
                      <c:pt idx="17">
                        <c:v>16.5</c:v>
                      </c:pt>
                      <c:pt idx="18">
                        <c:v>31.490000000000009</c:v>
                      </c:pt>
                      <c:pt idx="19">
                        <c:v>0</c:v>
                      </c:pt>
                      <c:pt idx="20">
                        <c:v>26.3</c:v>
                      </c:pt>
                      <c:pt idx="21">
                        <c:v>9.6999999999999993</c:v>
                      </c:pt>
                      <c:pt idx="22">
                        <c:v>62.4</c:v>
                      </c:pt>
                      <c:pt idx="23">
                        <c:v>17.5</c:v>
                      </c:pt>
                      <c:pt idx="24">
                        <c:v>0</c:v>
                      </c:pt>
                      <c:pt idx="25">
                        <c:v>15</c:v>
                      </c:pt>
                      <c:pt idx="26">
                        <c:v>7.7</c:v>
                      </c:pt>
                    </c:numCache>
                  </c:numRef>
                </c:val>
                <c:smooth val="0"/>
                <c:extLst xmlns:c15="http://schemas.microsoft.com/office/drawing/2012/chart">
                  <c:ext xmlns:c16="http://schemas.microsoft.com/office/drawing/2014/chart" uri="{C3380CC4-5D6E-409C-BE32-E72D297353CC}">
                    <c16:uniqueId val="{00000004-0E25-4A05-88E5-A0FAB0C5F4FC}"/>
                  </c:ext>
                </c:extLst>
              </c15:ser>
            </c15:filteredLineSeries>
          </c:ext>
        </c:extLst>
      </c:lineChart>
      <c:catAx>
        <c:axId val="23070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11680"/>
        <c:crosses val="autoZero"/>
        <c:auto val="1"/>
        <c:lblAlgn val="ctr"/>
        <c:lblOffset val="100"/>
        <c:noMultiLvlLbl val="0"/>
      </c:catAx>
      <c:valAx>
        <c:axId val="23071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05792"/>
        <c:crosses val="autoZero"/>
        <c:crossBetween val="between"/>
      </c:valAx>
      <c:valAx>
        <c:axId val="230713216"/>
        <c:scaling>
          <c:orientation val="minMax"/>
          <c:max val="0.2"/>
        </c:scaling>
        <c:delete val="0"/>
        <c:axPos val="r"/>
        <c:minorGridlines>
          <c:spPr>
            <a:ln>
              <a:noFill/>
            </a:ln>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14752"/>
        <c:crosses val="max"/>
        <c:crossBetween val="between"/>
      </c:valAx>
      <c:catAx>
        <c:axId val="230714752"/>
        <c:scaling>
          <c:orientation val="minMax"/>
        </c:scaling>
        <c:delete val="1"/>
        <c:axPos val="b"/>
        <c:numFmt formatCode="General" sourceLinked="1"/>
        <c:majorTickMark val="out"/>
        <c:minorTickMark val="none"/>
        <c:tickLblPos val="nextTo"/>
        <c:crossAx val="230713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zh-CN" altLang="en-US" sz="1600" b="0" i="0" baseline="0">
                <a:effectLst/>
              </a:rPr>
              <a:t>仲量北京全市</a:t>
            </a:r>
            <a:r>
              <a:rPr lang="zh-CN" altLang="zh-CN" sz="1600" b="0" i="0" baseline="0">
                <a:effectLst/>
              </a:rPr>
              <a:t>办公楼市场分析</a:t>
            </a:r>
            <a:endParaRPr lang="zh-CN" altLang="zh-CN" sz="1600">
              <a:effectLst/>
            </a:endParaRPr>
          </a:p>
        </c:rich>
      </c:tx>
      <c:layout>
        <c:manualLayout>
          <c:xMode val="edge"/>
          <c:yMode val="edge"/>
          <c:x val="0.27496483825597751"/>
          <c:y val="1.5748031496062992E-2"/>
        </c:manualLayout>
      </c:layout>
      <c:overlay val="0"/>
      <c:spPr>
        <a:noFill/>
        <a:ln>
          <a:noFill/>
        </a:ln>
        <a:effectLst/>
      </c:spPr>
    </c:title>
    <c:autoTitleDeleted val="0"/>
    <c:plotArea>
      <c:layout/>
      <c:barChart>
        <c:barDir val="col"/>
        <c:grouping val="clustered"/>
        <c:varyColors val="0"/>
        <c:ser>
          <c:idx val="5"/>
          <c:order val="5"/>
          <c:tx>
            <c:strRef>
              <c:f>写字楼!$Q$3</c:f>
              <c:strCache>
                <c:ptCount val="1"/>
                <c:pt idx="0">
                  <c:v>存量（万㎡）</c:v>
                </c:pt>
              </c:strCache>
            </c:strRef>
          </c:tx>
          <c:spPr>
            <a:solidFill>
              <a:schemeClr val="accent6"/>
            </a:solidFill>
            <a:ln>
              <a:noFill/>
            </a:ln>
            <a:effectLst/>
          </c:spPr>
          <c:invertIfNegative val="0"/>
          <c:cat>
            <c:multiLvlStrRef>
              <c:f>写字楼!$K$4:$K$23</c:f>
            </c:multiLvlStrRef>
          </c:cat>
          <c:val>
            <c:numRef>
              <c:f>写字楼!$Q$4:$Q$23</c:f>
            </c:numRef>
          </c:val>
          <c:extLst>
            <c:ext xmlns:c16="http://schemas.microsoft.com/office/drawing/2014/chart" uri="{C3380CC4-5D6E-409C-BE32-E72D297353CC}">
              <c16:uniqueId val="{00000000-10B6-49A6-AC1A-A3575E235D85}"/>
            </c:ext>
          </c:extLst>
        </c:ser>
        <c:dLbls>
          <c:showLegendKey val="0"/>
          <c:showVal val="0"/>
          <c:showCatName val="0"/>
          <c:showSerName val="0"/>
          <c:showPercent val="0"/>
          <c:showBubbleSize val="0"/>
        </c:dLbls>
        <c:gapWidth val="219"/>
        <c:axId val="230841728"/>
        <c:axId val="230872192"/>
      </c:barChart>
      <c:lineChart>
        <c:grouping val="standard"/>
        <c:varyColors val="0"/>
        <c:ser>
          <c:idx val="2"/>
          <c:order val="2"/>
          <c:tx>
            <c:strRef>
              <c:f>[3]市场走势!$N$3</c:f>
              <c:strCache>
                <c:ptCount val="1"/>
                <c:pt idx="0">
                  <c:v>租金增长率</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[3]市场走势!$N$4:$N$23</c:f>
              <c:numCache>
                <c:formatCode>General</c:formatCode>
                <c:ptCount val="20"/>
                <c:pt idx="1">
                  <c:v>2.6809651474530832E-3</c:v>
                </c:pt>
                <c:pt idx="2">
                  <c:v>-8.0213903743315516E-3</c:v>
                </c:pt>
                <c:pt idx="3">
                  <c:v>5.3908355795148251E-3</c:v>
                </c:pt>
                <c:pt idx="4">
                  <c:v>-5.3619302949061663E-3</c:v>
                </c:pt>
                <c:pt idx="5">
                  <c:v>8.0862533692722376E-3</c:v>
                </c:pt>
                <c:pt idx="6">
                  <c:v>8.0213903743315516E-3</c:v>
                </c:pt>
                <c:pt idx="7">
                  <c:v>-7.9575596816976128E-3</c:v>
                </c:pt>
                <c:pt idx="8">
                  <c:v>-1.06951871657754E-2</c:v>
                </c:pt>
                <c:pt idx="9">
                  <c:v>3.783783783783784E-2</c:v>
                </c:pt>
                <c:pt idx="10">
                  <c:v>1.5625E-2</c:v>
                </c:pt>
                <c:pt idx="11">
                  <c:v>-1.0256410256410256E-2</c:v>
                </c:pt>
                <c:pt idx="12">
                  <c:v>-1.0362694300518135E-2</c:v>
                </c:pt>
                <c:pt idx="13">
                  <c:v>-1.3089005235602094E-2</c:v>
                </c:pt>
                <c:pt idx="14">
                  <c:v>-7.9575596816976128E-3</c:v>
                </c:pt>
                <c:pt idx="15">
                  <c:v>1.3368983957219251E-2</c:v>
                </c:pt>
                <c:pt idx="16">
                  <c:v>-1.3192612137203167E-2</c:v>
                </c:pt>
                <c:pt idx="17">
                  <c:v>-4.8128342245989303E-2</c:v>
                </c:pt>
                <c:pt idx="18">
                  <c:v>-1.1235955056179775E-2</c:v>
                </c:pt>
                <c:pt idx="19">
                  <c:v>-2.8409090909090908E-2</c:v>
                </c:pt>
              </c:numCache>
            </c:numRef>
          </c:val>
          <c:smooth val="0"/>
          <c:extLst>
            <c:ext xmlns:c16="http://schemas.microsoft.com/office/drawing/2014/chart" uri="{C3380CC4-5D6E-409C-BE32-E72D297353CC}">
              <c16:uniqueId val="{00000001-10B6-49A6-AC1A-A3575E235D85}"/>
            </c:ext>
          </c:extLst>
        </c:ser>
        <c:ser>
          <c:idx val="3"/>
          <c:order val="3"/>
          <c:tx>
            <c:strRef>
              <c:f>[3]市场走势!$O$3</c:f>
              <c:strCache>
                <c:ptCount val="1"/>
                <c:pt idx="0">
                  <c:v>新增供应</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[3]市场走势!$O$4:$O$23</c:f>
              <c:numCache>
                <c:formatCode>General</c:formatCode>
                <c:ptCount val="20"/>
                <c:pt idx="1">
                  <c:v>355400</c:v>
                </c:pt>
                <c:pt idx="2">
                  <c:v>134000</c:v>
                </c:pt>
                <c:pt idx="3">
                  <c:v>115500</c:v>
                </c:pt>
                <c:pt idx="4">
                  <c:v>122300</c:v>
                </c:pt>
                <c:pt idx="5">
                  <c:v>267800</c:v>
                </c:pt>
                <c:pt idx="6">
                  <c:v>0</c:v>
                </c:pt>
                <c:pt idx="7">
                  <c:v>430900</c:v>
                </c:pt>
                <c:pt idx="8">
                  <c:v>0</c:v>
                </c:pt>
                <c:pt idx="9">
                  <c:v>80000</c:v>
                </c:pt>
                <c:pt idx="10">
                  <c:v>45700</c:v>
                </c:pt>
                <c:pt idx="11">
                  <c:v>251300</c:v>
                </c:pt>
                <c:pt idx="12">
                  <c:v>125600</c:v>
                </c:pt>
                <c:pt idx="13">
                  <c:v>143000</c:v>
                </c:pt>
                <c:pt idx="14">
                  <c:v>0</c:v>
                </c:pt>
                <c:pt idx="15">
                  <c:v>800700</c:v>
                </c:pt>
                <c:pt idx="16">
                  <c:v>0</c:v>
                </c:pt>
                <c:pt idx="17">
                  <c:v>0</c:v>
                </c:pt>
                <c:pt idx="18">
                  <c:v>10000</c:v>
                </c:pt>
                <c:pt idx="19">
                  <c:v>540700</c:v>
                </c:pt>
              </c:numCache>
            </c:numRef>
          </c:val>
          <c:smooth val="0"/>
          <c:extLst>
            <c:ext xmlns:c16="http://schemas.microsoft.com/office/drawing/2014/chart" uri="{C3380CC4-5D6E-409C-BE32-E72D297353CC}">
              <c16:uniqueId val="{00000002-10B6-49A6-AC1A-A3575E235D85}"/>
            </c:ext>
          </c:extLst>
        </c:ser>
        <c:ser>
          <c:idx val="4"/>
          <c:order val="4"/>
          <c:tx>
            <c:strRef>
              <c:f>[3]市场走势!$P$3</c:f>
              <c:strCache>
                <c:ptCount val="1"/>
                <c:pt idx="0">
                  <c:v>存量（万㎡）</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[3]市场走势!$P$4:$P$23</c:f>
              <c:numCache>
                <c:formatCode>General</c:formatCode>
                <c:ptCount val="20"/>
                <c:pt idx="0">
                  <c:v>6753000</c:v>
                </c:pt>
                <c:pt idx="1">
                  <c:v>7108400</c:v>
                </c:pt>
                <c:pt idx="2">
                  <c:v>7242400</c:v>
                </c:pt>
                <c:pt idx="3">
                  <c:v>7357900</c:v>
                </c:pt>
                <c:pt idx="4">
                  <c:v>7480200</c:v>
                </c:pt>
                <c:pt idx="5">
                  <c:v>7748000</c:v>
                </c:pt>
                <c:pt idx="6">
                  <c:v>7748000</c:v>
                </c:pt>
                <c:pt idx="7">
                  <c:v>8178900</c:v>
                </c:pt>
                <c:pt idx="8">
                  <c:v>8178900</c:v>
                </c:pt>
                <c:pt idx="9">
                  <c:v>8258900</c:v>
                </c:pt>
                <c:pt idx="10">
                  <c:v>8304600</c:v>
                </c:pt>
                <c:pt idx="11">
                  <c:v>8555900</c:v>
                </c:pt>
                <c:pt idx="12">
                  <c:v>8681500</c:v>
                </c:pt>
                <c:pt idx="13">
                  <c:v>8824500</c:v>
                </c:pt>
                <c:pt idx="14">
                  <c:v>8824500</c:v>
                </c:pt>
                <c:pt idx="15">
                  <c:v>9625200</c:v>
                </c:pt>
                <c:pt idx="16">
                  <c:v>9625200</c:v>
                </c:pt>
                <c:pt idx="17">
                  <c:v>9625200</c:v>
                </c:pt>
                <c:pt idx="18">
                  <c:v>9635200</c:v>
                </c:pt>
                <c:pt idx="19">
                  <c:v>10175900</c:v>
                </c:pt>
              </c:numCache>
            </c:numRef>
          </c:val>
          <c:smooth val="0"/>
          <c:extLst>
            <c:ext xmlns:c16="http://schemas.microsoft.com/office/drawing/2014/chart" uri="{C3380CC4-5D6E-409C-BE32-E72D297353CC}">
              <c16:uniqueId val="{00000003-10B6-49A6-AC1A-A3575E235D85}"/>
            </c:ext>
          </c:extLst>
        </c:ser>
        <c:ser>
          <c:idx val="0"/>
          <c:order val="0"/>
          <c:tx>
            <c:strRef>
              <c:f>写字楼!$L$3</c:f>
              <c:strCache>
                <c:ptCount val="1"/>
                <c:pt idx="0">
                  <c:v>平均有效租金</c:v>
                </c:pt>
              </c:strCache>
            </c:strRef>
          </c:tx>
          <c:spPr>
            <a:ln w="28575" cap="rnd">
              <a:solidFill>
                <a:schemeClr val="accent1"/>
              </a:solidFill>
              <a:round/>
            </a:ln>
            <a:effectLst/>
          </c:spPr>
          <c:marker>
            <c:symbol val="none"/>
          </c:marker>
          <c:cat>
            <c:multiLvlStrRef>
              <c:f>写字楼!$K$4:$K$23</c:f>
            </c:multiLvlStrRef>
          </c:cat>
          <c:val>
            <c:numRef>
              <c:f>写字楼!$L$4:$L$23</c:f>
            </c:numRef>
          </c:val>
          <c:smooth val="0"/>
          <c:extLst>
            <c:ext xmlns:c16="http://schemas.microsoft.com/office/drawing/2014/chart" uri="{C3380CC4-5D6E-409C-BE32-E72D297353CC}">
              <c16:uniqueId val="{00000004-10B6-49A6-AC1A-A3575E235D85}"/>
            </c:ext>
          </c:extLst>
        </c:ser>
        <c:dLbls>
          <c:showLegendKey val="0"/>
          <c:showVal val="0"/>
          <c:showCatName val="0"/>
          <c:showSerName val="0"/>
          <c:showPercent val="0"/>
          <c:showBubbleSize val="0"/>
        </c:dLbls>
        <c:marker val="1"/>
        <c:smooth val="0"/>
        <c:axId val="230841728"/>
        <c:axId val="230872192"/>
      </c:lineChart>
      <c:lineChart>
        <c:grouping val="standard"/>
        <c:varyColors val="0"/>
        <c:ser>
          <c:idx val="1"/>
          <c:order val="1"/>
          <c:tx>
            <c:strRef>
              <c:f>写字楼!$M$3</c:f>
              <c:strCache>
                <c:ptCount val="1"/>
                <c:pt idx="0">
                  <c:v>空置率</c:v>
                </c:pt>
              </c:strCache>
            </c:strRef>
          </c:tx>
          <c:spPr>
            <a:ln w="28575" cap="rnd">
              <a:solidFill>
                <a:schemeClr val="accent2"/>
              </a:solidFill>
              <a:round/>
            </a:ln>
            <a:effectLst/>
          </c:spPr>
          <c:marker>
            <c:symbol val="none"/>
          </c:marker>
          <c:cat>
            <c:multiLvlStrRef>
              <c:f>写字楼!$K$4:$K$23</c:f>
            </c:multiLvlStrRef>
          </c:cat>
          <c:val>
            <c:numRef>
              <c:f>写字楼!$M$4:$M$23</c:f>
            </c:numRef>
          </c:val>
          <c:smooth val="0"/>
          <c:extLst>
            <c:ext xmlns:c16="http://schemas.microsoft.com/office/drawing/2014/chart" uri="{C3380CC4-5D6E-409C-BE32-E72D297353CC}">
              <c16:uniqueId val="{00000005-10B6-49A6-AC1A-A3575E235D85}"/>
            </c:ext>
          </c:extLst>
        </c:ser>
        <c:dLbls>
          <c:showLegendKey val="0"/>
          <c:showVal val="0"/>
          <c:showCatName val="0"/>
          <c:showSerName val="0"/>
          <c:showPercent val="0"/>
          <c:showBubbleSize val="0"/>
        </c:dLbls>
        <c:marker val="1"/>
        <c:smooth val="0"/>
        <c:axId val="230875520"/>
        <c:axId val="230873728"/>
        <c:extLst>
          <c:ext xmlns:c15="http://schemas.microsoft.com/office/drawing/2012/chart" uri="{02D57815-91ED-43cb-92C2-25804820EDAC}">
            <c15:filteredLineSeries>
              <c15:ser>
                <c:idx val="6"/>
                <c:order val="6"/>
                <c:tx>
                  <c:strRef>
                    <c:extLst>
                      <c:ext uri="{02D57815-91ED-43cb-92C2-25804820EDAC}">
                        <c15:formulaRef>
                          <c15:sqref>写字楼!$R$3</c15:sqref>
                        </c15:formulaRef>
                      </c:ext>
                    </c:extLst>
                    <c:strCache>
                      <c:ptCount val="1"/>
                      <c:pt idx="0">
                        <c:v>租金增长率</c:v>
                      </c:pt>
                    </c:strCache>
                  </c:strRef>
                </c:tx>
                <c:spPr>
                  <a:ln w="28575" cap="rnd">
                    <a:solidFill>
                      <a:schemeClr val="accent1">
                        <a:lumMod val="60000"/>
                      </a:schemeClr>
                    </a:solidFill>
                    <a:round/>
                  </a:ln>
                  <a:effectLst/>
                </c:spPr>
                <c:marker>
                  <c:symbol val="none"/>
                </c:marker>
                <c:cat>
                  <c:multiLvlStrRef>
                    <c:extLst>
                      <c:ext uri="{02D57815-91ED-43cb-92C2-25804820EDAC}">
                        <c15:formulaRef>
                          <c15:sqref>写字楼!$K$4:$K$23</c15:sqref>
                        </c15:formulaRef>
                      </c:ext>
                    </c:extLst>
                  </c:multiLvlStrRef>
                </c:cat>
                <c:val>
                  <c:numRef>
                    <c:extLst>
                      <c:ext uri="{02D57815-91ED-43cb-92C2-25804820EDAC}">
                        <c15:formulaRef>
                          <c15:sqref>写字楼!$R$4:$R$23</c15:sqref>
                        </c15:formulaRef>
                      </c:ext>
                    </c:extLst>
                  </c:numRef>
                </c:val>
                <c:smooth val="0"/>
                <c:extLst>
                  <c:ext xmlns:c16="http://schemas.microsoft.com/office/drawing/2014/chart" uri="{C3380CC4-5D6E-409C-BE32-E72D297353CC}">
                    <c16:uniqueId val="{00000006-10B6-49A6-AC1A-A3575E235D85}"/>
                  </c:ext>
                </c:extLst>
              </c15:ser>
            </c15:filteredLineSeries>
          </c:ext>
        </c:extLst>
      </c:lineChart>
      <c:catAx>
        <c:axId val="2308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72192"/>
        <c:crosses val="autoZero"/>
        <c:auto val="1"/>
        <c:lblAlgn val="ctr"/>
        <c:lblOffset val="100"/>
        <c:noMultiLvlLbl val="0"/>
      </c:catAx>
      <c:valAx>
        <c:axId val="230872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41728"/>
        <c:crosses val="autoZero"/>
        <c:crossBetween val="between"/>
      </c:valAx>
      <c:valAx>
        <c:axId val="23087372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75520"/>
        <c:crosses val="max"/>
        <c:crossBetween val="between"/>
      </c:valAx>
      <c:catAx>
        <c:axId val="230875520"/>
        <c:scaling>
          <c:orientation val="minMax"/>
        </c:scaling>
        <c:delete val="1"/>
        <c:axPos val="b"/>
        <c:numFmt formatCode="General" sourceLinked="1"/>
        <c:majorTickMark val="out"/>
        <c:minorTickMark val="none"/>
        <c:tickLblPos val="nextTo"/>
        <c:crossAx val="2308737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zh-CN" altLang="en-US" sz="1600" b="0" i="0" baseline="0">
                <a:effectLst/>
              </a:rPr>
              <a:t>北京全市平均（戴德、第一太平）</a:t>
            </a:r>
            <a:r>
              <a:rPr lang="zh-CN" altLang="zh-CN" sz="1600" b="0" i="0" baseline="0">
                <a:effectLst/>
              </a:rPr>
              <a:t>办公楼市场分析</a:t>
            </a:r>
            <a:endParaRPr lang="zh-CN" altLang="zh-CN" sz="1600">
              <a:effectLst/>
            </a:endParaRPr>
          </a:p>
        </c:rich>
      </c:tx>
      <c:layout>
        <c:manualLayout>
          <c:xMode val="edge"/>
          <c:yMode val="edge"/>
          <c:x val="0.18134171907756813"/>
          <c:y val="0"/>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230841728"/>
        <c:axId val="230872192"/>
        <c:extLst>
          <c:ext xmlns:c15="http://schemas.microsoft.com/office/drawing/2012/chart" uri="{02D57815-91ED-43cb-92C2-25804820EDAC}">
            <c15:filteredBarSeries>
              <c15:ser>
                <c:idx val="2"/>
                <c:order val="2"/>
                <c:tx>
                  <c:strRef>
                    <c:extLst>
                      <c:ext uri="{02D57815-91ED-43cb-92C2-25804820EDAC}">
                        <c15:formulaRef>
                          <c15:sqref>写字楼!$X$34</c15:sqref>
                        </c15:formulaRef>
                      </c:ext>
                    </c:extLst>
                    <c:strCache>
                      <c:ptCount val="1"/>
                      <c:pt idx="0">
                        <c:v>存量</c:v>
                      </c:pt>
                    </c:strCache>
                  </c:strRef>
                </c:tx>
                <c:spPr>
                  <a:ln w="28575" cap="rnd">
                    <a:solidFill>
                      <a:schemeClr val="accent3"/>
                    </a:solidFill>
                    <a:round/>
                  </a:ln>
                  <a:effectLst/>
                </c:spPr>
                <c:invertIfNegative val="0"/>
                <c:cat>
                  <c:strRef>
                    <c:extLst>
                      <c:ext uri="{02D57815-91ED-43cb-92C2-25804820EDAC}">
                        <c15:formulaRef>
                          <c15:sqref>写字楼!$U$35:$U$62</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写字楼!$X$35:$X$62</c15:sqref>
                        </c15:formulaRef>
                      </c:ext>
                    </c:extLst>
                    <c:numCache>
                      <c:formatCode>0.0_);[Red]\(0.0\)</c:formatCode>
                      <c:ptCount val="28"/>
                      <c:pt idx="0">
                        <c:v>924</c:v>
                      </c:pt>
                      <c:pt idx="1">
                        <c:v>903</c:v>
                      </c:pt>
                      <c:pt idx="2">
                        <c:v>940.7</c:v>
                      </c:pt>
                      <c:pt idx="3">
                        <c:v>961.1</c:v>
                      </c:pt>
                      <c:pt idx="4">
                        <c:v>977</c:v>
                      </c:pt>
                      <c:pt idx="5">
                        <c:v>993.5</c:v>
                      </c:pt>
                      <c:pt idx="6">
                        <c:v>998.5</c:v>
                      </c:pt>
                      <c:pt idx="7">
                        <c:v>1039.8</c:v>
                      </c:pt>
                      <c:pt idx="8">
                        <c:v>1054.3</c:v>
                      </c:pt>
                      <c:pt idx="9">
                        <c:v>1057.8</c:v>
                      </c:pt>
                      <c:pt idx="10">
                        <c:v>1067.5999999999999</c:v>
                      </c:pt>
                      <c:pt idx="11">
                        <c:v>1080.0999999999999</c:v>
                      </c:pt>
                      <c:pt idx="12">
                        <c:v>1080.0999999999999</c:v>
                      </c:pt>
                      <c:pt idx="13">
                        <c:v>1082.5999999999999</c:v>
                      </c:pt>
                      <c:pt idx="14">
                        <c:v>1102</c:v>
                      </c:pt>
                      <c:pt idx="15">
                        <c:v>1178</c:v>
                      </c:pt>
                      <c:pt idx="16">
                        <c:v>1176</c:v>
                      </c:pt>
                      <c:pt idx="17">
                        <c:v>1199.0999999999999</c:v>
                      </c:pt>
                      <c:pt idx="18">
                        <c:v>1219.8</c:v>
                      </c:pt>
                      <c:pt idx="19">
                        <c:v>1243.7</c:v>
                      </c:pt>
                      <c:pt idx="20">
                        <c:v>1257.7</c:v>
                      </c:pt>
                      <c:pt idx="21">
                        <c:v>1300.2</c:v>
                      </c:pt>
                      <c:pt idx="22">
                        <c:v>1325.6</c:v>
                      </c:pt>
                      <c:pt idx="23">
                        <c:v>1338.6</c:v>
                      </c:pt>
                      <c:pt idx="24">
                        <c:v>1354.4</c:v>
                      </c:pt>
                      <c:pt idx="25">
                        <c:v>1359.1</c:v>
                      </c:pt>
                      <c:pt idx="26">
                        <c:v>1366.7</c:v>
                      </c:pt>
                      <c:pt idx="27">
                        <c:v>1374.4</c:v>
                      </c:pt>
                    </c:numCache>
                  </c:numRef>
                </c:val>
                <c:extLst>
                  <c:ext xmlns:c16="http://schemas.microsoft.com/office/drawing/2014/chart" uri="{C3380CC4-5D6E-409C-BE32-E72D297353CC}">
                    <c16:uniqueId val="{00000005-094D-4A5E-A0A4-16D0197B2818}"/>
                  </c:ext>
                </c:extLst>
              </c15:ser>
            </c15:filteredBarSeries>
          </c:ext>
        </c:extLst>
      </c:barChart>
      <c:lineChart>
        <c:grouping val="standard"/>
        <c:varyColors val="0"/>
        <c:ser>
          <c:idx val="0"/>
          <c:order val="0"/>
          <c:tx>
            <c:strRef>
              <c:f>写字楼!$V$34</c:f>
              <c:strCache>
                <c:ptCount val="1"/>
                <c:pt idx="0">
                  <c:v>租金</c:v>
                </c:pt>
              </c:strCache>
            </c:strRef>
          </c:tx>
          <c:spPr>
            <a:ln w="28575" cap="rnd">
              <a:solidFill>
                <a:schemeClr val="accent1"/>
              </a:solidFill>
              <a:round/>
            </a:ln>
            <a:effectLst/>
          </c:spPr>
          <c:marker>
            <c:symbol val="none"/>
          </c:marker>
          <c:cat>
            <c:strRef>
              <c:f>写字楼!$U$35:$U$62</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写字楼!$V$35:$V$62</c:f>
              <c:numCache>
                <c:formatCode>General</c:formatCode>
                <c:ptCount val="28"/>
                <c:pt idx="0">
                  <c:v>359.7</c:v>
                </c:pt>
                <c:pt idx="1">
                  <c:v>358</c:v>
                </c:pt>
                <c:pt idx="2">
                  <c:v>360.8</c:v>
                </c:pt>
                <c:pt idx="3">
                  <c:v>362.1</c:v>
                </c:pt>
                <c:pt idx="4">
                  <c:v>361.8</c:v>
                </c:pt>
                <c:pt idx="5">
                  <c:v>365.1</c:v>
                </c:pt>
                <c:pt idx="6">
                  <c:v>364.8</c:v>
                </c:pt>
                <c:pt idx="7">
                  <c:v>367.9</c:v>
                </c:pt>
                <c:pt idx="8">
                  <c:v>368.3</c:v>
                </c:pt>
                <c:pt idx="9">
                  <c:v>374.7</c:v>
                </c:pt>
                <c:pt idx="10">
                  <c:v>385</c:v>
                </c:pt>
                <c:pt idx="11">
                  <c:v>384.6</c:v>
                </c:pt>
                <c:pt idx="12">
                  <c:v>383.9</c:v>
                </c:pt>
                <c:pt idx="13">
                  <c:v>382.2</c:v>
                </c:pt>
                <c:pt idx="14">
                  <c:v>377.9</c:v>
                </c:pt>
                <c:pt idx="15">
                  <c:v>373.7</c:v>
                </c:pt>
                <c:pt idx="16">
                  <c:v>370.2</c:v>
                </c:pt>
                <c:pt idx="17">
                  <c:v>359.5</c:v>
                </c:pt>
                <c:pt idx="18">
                  <c:v>351.6</c:v>
                </c:pt>
                <c:pt idx="19">
                  <c:v>343.2</c:v>
                </c:pt>
                <c:pt idx="20">
                  <c:v>339.5</c:v>
                </c:pt>
                <c:pt idx="21">
                  <c:v>333.7</c:v>
                </c:pt>
                <c:pt idx="22">
                  <c:v>336.9</c:v>
                </c:pt>
                <c:pt idx="23">
                  <c:v>339.3</c:v>
                </c:pt>
                <c:pt idx="24">
                  <c:v>336.8</c:v>
                </c:pt>
                <c:pt idx="25">
                  <c:v>335.1</c:v>
                </c:pt>
                <c:pt idx="26">
                  <c:v>331.2</c:v>
                </c:pt>
                <c:pt idx="27">
                  <c:v>323.7</c:v>
                </c:pt>
              </c:numCache>
            </c:numRef>
          </c:val>
          <c:smooth val="0"/>
          <c:extLst>
            <c:ext xmlns:c16="http://schemas.microsoft.com/office/drawing/2014/chart" uri="{C3380CC4-5D6E-409C-BE32-E72D297353CC}">
              <c16:uniqueId val="{00000003-094D-4A5E-A0A4-16D0197B2818}"/>
            </c:ext>
          </c:extLst>
        </c:ser>
        <c:dLbls>
          <c:showLegendKey val="0"/>
          <c:showVal val="0"/>
          <c:showCatName val="0"/>
          <c:showSerName val="0"/>
          <c:showPercent val="0"/>
          <c:showBubbleSize val="0"/>
        </c:dLbls>
        <c:marker val="1"/>
        <c:smooth val="0"/>
        <c:axId val="230841728"/>
        <c:axId val="230872192"/>
        <c:extLst/>
      </c:lineChart>
      <c:lineChart>
        <c:grouping val="standard"/>
        <c:varyColors val="0"/>
        <c:ser>
          <c:idx val="1"/>
          <c:order val="1"/>
          <c:tx>
            <c:strRef>
              <c:f>写字楼!$W$34</c:f>
              <c:strCache>
                <c:ptCount val="1"/>
                <c:pt idx="0">
                  <c:v>空置率</c:v>
                </c:pt>
              </c:strCache>
            </c:strRef>
          </c:tx>
          <c:spPr>
            <a:ln w="28575" cap="rnd">
              <a:solidFill>
                <a:schemeClr val="accent2"/>
              </a:solidFill>
              <a:round/>
            </a:ln>
            <a:effectLst/>
          </c:spPr>
          <c:marker>
            <c:symbol val="none"/>
          </c:marker>
          <c:cat>
            <c:strRef>
              <c:f>写字楼!$U$35:$U$62</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写字楼!$W$35:$W$62</c:f>
              <c:numCache>
                <c:formatCode>0.00%</c:formatCode>
                <c:ptCount val="28"/>
                <c:pt idx="0">
                  <c:v>4.7500000000000001E-2</c:v>
                </c:pt>
                <c:pt idx="1">
                  <c:v>5.8500000000000003E-2</c:v>
                </c:pt>
                <c:pt idx="2">
                  <c:v>5.3499999999999999E-2</c:v>
                </c:pt>
                <c:pt idx="3">
                  <c:v>6.0999999999999999E-2</c:v>
                </c:pt>
                <c:pt idx="4">
                  <c:v>6.3500000000000001E-2</c:v>
                </c:pt>
                <c:pt idx="5">
                  <c:v>6.8500000000000005E-2</c:v>
                </c:pt>
                <c:pt idx="6">
                  <c:v>5.8999999999999997E-2</c:v>
                </c:pt>
                <c:pt idx="7">
                  <c:v>7.6499999999999999E-2</c:v>
                </c:pt>
                <c:pt idx="8">
                  <c:v>7.5999999999999998E-2</c:v>
                </c:pt>
                <c:pt idx="9">
                  <c:v>6.4500000000000002E-2</c:v>
                </c:pt>
                <c:pt idx="10">
                  <c:v>7.1999999999999995E-2</c:v>
                </c:pt>
                <c:pt idx="11">
                  <c:v>7.5499999999999998E-2</c:v>
                </c:pt>
                <c:pt idx="12">
                  <c:v>7.4099999999999999E-2</c:v>
                </c:pt>
                <c:pt idx="13">
                  <c:v>8.7499999999999994E-2</c:v>
                </c:pt>
                <c:pt idx="14">
                  <c:v>9.6799999999999997E-2</c:v>
                </c:pt>
                <c:pt idx="15">
                  <c:v>0.13100000000000001</c:v>
                </c:pt>
                <c:pt idx="16">
                  <c:v>0.13500000000000001</c:v>
                </c:pt>
                <c:pt idx="17">
                  <c:v>0.14899999999999999</c:v>
                </c:pt>
                <c:pt idx="18">
                  <c:v>0.158</c:v>
                </c:pt>
                <c:pt idx="19">
                  <c:v>0.16400000000000001</c:v>
                </c:pt>
                <c:pt idx="20">
                  <c:v>0.16900000000000001</c:v>
                </c:pt>
                <c:pt idx="21">
                  <c:v>0.17399999999999999</c:v>
                </c:pt>
                <c:pt idx="22">
                  <c:v>0.16450000000000001</c:v>
                </c:pt>
                <c:pt idx="23">
                  <c:v>0.14799999999999999</c:v>
                </c:pt>
                <c:pt idx="24">
                  <c:v>0.14799999999999999</c:v>
                </c:pt>
                <c:pt idx="25">
                  <c:v>0.14849999999999999</c:v>
                </c:pt>
                <c:pt idx="26">
                  <c:v>0.152</c:v>
                </c:pt>
                <c:pt idx="27">
                  <c:v>0.1615</c:v>
                </c:pt>
              </c:numCache>
            </c:numRef>
          </c:val>
          <c:smooth val="0"/>
          <c:extLst>
            <c:ext xmlns:c16="http://schemas.microsoft.com/office/drawing/2014/chart" uri="{C3380CC4-5D6E-409C-BE32-E72D297353CC}">
              <c16:uniqueId val="{00000004-094D-4A5E-A0A4-16D0197B2818}"/>
            </c:ext>
          </c:extLst>
        </c:ser>
        <c:dLbls>
          <c:showLegendKey val="0"/>
          <c:showVal val="0"/>
          <c:showCatName val="0"/>
          <c:showSerName val="0"/>
          <c:showPercent val="0"/>
          <c:showBubbleSize val="0"/>
        </c:dLbls>
        <c:marker val="1"/>
        <c:smooth val="0"/>
        <c:axId val="230875520"/>
        <c:axId val="230873728"/>
        <c:extLst/>
      </c:lineChart>
      <c:catAx>
        <c:axId val="2308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72192"/>
        <c:crosses val="autoZero"/>
        <c:auto val="1"/>
        <c:lblAlgn val="ctr"/>
        <c:lblOffset val="100"/>
        <c:noMultiLvlLbl val="0"/>
      </c:catAx>
      <c:valAx>
        <c:axId val="230872192"/>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41728"/>
        <c:crosses val="autoZero"/>
        <c:crossBetween val="between"/>
      </c:valAx>
      <c:valAx>
        <c:axId val="23087372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875520"/>
        <c:crosses val="max"/>
        <c:crossBetween val="between"/>
      </c:valAx>
      <c:catAx>
        <c:axId val="230875520"/>
        <c:scaling>
          <c:orientation val="minMax"/>
        </c:scaling>
        <c:delete val="1"/>
        <c:axPos val="b"/>
        <c:numFmt formatCode="General" sourceLinked="1"/>
        <c:majorTickMark val="out"/>
        <c:minorTickMark val="none"/>
        <c:tickLblPos val="nextTo"/>
        <c:crossAx val="2308737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戴德中关村甲级及以上办公楼市场分析</a:t>
            </a:r>
          </a:p>
        </c:rich>
      </c:tx>
      <c:layout>
        <c:manualLayout>
          <c:xMode val="edge"/>
          <c:yMode val="edge"/>
          <c:x val="0.26353151200229524"/>
          <c:y val="4.6644457689282347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230705792"/>
        <c:axId val="230711680"/>
        <c:extLst>
          <c:ext xmlns:c15="http://schemas.microsoft.com/office/drawing/2012/chart" uri="{02D57815-91ED-43cb-92C2-25804820EDAC}">
            <c15:filteredBarSeries>
              <c15:ser>
                <c:idx val="4"/>
                <c:order val="4"/>
                <c:tx>
                  <c:strRef>
                    <c:extLst>
                      <c:ext uri="{02D57815-91ED-43cb-92C2-25804820EDAC}">
                        <c15:formulaRef>
                          <c15:sqref>写字楼!$G$3</c15:sqref>
                        </c15:formulaRef>
                      </c:ext>
                    </c:extLst>
                    <c:strCache>
                      <c:ptCount val="1"/>
                      <c:pt idx="0">
                        <c:v>库存（万㎡）</c:v>
                      </c:pt>
                    </c:strCache>
                  </c:strRef>
                </c:tx>
                <c:invertIfNegative val="0"/>
                <c:cat>
                  <c:strRef>
                    <c:extLst>
                      <c:ex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写字楼!$G$35:$G$62</c15:sqref>
                        </c15:fullRef>
                        <c15:formulaRef>
                          <c15:sqref>写字楼!$G$36:$G$62</c15:sqref>
                        </c15:formulaRef>
                      </c:ext>
                    </c:extLst>
                    <c:numCache>
                      <c:formatCode>General</c:formatCode>
                      <c:ptCount val="27"/>
                      <c:pt idx="0">
                        <c:v>92.4</c:v>
                      </c:pt>
                      <c:pt idx="1">
                        <c:v>99.3</c:v>
                      </c:pt>
                      <c:pt idx="2">
                        <c:v>99.3</c:v>
                      </c:pt>
                      <c:pt idx="3">
                        <c:v>104.7</c:v>
                      </c:pt>
                      <c:pt idx="4">
                        <c:v>104.7</c:v>
                      </c:pt>
                      <c:pt idx="5">
                        <c:v>104.7</c:v>
                      </c:pt>
                      <c:pt idx="6">
                        <c:v>104.7</c:v>
                      </c:pt>
                      <c:pt idx="7">
                        <c:v>104.7</c:v>
                      </c:pt>
                      <c:pt idx="8">
                        <c:v>104.7</c:v>
                      </c:pt>
                      <c:pt idx="9">
                        <c:v>104.7</c:v>
                      </c:pt>
                      <c:pt idx="10">
                        <c:v>104.7</c:v>
                      </c:pt>
                      <c:pt idx="11">
                        <c:v>104.7</c:v>
                      </c:pt>
                      <c:pt idx="12">
                        <c:v>104.7</c:v>
                      </c:pt>
                      <c:pt idx="13">
                        <c:v>104.7</c:v>
                      </c:pt>
                      <c:pt idx="14">
                        <c:v>104.7</c:v>
                      </c:pt>
                      <c:pt idx="15">
                        <c:v>104.7</c:v>
                      </c:pt>
                      <c:pt idx="16">
                        <c:v>104.7</c:v>
                      </c:pt>
                      <c:pt idx="17">
                        <c:v>104.7</c:v>
                      </c:pt>
                      <c:pt idx="18">
                        <c:v>104.7</c:v>
                      </c:pt>
                      <c:pt idx="19">
                        <c:v>104.7</c:v>
                      </c:pt>
                      <c:pt idx="20">
                        <c:v>104.7</c:v>
                      </c:pt>
                      <c:pt idx="21">
                        <c:v>104.7</c:v>
                      </c:pt>
                      <c:pt idx="22">
                        <c:v>110.4</c:v>
                      </c:pt>
                      <c:pt idx="23">
                        <c:v>110.4</c:v>
                      </c:pt>
                      <c:pt idx="24">
                        <c:v>110.4</c:v>
                      </c:pt>
                      <c:pt idx="25">
                        <c:v>118.4</c:v>
                      </c:pt>
                      <c:pt idx="26">
                        <c:v>118.4</c:v>
                      </c:pt>
                    </c:numCache>
                  </c:numRef>
                </c:val>
                <c:extLst>
                  <c:ext xmlns:c16="http://schemas.microsoft.com/office/drawing/2014/chart" uri="{C3380CC4-5D6E-409C-BE32-E72D297353CC}">
                    <c16:uniqueId val="{00000000-46AD-4F6D-BAD6-3D69C1EE6794}"/>
                  </c:ext>
                </c:extLst>
              </c15:ser>
            </c15:filteredBarSeries>
          </c:ext>
        </c:extLst>
      </c:barChart>
      <c:lineChart>
        <c:grouping val="standard"/>
        <c:varyColors val="0"/>
        <c:ser>
          <c:idx val="0"/>
          <c:order val="0"/>
          <c:tx>
            <c:strRef>
              <c:f>写字楼!$C$3</c:f>
              <c:strCache>
                <c:ptCount val="1"/>
                <c:pt idx="0">
                  <c:v>平均有效租金</c:v>
                </c:pt>
              </c:strCache>
            </c:strRef>
          </c:tx>
          <c:spPr>
            <a:effectLst/>
          </c:spPr>
          <c:marker>
            <c:symbol val="none"/>
          </c:marker>
          <c:cat>
            <c:strRef>
              <c:extLst>
                <c:ext xmlns:c15="http://schemas.microsoft.com/office/drawing/2012/chart" uri="{02D57815-91ED-43cb-92C2-25804820EDAC}">
                  <c15:fullRef>
                    <c15:sqref>写字楼!$B$35:$B$62</c15:sqref>
                  </c15:fullRef>
                </c:ext>
              </c:extLst>
              <c:f>写字楼!$B$36:$B$62</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写字楼!$C$35:$C$62</c15:sqref>
                  </c15:fullRef>
                </c:ext>
              </c:extLst>
              <c:f>写字楼!$C$36:$C$62</c:f>
              <c:numCache>
                <c:formatCode>General</c:formatCode>
                <c:ptCount val="27"/>
                <c:pt idx="0">
                  <c:v>311.2</c:v>
                </c:pt>
                <c:pt idx="1">
                  <c:v>330.2</c:v>
                </c:pt>
                <c:pt idx="2">
                  <c:v>358.9</c:v>
                </c:pt>
                <c:pt idx="3">
                  <c:v>351.6</c:v>
                </c:pt>
                <c:pt idx="4">
                  <c:v>354.1</c:v>
                </c:pt>
                <c:pt idx="5">
                  <c:v>359.2</c:v>
                </c:pt>
                <c:pt idx="6">
                  <c:v>380.3</c:v>
                </c:pt>
                <c:pt idx="7">
                  <c:v>387.9</c:v>
                </c:pt>
                <c:pt idx="8">
                  <c:v>387.9</c:v>
                </c:pt>
                <c:pt idx="9">
                  <c:v>402.3</c:v>
                </c:pt>
                <c:pt idx="10">
                  <c:v>401.82</c:v>
                </c:pt>
                <c:pt idx="11">
                  <c:v>400.67</c:v>
                </c:pt>
                <c:pt idx="12">
                  <c:v>403</c:v>
                </c:pt>
                <c:pt idx="13">
                  <c:v>403.09</c:v>
                </c:pt>
                <c:pt idx="14">
                  <c:v>401.97</c:v>
                </c:pt>
                <c:pt idx="15">
                  <c:v>401.79</c:v>
                </c:pt>
                <c:pt idx="16">
                  <c:v>395.69</c:v>
                </c:pt>
                <c:pt idx="17">
                  <c:v>386.09</c:v>
                </c:pt>
                <c:pt idx="18">
                  <c:v>384.99</c:v>
                </c:pt>
                <c:pt idx="19">
                  <c:v>383.95</c:v>
                </c:pt>
                <c:pt idx="20">
                  <c:v>382.34</c:v>
                </c:pt>
                <c:pt idx="21">
                  <c:v>384.91</c:v>
                </c:pt>
                <c:pt idx="22">
                  <c:v>391.71</c:v>
                </c:pt>
                <c:pt idx="23">
                  <c:v>384.64</c:v>
                </c:pt>
                <c:pt idx="24">
                  <c:v>383.67</c:v>
                </c:pt>
                <c:pt idx="25">
                  <c:v>381.22</c:v>
                </c:pt>
                <c:pt idx="26">
                  <c:v>362.87</c:v>
                </c:pt>
              </c:numCache>
            </c:numRef>
          </c:val>
          <c:smooth val="0"/>
          <c:extLst>
            <c:ext xmlns:c16="http://schemas.microsoft.com/office/drawing/2014/chart" uri="{C3380CC4-5D6E-409C-BE32-E72D297353CC}">
              <c16:uniqueId val="{00000001-46AD-4F6D-BAD6-3D69C1EE6794}"/>
            </c:ext>
          </c:extLst>
        </c:ser>
        <c:dLbls>
          <c:showLegendKey val="0"/>
          <c:showVal val="0"/>
          <c:showCatName val="0"/>
          <c:showSerName val="0"/>
          <c:showPercent val="0"/>
          <c:showBubbleSize val="0"/>
        </c:dLbls>
        <c:marker val="1"/>
        <c:smooth val="0"/>
        <c:axId val="230705792"/>
        <c:axId val="230711680"/>
      </c:lineChart>
      <c:lineChart>
        <c:grouping val="standard"/>
        <c:varyColors val="0"/>
        <c:ser>
          <c:idx val="1"/>
          <c:order val="1"/>
          <c:tx>
            <c:strRef>
              <c:f>写字楼!$D$3</c:f>
              <c:strCache>
                <c:ptCount val="1"/>
                <c:pt idx="0">
                  <c:v>空置率</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写字楼!$B$35:$B$62</c15:sqref>
                  </c15:fullRef>
                </c:ext>
              </c:extLst>
              <c:f>写字楼!$B$36:$B$62</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写字楼!$D$35:$D$62</c15:sqref>
                  </c15:fullRef>
                </c:ext>
              </c:extLst>
              <c:f>写字楼!$D$36:$D$62</c:f>
              <c:numCache>
                <c:formatCode>0.00%</c:formatCode>
                <c:ptCount val="27"/>
                <c:pt idx="0">
                  <c:v>1.6E-2</c:v>
                </c:pt>
                <c:pt idx="1">
                  <c:v>2.5000000000000001E-2</c:v>
                </c:pt>
                <c:pt idx="2">
                  <c:v>2.5999999999999999E-2</c:v>
                </c:pt>
                <c:pt idx="3">
                  <c:v>2.5999999999999999E-2</c:v>
                </c:pt>
                <c:pt idx="4">
                  <c:v>1.9E-2</c:v>
                </c:pt>
                <c:pt idx="5">
                  <c:v>1.7000000000000001E-2</c:v>
                </c:pt>
                <c:pt idx="6">
                  <c:v>1.2E-2</c:v>
                </c:pt>
                <c:pt idx="7">
                  <c:v>4.0000000000000001E-3</c:v>
                </c:pt>
                <c:pt idx="8">
                  <c:v>1.4E-2</c:v>
                </c:pt>
                <c:pt idx="9">
                  <c:v>7.0000000000000001E-3</c:v>
                </c:pt>
                <c:pt idx="10">
                  <c:v>3.0000000000000001E-3</c:v>
                </c:pt>
                <c:pt idx="11">
                  <c:v>4.1999999999999997E-3</c:v>
                </c:pt>
                <c:pt idx="12">
                  <c:v>1.2E-2</c:v>
                </c:pt>
                <c:pt idx="13">
                  <c:v>1.7000000000000001E-2</c:v>
                </c:pt>
                <c:pt idx="14">
                  <c:v>2.5000000000000001E-2</c:v>
                </c:pt>
                <c:pt idx="15">
                  <c:v>2.1000000000000001E-2</c:v>
                </c:pt>
                <c:pt idx="16">
                  <c:v>2.5000000000000001E-2</c:v>
                </c:pt>
                <c:pt idx="17">
                  <c:v>3.9E-2</c:v>
                </c:pt>
                <c:pt idx="18">
                  <c:v>3.9E-2</c:v>
                </c:pt>
                <c:pt idx="19">
                  <c:v>3.4000000000000002E-2</c:v>
                </c:pt>
                <c:pt idx="20">
                  <c:v>2.1999999999999999E-2</c:v>
                </c:pt>
                <c:pt idx="21">
                  <c:v>1.47E-2</c:v>
                </c:pt>
                <c:pt idx="22">
                  <c:v>5.5899999999999998E-2</c:v>
                </c:pt>
                <c:pt idx="23">
                  <c:v>5.6000000000000001E-2</c:v>
                </c:pt>
                <c:pt idx="24">
                  <c:v>6.2E-2</c:v>
                </c:pt>
                <c:pt idx="25">
                  <c:v>0.111</c:v>
                </c:pt>
                <c:pt idx="26">
                  <c:v>0.14599999999999999</c:v>
                </c:pt>
              </c:numCache>
            </c:numRef>
          </c:val>
          <c:smooth val="0"/>
          <c:extLst>
            <c:ext xmlns:c16="http://schemas.microsoft.com/office/drawing/2014/chart" uri="{C3380CC4-5D6E-409C-BE32-E72D297353CC}">
              <c16:uniqueId val="{00000002-46AD-4F6D-BAD6-3D69C1EE6794}"/>
            </c:ext>
          </c:extLst>
        </c:ser>
        <c:dLbls>
          <c:showLegendKey val="0"/>
          <c:showVal val="0"/>
          <c:showCatName val="0"/>
          <c:showSerName val="0"/>
          <c:showPercent val="0"/>
          <c:showBubbleSize val="0"/>
        </c:dLbls>
        <c:marker val="1"/>
        <c:smooth val="0"/>
        <c:axId val="230714752"/>
        <c:axId val="230713216"/>
        <c:extLst>
          <c:ext xmlns:c15="http://schemas.microsoft.com/office/drawing/2012/chart" uri="{02D57815-91ED-43cb-92C2-25804820EDAC}">
            <c15:filteredLineSeries>
              <c15:ser>
                <c:idx val="2"/>
                <c:order val="2"/>
                <c:tx>
                  <c:strRef>
                    <c:extLst>
                      <c:ext uri="{02D57815-91ED-43cb-92C2-25804820EDAC}">
                        <c15:formulaRef>
                          <c15:sqref>写字楼!$E$3</c15:sqref>
                        </c15:formulaRef>
                      </c:ext>
                    </c:extLst>
                    <c:strCache>
                      <c:ptCount val="1"/>
                      <c:pt idx="0">
                        <c:v>租金增长率（环比）</c:v>
                      </c:pt>
                    </c:strCache>
                  </c:strRef>
                </c:tx>
                <c:marker>
                  <c:symbol val="none"/>
                </c:marker>
                <c:cat>
                  <c:strRef>
                    <c:extLst>
                      <c:ex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写字楼!$E$35:$E$62</c15:sqref>
                        </c15:fullRef>
                        <c15:formulaRef>
                          <c15:sqref>写字楼!$E$36:$E$62</c15:sqref>
                        </c15:formulaRef>
                      </c:ext>
                    </c:extLst>
                    <c:numCache>
                      <c:formatCode>0.00%</c:formatCode>
                      <c:ptCount val="27"/>
                      <c:pt idx="0">
                        <c:v>0</c:v>
                      </c:pt>
                      <c:pt idx="1">
                        <c:v>6.1053984575835475E-2</c:v>
                      </c:pt>
                      <c:pt idx="2">
                        <c:v>8.6917019987886104E-2</c:v>
                      </c:pt>
                      <c:pt idx="3">
                        <c:v>-2.0339927556422277E-2</c:v>
                      </c:pt>
                      <c:pt idx="4">
                        <c:v>7.1103526734926049E-3</c:v>
                      </c:pt>
                      <c:pt idx="5">
                        <c:v>1.4402711098559631E-2</c:v>
                      </c:pt>
                      <c:pt idx="6">
                        <c:v>5.8741648106904298E-2</c:v>
                      </c:pt>
                      <c:pt idx="7">
                        <c:v>1.9984222981856339E-2</c:v>
                      </c:pt>
                      <c:pt idx="8">
                        <c:v>0</c:v>
                      </c:pt>
                      <c:pt idx="9">
                        <c:v>3.7122969837587096E-2</c:v>
                      </c:pt>
                      <c:pt idx="10">
                        <c:v>-1.1931394481730505E-3</c:v>
                      </c:pt>
                      <c:pt idx="11">
                        <c:v>-2.8619780000994906E-3</c:v>
                      </c:pt>
                      <c:pt idx="12">
                        <c:v>5.8152594404372272E-3</c:v>
                      </c:pt>
                      <c:pt idx="13">
                        <c:v>2.2332506203467738E-4</c:v>
                      </c:pt>
                      <c:pt idx="14">
                        <c:v>-2.7785358108609686E-3</c:v>
                      </c:pt>
                      <c:pt idx="15">
                        <c:v>-4.4779461153819145E-4</c:v>
                      </c:pt>
                      <c:pt idx="16">
                        <c:v>-1.5182060280245956E-2</c:v>
                      </c:pt>
                      <c:pt idx="17">
                        <c:v>-2.4261416765649937E-2</c:v>
                      </c:pt>
                      <c:pt idx="18">
                        <c:v>-2.8490766401615322E-3</c:v>
                      </c:pt>
                      <c:pt idx="19">
                        <c:v>-2.7013688667238641E-3</c:v>
                      </c:pt>
                      <c:pt idx="20">
                        <c:v>-4.1932543299909196E-3</c:v>
                      </c:pt>
                      <c:pt idx="21">
                        <c:v>6.721765967463645E-3</c:v>
                      </c:pt>
                      <c:pt idx="22">
                        <c:v>1.7666467485905678E-2</c:v>
                      </c:pt>
                      <c:pt idx="23">
                        <c:v>-1.8049066911745917E-2</c:v>
                      </c:pt>
                      <c:pt idx="24">
                        <c:v>-2.5218386023293741E-3</c:v>
                      </c:pt>
                      <c:pt idx="25">
                        <c:v>-6.3856960408684247E-3</c:v>
                      </c:pt>
                      <c:pt idx="26">
                        <c:v>-4.8134935208016427E-2</c:v>
                      </c:pt>
                    </c:numCache>
                  </c:numRef>
                </c:val>
                <c:smooth val="0"/>
                <c:extLst>
                  <c:ext xmlns:c16="http://schemas.microsoft.com/office/drawing/2014/chart" uri="{C3380CC4-5D6E-409C-BE32-E72D297353CC}">
                    <c16:uniqueId val="{00000003-46AD-4F6D-BAD6-3D69C1EE679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写字楼!$F$3</c15:sqref>
                        </c15:formulaRef>
                      </c:ext>
                    </c:extLst>
                    <c:strCache>
                      <c:ptCount val="1"/>
                      <c:pt idx="0">
                        <c:v>新增供应</c:v>
                      </c:pt>
                    </c:strCache>
                  </c:strRef>
                </c:tx>
                <c:marker>
                  <c:symbol val="none"/>
                </c:marker>
                <c:cat>
                  <c:strRef>
                    <c:extLst>
                      <c:ext xmlns:c15="http://schemas.microsoft.com/office/drawing/2012/char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写字楼!$F$35:$F$62</c15:sqref>
                        </c15:fullRef>
                        <c15:formulaRef>
                          <c15:sqref>写字楼!$F$36:$F$62</c15:sqref>
                        </c15:formulaRef>
                      </c:ext>
                    </c:extLst>
                    <c:numCache>
                      <c:formatCode>General</c:formatCode>
                      <c:ptCount val="27"/>
                      <c:pt idx="1">
                        <c:v>6.8999999999999915</c:v>
                      </c:pt>
                      <c:pt idx="2">
                        <c:v>0</c:v>
                      </c:pt>
                      <c:pt idx="3">
                        <c:v>5.4000000000000057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5.7000000000000028</c:v>
                      </c:pt>
                      <c:pt idx="23">
                        <c:v>0</c:v>
                      </c:pt>
                      <c:pt idx="24">
                        <c:v>0</c:v>
                      </c:pt>
                      <c:pt idx="25">
                        <c:v>8</c:v>
                      </c:pt>
                      <c:pt idx="26">
                        <c:v>0</c:v>
                      </c:pt>
                    </c:numCache>
                  </c:numRef>
                </c:val>
                <c:smooth val="0"/>
                <c:extLst xmlns:c15="http://schemas.microsoft.com/office/drawing/2012/chart">
                  <c:ext xmlns:c16="http://schemas.microsoft.com/office/drawing/2014/chart" uri="{C3380CC4-5D6E-409C-BE32-E72D297353CC}">
                    <c16:uniqueId val="{00000004-46AD-4F6D-BAD6-3D69C1EE6794}"/>
                  </c:ext>
                </c:extLst>
              </c15:ser>
            </c15:filteredLineSeries>
          </c:ext>
        </c:extLst>
      </c:lineChart>
      <c:catAx>
        <c:axId val="23070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11680"/>
        <c:crosses val="autoZero"/>
        <c:auto val="1"/>
        <c:lblAlgn val="ctr"/>
        <c:lblOffset val="100"/>
        <c:noMultiLvlLbl val="0"/>
      </c:catAx>
      <c:valAx>
        <c:axId val="23071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05792"/>
        <c:crosses val="autoZero"/>
        <c:crossBetween val="between"/>
      </c:valAx>
      <c:valAx>
        <c:axId val="230713216"/>
        <c:scaling>
          <c:orientation val="minMax"/>
          <c:max val="0.2"/>
        </c:scaling>
        <c:delete val="0"/>
        <c:axPos val="r"/>
        <c:minorGridlines>
          <c:spPr>
            <a:ln>
              <a:noFill/>
            </a:ln>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0714752"/>
        <c:crosses val="max"/>
        <c:crossBetween val="between"/>
      </c:valAx>
      <c:catAx>
        <c:axId val="230714752"/>
        <c:scaling>
          <c:orientation val="minMax"/>
        </c:scaling>
        <c:delete val="1"/>
        <c:axPos val="b"/>
        <c:numFmt formatCode="General" sourceLinked="1"/>
        <c:majorTickMark val="out"/>
        <c:minorTickMark val="none"/>
        <c:tickLblPos val="nextTo"/>
        <c:crossAx val="230713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4246281714785654E-2"/>
          <c:y val="0.15724555263925344"/>
          <c:w val="0.87753018372703417"/>
          <c:h val="0.71220691163604555"/>
        </c:manualLayout>
      </c:layout>
      <c:lineChart>
        <c:grouping val="standard"/>
        <c:varyColors val="0"/>
        <c:ser>
          <c:idx val="0"/>
          <c:order val="0"/>
          <c:spPr>
            <a:ln w="28575" cap="rnd">
              <a:solidFill>
                <a:schemeClr val="accent1"/>
              </a:solidFill>
              <a:round/>
            </a:ln>
            <a:effectLst/>
          </c:spPr>
          <c:marker>
            <c:symbol val="none"/>
          </c:marker>
          <c:cat>
            <c:numRef>
              <c:f>统计表!$B$61:$B$71</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统计表!$C$61:$C$71</c:f>
              <c:numCache>
                <c:formatCode>General</c:formatCode>
                <c:ptCount val="11"/>
                <c:pt idx="0">
                  <c:v>538</c:v>
                </c:pt>
                <c:pt idx="1">
                  <c:v>672</c:v>
                </c:pt>
                <c:pt idx="2">
                  <c:v>729</c:v>
                </c:pt>
                <c:pt idx="3">
                  <c:v>795</c:v>
                </c:pt>
                <c:pt idx="4">
                  <c:v>842</c:v>
                </c:pt>
                <c:pt idx="5">
                  <c:v>860</c:v>
                </c:pt>
                <c:pt idx="6">
                  <c:v>913.4</c:v>
                </c:pt>
                <c:pt idx="7">
                  <c:v>941.4</c:v>
                </c:pt>
                <c:pt idx="8">
                  <c:v>943.5</c:v>
                </c:pt>
                <c:pt idx="9">
                  <c:v>948.2</c:v>
                </c:pt>
                <c:pt idx="10">
                  <c:v>866.2</c:v>
                </c:pt>
              </c:numCache>
            </c:numRef>
          </c:val>
          <c:smooth val="0"/>
          <c:extLst>
            <c:ext xmlns:c16="http://schemas.microsoft.com/office/drawing/2014/chart" uri="{C3380CC4-5D6E-409C-BE32-E72D297353CC}">
              <c16:uniqueId val="{00000000-373F-43A8-BD97-3E6A52EBAD55}"/>
            </c:ext>
          </c:extLst>
        </c:ser>
        <c:dLbls>
          <c:showLegendKey val="0"/>
          <c:showVal val="0"/>
          <c:showCatName val="0"/>
          <c:showSerName val="0"/>
          <c:showPercent val="0"/>
          <c:showBubbleSize val="0"/>
        </c:dLbls>
        <c:smooth val="0"/>
        <c:axId val="727142872"/>
        <c:axId val="727143200"/>
      </c:lineChart>
      <c:catAx>
        <c:axId val="72714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27143200"/>
        <c:crosses val="autoZero"/>
        <c:auto val="1"/>
        <c:lblAlgn val="ctr"/>
        <c:lblOffset val="100"/>
        <c:noMultiLvlLbl val="0"/>
      </c:catAx>
      <c:valAx>
        <c:axId val="72714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27142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296332</xdr:colOff>
      <xdr:row>22</xdr:row>
      <xdr:rowOff>95251</xdr:rowOff>
    </xdr:from>
    <xdr:to>
      <xdr:col>18</xdr:col>
      <xdr:colOff>399237</xdr:colOff>
      <xdr:row>28</xdr:row>
      <xdr:rowOff>117299</xdr:rowOff>
    </xdr:to>
    <xdr:pic>
      <xdr:nvPicPr>
        <xdr:cNvPr id="2" name="图片 1">
          <a:extLst>
            <a:ext uri="{FF2B5EF4-FFF2-40B4-BE49-F238E27FC236}">
              <a16:creationId xmlns:a16="http://schemas.microsoft.com/office/drawing/2014/main" id="{4CB093B8-1B59-4947-9FFD-7E1D49466F8A}"/>
            </a:ext>
          </a:extLst>
        </xdr:cNvPr>
        <xdr:cNvPicPr>
          <a:picLocks noChangeAspect="1"/>
        </xdr:cNvPicPr>
      </xdr:nvPicPr>
      <xdr:blipFill>
        <a:blip xmlns:r="http://schemas.openxmlformats.org/officeDocument/2006/relationships" r:embed="rId1"/>
        <a:stretch>
          <a:fillRect/>
        </a:stretch>
      </xdr:blipFill>
      <xdr:spPr>
        <a:xfrm>
          <a:off x="8286749" y="5450418"/>
          <a:ext cx="6495238" cy="1419048"/>
        </a:xfrm>
        <a:prstGeom prst="rect">
          <a:avLst/>
        </a:prstGeom>
      </xdr:spPr>
    </xdr:pic>
    <xdr:clientData/>
  </xdr:twoCellAnchor>
  <xdr:twoCellAnchor editAs="oneCell">
    <xdr:from>
      <xdr:col>10</xdr:col>
      <xdr:colOff>211666</xdr:colOff>
      <xdr:row>45</xdr:row>
      <xdr:rowOff>10584</xdr:rowOff>
    </xdr:from>
    <xdr:to>
      <xdr:col>18</xdr:col>
      <xdr:colOff>266952</xdr:colOff>
      <xdr:row>51</xdr:row>
      <xdr:rowOff>4108</xdr:rowOff>
    </xdr:to>
    <xdr:pic>
      <xdr:nvPicPr>
        <xdr:cNvPr id="3" name="图片 2">
          <a:extLst>
            <a:ext uri="{FF2B5EF4-FFF2-40B4-BE49-F238E27FC236}">
              <a16:creationId xmlns:a16="http://schemas.microsoft.com/office/drawing/2014/main" id="{74A15BB2-901E-4D15-B318-0C10527E6CC6}"/>
            </a:ext>
          </a:extLst>
        </xdr:cNvPr>
        <xdr:cNvPicPr>
          <a:picLocks noChangeAspect="1"/>
        </xdr:cNvPicPr>
      </xdr:nvPicPr>
      <xdr:blipFill>
        <a:blip xmlns:r="http://schemas.openxmlformats.org/officeDocument/2006/relationships" r:embed="rId2"/>
        <a:stretch>
          <a:fillRect/>
        </a:stretch>
      </xdr:blipFill>
      <xdr:spPr>
        <a:xfrm>
          <a:off x="8202083" y="10752667"/>
          <a:ext cx="6447619" cy="1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21</xdr:row>
      <xdr:rowOff>190500</xdr:rowOff>
    </xdr:from>
    <xdr:to>
      <xdr:col>9</xdr:col>
      <xdr:colOff>532512</xdr:colOff>
      <xdr:row>39</xdr:row>
      <xdr:rowOff>151894</xdr:rowOff>
    </xdr:to>
    <xdr:pic>
      <xdr:nvPicPr>
        <xdr:cNvPr id="2" name="图片 1">
          <a:extLst>
            <a:ext uri="{FF2B5EF4-FFF2-40B4-BE49-F238E27FC236}">
              <a16:creationId xmlns:a16="http://schemas.microsoft.com/office/drawing/2014/main" id="{E27EEE30-B5DE-4DEB-9AE6-A4BE5FA79E58}"/>
            </a:ext>
          </a:extLst>
        </xdr:cNvPr>
        <xdr:cNvPicPr>
          <a:picLocks noChangeAspect="1"/>
        </xdr:cNvPicPr>
      </xdr:nvPicPr>
      <xdr:blipFill>
        <a:blip xmlns:r="http://schemas.openxmlformats.org/officeDocument/2006/relationships" r:embed="rId1"/>
        <a:stretch>
          <a:fillRect/>
        </a:stretch>
      </xdr:blipFill>
      <xdr:spPr>
        <a:xfrm>
          <a:off x="352425" y="5210175"/>
          <a:ext cx="7104762" cy="40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1133475</xdr:colOff>
      <xdr:row>23</xdr:row>
      <xdr:rowOff>85725</xdr:rowOff>
    </xdr:from>
    <xdr:to>
      <xdr:col>14</xdr:col>
      <xdr:colOff>560928</xdr:colOff>
      <xdr:row>55</xdr:row>
      <xdr:rowOff>94519</xdr:rowOff>
    </xdr:to>
    <xdr:pic>
      <xdr:nvPicPr>
        <xdr:cNvPr id="2" name="图片 1">
          <a:extLst>
            <a:ext uri="{FF2B5EF4-FFF2-40B4-BE49-F238E27FC236}">
              <a16:creationId xmlns:a16="http://schemas.microsoft.com/office/drawing/2014/main" id="{2DFF827D-23F6-4717-8EC4-E2746B653B86}"/>
            </a:ext>
          </a:extLst>
        </xdr:cNvPr>
        <xdr:cNvPicPr>
          <a:picLocks noChangeAspect="1"/>
        </xdr:cNvPicPr>
      </xdr:nvPicPr>
      <xdr:blipFill>
        <a:blip xmlns:r="http://schemas.openxmlformats.org/officeDocument/2006/relationships" r:embed="rId1"/>
        <a:stretch>
          <a:fillRect/>
        </a:stretch>
      </xdr:blipFill>
      <xdr:spPr>
        <a:xfrm>
          <a:off x="3219450" y="4972050"/>
          <a:ext cx="8371428" cy="5847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581025</xdr:colOff>
      <xdr:row>10</xdr:row>
      <xdr:rowOff>200025</xdr:rowOff>
    </xdr:from>
    <xdr:to>
      <xdr:col>11</xdr:col>
      <xdr:colOff>294442</xdr:colOff>
      <xdr:row>29</xdr:row>
      <xdr:rowOff>75432</xdr:rowOff>
    </xdr:to>
    <xdr:pic>
      <xdr:nvPicPr>
        <xdr:cNvPr id="2" name="图片 1">
          <a:extLst>
            <a:ext uri="{FF2B5EF4-FFF2-40B4-BE49-F238E27FC236}">
              <a16:creationId xmlns:a16="http://schemas.microsoft.com/office/drawing/2014/main" id="{8AA4FD98-4504-4B44-8CB3-EB2B5B7109AB}"/>
            </a:ext>
          </a:extLst>
        </xdr:cNvPr>
        <xdr:cNvPicPr>
          <a:picLocks noChangeAspect="1"/>
        </xdr:cNvPicPr>
      </xdr:nvPicPr>
      <xdr:blipFill>
        <a:blip xmlns:r="http://schemas.openxmlformats.org/officeDocument/2006/relationships" r:embed="rId1"/>
        <a:stretch>
          <a:fillRect/>
        </a:stretch>
      </xdr:blipFill>
      <xdr:spPr>
        <a:xfrm>
          <a:off x="1790700" y="7019925"/>
          <a:ext cx="6666667" cy="61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332476</xdr:colOff>
      <xdr:row>28</xdr:row>
      <xdr:rowOff>104162</xdr:rowOff>
    </xdr:to>
    <xdr:pic>
      <xdr:nvPicPr>
        <xdr:cNvPr id="2" name="图片 1">
          <a:extLst>
            <a:ext uri="{FF2B5EF4-FFF2-40B4-BE49-F238E27FC236}">
              <a16:creationId xmlns:a16="http://schemas.microsoft.com/office/drawing/2014/main" id="{09BDD253-A762-4CFE-8E5B-71D68B8C772F}"/>
            </a:ext>
          </a:extLst>
        </xdr:cNvPr>
        <xdr:cNvPicPr>
          <a:picLocks noChangeAspect="1"/>
        </xdr:cNvPicPr>
      </xdr:nvPicPr>
      <xdr:blipFill>
        <a:blip xmlns:r="http://schemas.openxmlformats.org/officeDocument/2006/relationships" r:embed="rId1"/>
        <a:stretch>
          <a:fillRect/>
        </a:stretch>
      </xdr:blipFill>
      <xdr:spPr>
        <a:xfrm>
          <a:off x="0" y="0"/>
          <a:ext cx="7190476" cy="4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26</xdr:col>
      <xdr:colOff>200024</xdr:colOff>
      <xdr:row>6</xdr:row>
      <xdr:rowOff>76200</xdr:rowOff>
    </xdr:from>
    <xdr:to>
      <xdr:col>32</xdr:col>
      <xdr:colOff>990599</xdr:colOff>
      <xdr:row>24</xdr:row>
      <xdr:rowOff>95249</xdr:rowOff>
    </xdr:to>
    <xdr:graphicFrame macro="">
      <xdr:nvGraphicFramePr>
        <xdr:cNvPr id="4" name="图表 3">
          <a:extLst>
            <a:ext uri="{FF2B5EF4-FFF2-40B4-BE49-F238E27FC236}">
              <a16:creationId xmlns:a16="http://schemas.microsoft.com/office/drawing/2014/main" id="{8E8BDAE5-5D4E-4DA3-92FB-71DA120154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7</xdr:row>
      <xdr:rowOff>38099</xdr:rowOff>
    </xdr:from>
    <xdr:to>
      <xdr:col>9</xdr:col>
      <xdr:colOff>1476375</xdr:colOff>
      <xdr:row>22</xdr:row>
      <xdr:rowOff>142444</xdr:rowOff>
    </xdr:to>
    <xdr:graphicFrame macro="">
      <xdr:nvGraphicFramePr>
        <xdr:cNvPr id="7" name="图表 6">
          <a:extLst>
            <a:ext uri="{FF2B5EF4-FFF2-40B4-BE49-F238E27FC236}">
              <a16:creationId xmlns:a16="http://schemas.microsoft.com/office/drawing/2014/main" id="{4357B667-0029-4A82-9012-C19787EDE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1352550</xdr:colOff>
      <xdr:row>92</xdr:row>
      <xdr:rowOff>76200</xdr:rowOff>
    </xdr:from>
    <xdr:to>
      <xdr:col>18</xdr:col>
      <xdr:colOff>57150</xdr:colOff>
      <xdr:row>106</xdr:row>
      <xdr:rowOff>95250</xdr:rowOff>
    </xdr:to>
    <xdr:graphicFrame macro="">
      <xdr:nvGraphicFramePr>
        <xdr:cNvPr id="8" name="图表 7">
          <a:extLst>
            <a:ext uri="{FF2B5EF4-FFF2-40B4-BE49-F238E27FC236}">
              <a16:creationId xmlns:a16="http://schemas.microsoft.com/office/drawing/2014/main" id="{A0E6CA1D-1770-4FD3-AF2E-2AB909EC3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62</xdr:row>
      <xdr:rowOff>133350</xdr:rowOff>
    </xdr:from>
    <xdr:to>
      <xdr:col>27</xdr:col>
      <xdr:colOff>419100</xdr:colOff>
      <xdr:row>86</xdr:row>
      <xdr:rowOff>133350</xdr:rowOff>
    </xdr:to>
    <xdr:graphicFrame macro="">
      <xdr:nvGraphicFramePr>
        <xdr:cNvPr id="13" name="图表 12">
          <a:extLst>
            <a:ext uri="{FF2B5EF4-FFF2-40B4-BE49-F238E27FC236}">
              <a16:creationId xmlns:a16="http://schemas.microsoft.com/office/drawing/2014/main" id="{013C4500-095E-480B-8BF7-FEFA46F8F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65</xdr:row>
      <xdr:rowOff>28575</xdr:rowOff>
    </xdr:from>
    <xdr:to>
      <xdr:col>7</xdr:col>
      <xdr:colOff>190500</xdr:colOff>
      <xdr:row>80</xdr:row>
      <xdr:rowOff>132920</xdr:rowOff>
    </xdr:to>
    <xdr:graphicFrame macro="">
      <xdr:nvGraphicFramePr>
        <xdr:cNvPr id="15" name="图表 14">
          <a:extLst>
            <a:ext uri="{FF2B5EF4-FFF2-40B4-BE49-F238E27FC236}">
              <a16:creationId xmlns:a16="http://schemas.microsoft.com/office/drawing/2014/main" id="{C7F86662-A5DD-44EF-BF87-1D3A13196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18</xdr:row>
      <xdr:rowOff>38100</xdr:rowOff>
    </xdr:from>
    <xdr:to>
      <xdr:col>4</xdr:col>
      <xdr:colOff>456663</xdr:colOff>
      <xdr:row>33</xdr:row>
      <xdr:rowOff>28255</xdr:rowOff>
    </xdr:to>
    <xdr:pic>
      <xdr:nvPicPr>
        <xdr:cNvPr id="2" name="图片 1">
          <a:extLst>
            <a:ext uri="{FF2B5EF4-FFF2-40B4-BE49-F238E27FC236}">
              <a16:creationId xmlns:a16="http://schemas.microsoft.com/office/drawing/2014/main" id="{FB19DB26-DDD6-45E2-AA1F-FC3EC257CFED}"/>
            </a:ext>
          </a:extLst>
        </xdr:cNvPr>
        <xdr:cNvPicPr>
          <a:picLocks noChangeAspect="1"/>
        </xdr:cNvPicPr>
      </xdr:nvPicPr>
      <xdr:blipFill>
        <a:blip xmlns:r="http://schemas.openxmlformats.org/officeDocument/2006/relationships" r:embed="rId1"/>
        <a:stretch>
          <a:fillRect/>
        </a:stretch>
      </xdr:blipFill>
      <xdr:spPr>
        <a:xfrm>
          <a:off x="0" y="3476625"/>
          <a:ext cx="4295238" cy="2561905"/>
        </a:xfrm>
        <a:prstGeom prst="rect">
          <a:avLst/>
        </a:prstGeom>
      </xdr:spPr>
    </xdr:pic>
    <xdr:clientData/>
  </xdr:twoCellAnchor>
  <xdr:twoCellAnchor>
    <xdr:from>
      <xdr:col>3</xdr:col>
      <xdr:colOff>357187</xdr:colOff>
      <xdr:row>58</xdr:row>
      <xdr:rowOff>119062</xdr:rowOff>
    </xdr:from>
    <xdr:to>
      <xdr:col>7</xdr:col>
      <xdr:colOff>842962</xdr:colOff>
      <xdr:row>73</xdr:row>
      <xdr:rowOff>147637</xdr:rowOff>
    </xdr:to>
    <xdr:graphicFrame macro="">
      <xdr:nvGraphicFramePr>
        <xdr:cNvPr id="3" name="图表 2">
          <a:extLst>
            <a:ext uri="{FF2B5EF4-FFF2-40B4-BE49-F238E27FC236}">
              <a16:creationId xmlns:a16="http://schemas.microsoft.com/office/drawing/2014/main" id="{1F4E18DD-7C0A-41EE-8F62-CA78115AB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425;\2.&#32508;&#21512;\4.&#20854;&#20182;\2022-1-0508&#39318;&#22478;&#22269;&#38469;&#21830;&#19994;&#31199;&#37329;\&#39318;&#22478;&#22269;&#38469;&#31199;&#37329;-&#19968;&#23457;&#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696;/&#26700;&#38754;/2022-1-0649&#19968;&#20307;&#21270;&#24179;&#21488;&#28023;&#28096;/F02&#30408;&#37117;&#22823;&#21414;&#24066;&#22330;&#20215;&#20540;/&#30408;&#37117;&#22823;&#21414;-&#27979;&#31639;-&#19968;&#23457;&#25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25;\2.&#32508;&#21512;\2.&#21496;&#27861;\2021-1-0472&#30408;&#22320;&#22823;&#21414;&#31199;&#37329;\F01\&#30408;&#22320;&#22823;&#21414;-12.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66;&#22330;&#36208;&#21183;&#65288;2007-2022&#65289;&#21152;&#24037;&#20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0204;/&#27861;&#38498;/2022-1-0524%20&#21271;&#20140;&#24066;&#28023;&#28096;&#21306;&#39640;&#26753;&#26725;&#26012;&#34903;59&#21495;&#38498;6&#21495;&#27004;&#19968;&#23618;&#21830;&#19994;02&#21495;&#25151;&#23627;&#21450;&#19977;&#23618;&#25151;&#23627;/&#27979;&#31639;&#8212;&#8212;&#38271;&#27827;&#28286;-&#24120;&#30021;20230111-1412451&#23457;&#20462;&#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首城国际结果表"/>
      <sheetName val="面积表"/>
      <sheetName val="结果一览表-铂郡"/>
      <sheetName val="比较法-商业铂郡"/>
      <sheetName val="比较法-商业铂郡租金"/>
      <sheetName val="Sheet6"/>
      <sheetName val="结果一览表-商业"/>
      <sheetName val="假设开发法"/>
      <sheetName val="收益法 (元)"/>
      <sheetName val="收益法（汇总）"/>
      <sheetName val="酒店收入计算"/>
      <sheetName val="比较法-住宅"/>
      <sheetName val="比较法-商业售价"/>
      <sheetName val="比较法-办公"/>
      <sheetName val="比较法-工业"/>
      <sheetName val="比较法-车位"/>
      <sheetName val="比较法-商业租金"/>
      <sheetName val="结果一览表-库房"/>
      <sheetName val="成本法"/>
      <sheetName val="土地比较法-住宅、综合"/>
      <sheetName val="土地比较法-工业"/>
      <sheetName val="基准地价修正"/>
      <sheetName val="修正"/>
      <sheetName val="容积率修正"/>
      <sheetName val="基准地价（汇总）"/>
      <sheetName val="成本法 (元)"/>
      <sheetName val="比较法-仓储"/>
      <sheetName val="地价"/>
      <sheetName val="典型户型修正"/>
      <sheetName val="成本法（废）"/>
      <sheetName val="区片价"/>
      <sheetName val="因素修正幅度"/>
      <sheetName val="存贷款利率"/>
      <sheetName val="区片价（范围）"/>
      <sheetName val="收益法"/>
      <sheetName val="租金案例"/>
      <sheetName val="售价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refreshError="1"/>
      <sheetData sheetId="13">
        <row r="17">
          <cell r="C17" t="str">
            <v>项目类型</v>
          </cell>
        </row>
        <row r="19">
          <cell r="C19" t="str">
            <v>商业</v>
          </cell>
        </row>
        <row r="20">
          <cell r="C20" t="str">
            <v>库房</v>
          </cell>
        </row>
        <row r="21">
          <cell r="C21" t="str">
            <v>商业铂郡</v>
          </cell>
        </row>
      </sheetData>
      <sheetData sheetId="14">
        <row r="20">
          <cell r="B20">
            <v>2</v>
          </cell>
        </row>
        <row r="34">
          <cell r="B34">
            <v>0</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0"/>
      <sheetData sheetId="31">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2">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3">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4">
        <row r="49">
          <cell r="C49">
            <v>6.5</v>
          </cell>
        </row>
        <row r="61">
          <cell r="A61" t="str">
            <v>交易情况</v>
          </cell>
          <cell r="C61" t="str">
            <v>正常</v>
          </cell>
          <cell r="D61" t="str">
            <v>正常（挂牌）</v>
          </cell>
        </row>
        <row r="63">
          <cell r="B63" t="str">
            <v>用途</v>
          </cell>
          <cell r="C63" t="str">
            <v>商业</v>
          </cell>
        </row>
        <row r="86">
          <cell r="B86" t="str">
            <v>临街状况</v>
          </cell>
          <cell r="C86" t="str">
            <v>高速路</v>
          </cell>
          <cell r="D86" t="str">
            <v>快速路</v>
          </cell>
          <cell r="E86" t="str">
            <v>城市主干道</v>
          </cell>
          <cell r="F86" t="str">
            <v>城市次干道</v>
          </cell>
          <cell r="G86" t="str">
            <v>城市支路</v>
          </cell>
        </row>
        <row r="90">
          <cell r="B90" t="str">
            <v>人流量</v>
          </cell>
          <cell r="C90" t="str">
            <v>大</v>
          </cell>
          <cell r="D90" t="str">
            <v>较大</v>
          </cell>
          <cell r="E90" t="str">
            <v>一般</v>
          </cell>
        </row>
        <row r="92">
          <cell r="B92" t="str">
            <v>楼层</v>
          </cell>
          <cell r="C92" t="str">
            <v>1层</v>
          </cell>
        </row>
        <row r="100">
          <cell r="B100" t="str">
            <v>商业类型</v>
          </cell>
          <cell r="C100" t="str">
            <v>住宅底商</v>
          </cell>
          <cell r="D100" t="str">
            <v>办公楼底商</v>
          </cell>
        </row>
        <row r="105">
          <cell r="B105" t="str">
            <v>建筑结构</v>
          </cell>
          <cell r="C105" t="str">
            <v>钢混</v>
          </cell>
        </row>
        <row r="107">
          <cell r="B107" t="str">
            <v>公共部分装修</v>
          </cell>
          <cell r="C107" t="str">
            <v>精装修</v>
          </cell>
        </row>
        <row r="112">
          <cell r="B112" t="str">
            <v>市政基础设施</v>
          </cell>
          <cell r="C112" t="str">
            <v>七通</v>
          </cell>
          <cell r="D112" t="str">
            <v>六通</v>
          </cell>
          <cell r="E112" t="str">
            <v>五通</v>
          </cell>
          <cell r="F112" t="str">
            <v>四通</v>
          </cell>
          <cell r="G112" t="str">
            <v>三通</v>
          </cell>
        </row>
        <row r="114">
          <cell r="B114" t="str">
            <v>业态</v>
          </cell>
        </row>
        <row r="116">
          <cell r="B116" t="str">
            <v>层高</v>
          </cell>
          <cell r="C116" t="str">
            <v>标准层高</v>
          </cell>
        </row>
        <row r="120">
          <cell r="B120" t="str">
            <v>进深比</v>
          </cell>
        </row>
        <row r="122">
          <cell r="B122" t="str">
            <v>内部装修</v>
          </cell>
          <cell r="C122" t="str">
            <v>精装修</v>
          </cell>
          <cell r="D122" t="str">
            <v>普通装修</v>
          </cell>
          <cell r="E122" t="str">
            <v>一般装修</v>
          </cell>
          <cell r="F122" t="str">
            <v>毛坯</v>
          </cell>
        </row>
      </sheetData>
      <sheetData sheetId="35" refreshError="1"/>
      <sheetData sheetId="36" refreshError="1"/>
      <sheetData sheetId="3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9" refreshError="1"/>
      <sheetData sheetId="40">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41" refreshError="1"/>
      <sheetData sheetId="42" refreshError="1"/>
      <sheetData sheetId="43" refreshError="1"/>
      <sheetData sheetId="44">
        <row r="49">
          <cell r="A49" t="str">
            <v>交易情况</v>
          </cell>
          <cell r="C49" t="str">
            <v>正常</v>
          </cell>
          <cell r="D49" t="str">
            <v>挂牌</v>
          </cell>
        </row>
        <row r="51">
          <cell r="B51" t="str">
            <v>用途</v>
          </cell>
          <cell r="C51" t="str">
            <v>库房</v>
          </cell>
        </row>
        <row r="69">
          <cell r="B69" t="str">
            <v>楼层</v>
          </cell>
        </row>
        <row r="77">
          <cell r="B77" t="str">
            <v>公共部分装修</v>
          </cell>
          <cell r="C77" t="str">
            <v>普通装修</v>
          </cell>
        </row>
        <row r="82">
          <cell r="B82" t="str">
            <v>物业等级</v>
          </cell>
          <cell r="C82" t="str">
            <v>普通</v>
          </cell>
        </row>
        <row r="84">
          <cell r="B84" t="str">
            <v>有无电梯</v>
          </cell>
          <cell r="C84" t="str">
            <v>有</v>
          </cell>
        </row>
        <row r="89">
          <cell r="B89" t="str">
            <v>是否封闭</v>
          </cell>
        </row>
      </sheetData>
      <sheetData sheetId="45" refreshError="1"/>
      <sheetData sheetId="46">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成本法 (元)"/>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案例"/>
      <sheetName val="市场成交"/>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ow r="3">
          <cell r="D3">
            <v>44845</v>
          </cell>
        </row>
        <row r="12">
          <cell r="C12" t="str">
            <v>住宅</v>
          </cell>
          <cell r="D12" t="str">
            <v>商业</v>
          </cell>
          <cell r="E12" t="str">
            <v>办公</v>
          </cell>
          <cell r="F12" t="str">
            <v>车库</v>
          </cell>
          <cell r="G12" t="str">
            <v>仓储</v>
          </cell>
          <cell r="H12" t="str">
            <v>工业</v>
          </cell>
          <cell r="I12" t="str">
            <v>公共服务</v>
          </cell>
        </row>
        <row r="13">
          <cell r="C13">
            <v>62732</v>
          </cell>
          <cell r="E13">
            <v>55652</v>
          </cell>
        </row>
        <row r="14">
          <cell r="C14">
            <v>70</v>
          </cell>
          <cell r="E14">
            <v>50</v>
          </cell>
        </row>
        <row r="15">
          <cell r="C15">
            <v>49</v>
          </cell>
          <cell r="D15" t="str">
            <v/>
          </cell>
          <cell r="E15">
            <v>29.6</v>
          </cell>
          <cell r="F15" t="str">
            <v/>
          </cell>
          <cell r="G15" t="str">
            <v/>
          </cell>
          <cell r="H15" t="str">
            <v/>
          </cell>
          <cell r="I15" t="str">
            <v/>
          </cell>
        </row>
      </sheetData>
      <sheetData sheetId="12"/>
      <sheetData sheetId="13">
        <row r="17">
          <cell r="C17" t="str">
            <v>项目类型</v>
          </cell>
          <cell r="I17" t="str">
            <v>按面积比例</v>
          </cell>
        </row>
        <row r="19">
          <cell r="C19" t="str">
            <v>办公</v>
          </cell>
          <cell r="E19">
            <v>459.68</v>
          </cell>
          <cell r="K19">
            <v>0</v>
          </cell>
          <cell r="R19">
            <v>0</v>
          </cell>
        </row>
        <row r="20">
          <cell r="E20">
            <v>0</v>
          </cell>
          <cell r="K20">
            <v>0</v>
          </cell>
          <cell r="R20">
            <v>0</v>
          </cell>
        </row>
        <row r="21">
          <cell r="E21">
            <v>0</v>
          </cell>
          <cell r="K21">
            <v>0</v>
          </cell>
          <cell r="R21">
            <v>0</v>
          </cell>
        </row>
        <row r="22">
          <cell r="E22">
            <v>0</v>
          </cell>
          <cell r="K22">
            <v>0</v>
          </cell>
          <cell r="R22">
            <v>0</v>
          </cell>
        </row>
        <row r="23">
          <cell r="E23">
            <v>0</v>
          </cell>
          <cell r="K23">
            <v>0</v>
          </cell>
          <cell r="R23">
            <v>0</v>
          </cell>
        </row>
        <row r="24">
          <cell r="E24">
            <v>0</v>
          </cell>
          <cell r="K24">
            <v>0</v>
          </cell>
          <cell r="R24">
            <v>0</v>
          </cell>
        </row>
        <row r="25">
          <cell r="E25">
            <v>0</v>
          </cell>
          <cell r="K25">
            <v>0</v>
          </cell>
          <cell r="R25">
            <v>0</v>
          </cell>
        </row>
        <row r="26">
          <cell r="E26">
            <v>0</v>
          </cell>
          <cell r="K26">
            <v>0</v>
          </cell>
          <cell r="R26">
            <v>0</v>
          </cell>
        </row>
        <row r="27">
          <cell r="C27" t="str">
            <v>小计</v>
          </cell>
          <cell r="E27">
            <v>459.68</v>
          </cell>
          <cell r="K27">
            <v>0</v>
          </cell>
          <cell r="N27">
            <v>0</v>
          </cell>
          <cell r="R27">
            <v>0</v>
          </cell>
        </row>
        <row r="28">
          <cell r="C28" t="str">
            <v>设备及其他</v>
          </cell>
          <cell r="E28">
            <v>0</v>
          </cell>
        </row>
        <row r="29">
          <cell r="C29" t="str">
            <v>公共配套及物业（住宅）</v>
          </cell>
          <cell r="E29">
            <v>0</v>
          </cell>
        </row>
        <row r="30">
          <cell r="C30" t="str">
            <v>小计</v>
          </cell>
          <cell r="E30">
            <v>0</v>
          </cell>
        </row>
        <row r="31">
          <cell r="C31" t="str">
            <v>合计</v>
          </cell>
          <cell r="E31">
            <v>459.68</v>
          </cell>
        </row>
        <row r="32">
          <cell r="E32">
            <v>0</v>
          </cell>
        </row>
      </sheetData>
      <sheetData sheetId="14"/>
      <sheetData sheetId="15"/>
      <sheetData sheetId="16"/>
      <sheetData sheetId="17"/>
      <sheetData sheetId="18"/>
      <sheetData sheetId="19"/>
      <sheetData sheetId="20"/>
      <sheetData sheetId="21"/>
      <sheetData sheetId="22"/>
      <sheetData sheetId="23"/>
      <sheetData sheetId="24">
        <row r="61">
          <cell r="A61" t="str">
            <v>交易情况</v>
          </cell>
          <cell r="C61" t="str">
            <v>正常</v>
          </cell>
        </row>
        <row r="63">
          <cell r="B63" t="str">
            <v>用途</v>
          </cell>
          <cell r="C63" t="str">
            <v>住宅</v>
          </cell>
        </row>
        <row r="86">
          <cell r="B86" t="str">
            <v>楼层-1</v>
          </cell>
        </row>
        <row r="88">
          <cell r="B88" t="str">
            <v>朝向</v>
          </cell>
          <cell r="C88" t="str">
            <v>南北</v>
          </cell>
        </row>
        <row r="100">
          <cell r="B100" t="str">
            <v>建筑类型</v>
          </cell>
          <cell r="C100" t="str">
            <v>双拼</v>
          </cell>
        </row>
        <row r="105">
          <cell r="B105" t="str">
            <v>建筑结构</v>
          </cell>
          <cell r="C105" t="str">
            <v>钢混</v>
          </cell>
        </row>
        <row r="107">
          <cell r="B107" t="str">
            <v>建筑品质</v>
          </cell>
          <cell r="C107" t="str">
            <v>高档</v>
          </cell>
        </row>
        <row r="109">
          <cell r="B109" t="str">
            <v>公共部分装修</v>
          </cell>
          <cell r="C109" t="str">
            <v>精装修</v>
          </cell>
        </row>
        <row r="114">
          <cell r="B114" t="str">
            <v>物业管理</v>
          </cell>
          <cell r="C114" t="str">
            <v>物业公司管理</v>
          </cell>
        </row>
        <row r="116">
          <cell r="B116" t="str">
            <v>市政基础设施</v>
          </cell>
          <cell r="C116" t="str">
            <v>七通</v>
          </cell>
        </row>
        <row r="118">
          <cell r="B118" t="str">
            <v>房型</v>
          </cell>
        </row>
        <row r="122">
          <cell r="B122" t="str">
            <v>内部装修</v>
          </cell>
          <cell r="C122" t="str">
            <v>精装修</v>
          </cell>
          <cell r="D122" t="str">
            <v>普通装修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62">
          <cell r="A62" t="str">
            <v>交易情况</v>
          </cell>
          <cell r="C62" t="str">
            <v>正常</v>
          </cell>
        </row>
        <row r="64">
          <cell r="B64" t="str">
            <v>用途</v>
          </cell>
          <cell r="C64" t="str">
            <v>办公</v>
          </cell>
        </row>
        <row r="87">
          <cell r="B87" t="str">
            <v>毗邻道路的类型与等级</v>
          </cell>
          <cell r="C87" t="str">
            <v>城市主干道</v>
          </cell>
          <cell r="D87" t="str">
            <v>城市次干道-大钟寺东路</v>
          </cell>
        </row>
        <row r="89">
          <cell r="B89" t="str">
            <v>楼层</v>
          </cell>
          <cell r="C89" t="str">
            <v>高楼层</v>
          </cell>
          <cell r="D89" t="str">
            <v>中楼层</v>
          </cell>
          <cell r="E89" t="str">
            <v>低楼层</v>
          </cell>
        </row>
        <row r="91">
          <cell r="B91" t="str">
            <v>朝向</v>
          </cell>
          <cell r="C91" t="str">
            <v>东南</v>
          </cell>
          <cell r="D91" t="str">
            <v>西南</v>
          </cell>
          <cell r="E91" t="str">
            <v>南</v>
          </cell>
          <cell r="F91" t="str">
            <v>东西</v>
          </cell>
          <cell r="G91" t="str">
            <v>北</v>
          </cell>
        </row>
        <row r="101">
          <cell r="B101" t="str">
            <v>建筑类型</v>
          </cell>
          <cell r="C101" t="str">
            <v>高层塔楼</v>
          </cell>
        </row>
        <row r="106">
          <cell r="B106" t="str">
            <v>建筑结构</v>
          </cell>
          <cell r="C106" t="str">
            <v>钢混</v>
          </cell>
        </row>
        <row r="108">
          <cell r="B108" t="str">
            <v>公共部分装修</v>
          </cell>
          <cell r="C108" t="str">
            <v>精装修</v>
          </cell>
        </row>
        <row r="113">
          <cell r="B113" t="str">
            <v>写字楼等级</v>
          </cell>
          <cell r="C113" t="str">
            <v>甲级</v>
          </cell>
          <cell r="D113" t="str">
            <v>乙级</v>
          </cell>
        </row>
        <row r="115">
          <cell r="B115" t="str">
            <v>物业管理</v>
          </cell>
          <cell r="C115" t="str">
            <v>物业公司管理</v>
          </cell>
        </row>
        <row r="117">
          <cell r="B117" t="str">
            <v>市政基础设施</v>
          </cell>
          <cell r="C117" t="str">
            <v>七通</v>
          </cell>
          <cell r="D117" t="str">
            <v>六通</v>
          </cell>
          <cell r="E117" t="str">
            <v>五通</v>
          </cell>
        </row>
        <row r="119">
          <cell r="B119" t="str">
            <v>层高</v>
          </cell>
        </row>
        <row r="123">
          <cell r="B123" t="str">
            <v>内部装修</v>
          </cell>
          <cell r="C123" t="str">
            <v>精装修</v>
          </cell>
          <cell r="D123" t="str">
            <v>一般装修</v>
          </cell>
        </row>
      </sheetData>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3"/>
      <sheetData sheetId="34"/>
      <sheetData sheetId="35"/>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sheetData sheetId="38"/>
      <sheetData sheetId="39"/>
      <sheetData sheetId="40"/>
      <sheetData sheetId="41"/>
      <sheetData sheetId="42"/>
      <sheetData sheetId="43"/>
      <sheetData sheetId="44">
        <row r="1">
          <cell r="G1">
            <v>3.6499999999999998E-2</v>
          </cell>
          <cell r="I1">
            <v>1.4999999999999999E-2</v>
          </cell>
        </row>
      </sheetData>
      <sheetData sheetId="45">
        <row r="6">
          <cell r="I6">
            <v>5.4</v>
          </cell>
        </row>
      </sheetData>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一览表"/>
      <sheetName val="结果表"/>
      <sheetName val="成本法"/>
      <sheetName val="成本法 (元)"/>
      <sheetName val="假设开发法"/>
      <sheetName val="收益法 (元)"/>
      <sheetName val="收益法（汇总）"/>
      <sheetName val="酒店收入计算"/>
      <sheetName val="比较法-住宅"/>
      <sheetName val="比较法-工业"/>
      <sheetName val="比较法-仓储"/>
      <sheetName val="土地比较法-住宅、综合"/>
      <sheetName val="土地比较法-工业"/>
      <sheetName val="基准地价（汇总）"/>
      <sheetName val="基准地价修正-办公"/>
      <sheetName val="修正"/>
      <sheetName val="容积率修正"/>
      <sheetName val="基准地价修正-商业"/>
      <sheetName val="收益法"/>
      <sheetName val="比较法-商业"/>
      <sheetName val="比较法-大宗交易"/>
      <sheetName val="比较法-商业租金"/>
      <sheetName val="比较法-地下商业租金"/>
      <sheetName val="比较法租金-办公"/>
      <sheetName val="比较法-车位租金"/>
      <sheetName val="面积表及结果"/>
      <sheetName val="案例-租金"/>
      <sheetName val="案例-销售"/>
      <sheetName val="Sheet1"/>
      <sheetName val="市场走势"/>
      <sheetName val="Sheet2"/>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sheetData>
      <sheetData sheetId="9">
        <row r="1">
          <cell r="A1" t="str">
            <v>用途类型</v>
          </cell>
        </row>
      </sheetData>
      <sheetData sheetId="10"/>
      <sheetData sheetId="11"/>
      <sheetData sheetId="12"/>
      <sheetData sheetId="13">
        <row r="17">
          <cell r="C17" t="str">
            <v>项目类型</v>
          </cell>
        </row>
        <row r="19">
          <cell r="C19" t="str">
            <v>地上办公</v>
          </cell>
        </row>
        <row r="20">
          <cell r="C20" t="str">
            <v>1层商业</v>
          </cell>
        </row>
        <row r="21">
          <cell r="C21" t="str">
            <v>2层商业</v>
          </cell>
        </row>
        <row r="22">
          <cell r="C22" t="str">
            <v>3-4层商业</v>
          </cell>
        </row>
        <row r="23">
          <cell r="C23" t="str">
            <v>5层商业</v>
          </cell>
        </row>
        <row r="24">
          <cell r="C24" t="str">
            <v>地下车库</v>
          </cell>
        </row>
        <row r="25">
          <cell r="C25" t="str">
            <v>地下办公</v>
          </cell>
        </row>
      </sheetData>
      <sheetData sheetId="14">
        <row r="53">
          <cell r="A53" t="str">
            <v>城镇土地纳税等级分级范围</v>
          </cell>
        </row>
      </sheetData>
      <sheetData sheetId="15"/>
      <sheetData sheetId="16"/>
      <sheetData sheetId="17"/>
      <sheetData sheetId="18"/>
      <sheetData sheetId="19"/>
      <sheetData sheetId="20"/>
      <sheetData sheetId="21"/>
      <sheetData sheetId="22"/>
      <sheetData sheetId="23"/>
      <sheetData sheetId="24"/>
      <sheetData sheetId="25">
        <row r="61">
          <cell r="A61" t="str">
            <v>交易情况</v>
          </cell>
        </row>
      </sheetData>
      <sheetData sheetId="26">
        <row r="55">
          <cell r="A55" t="str">
            <v>交易情况</v>
          </cell>
        </row>
      </sheetData>
      <sheetData sheetId="27">
        <row r="49">
          <cell r="A49" t="str">
            <v>交易情况</v>
          </cell>
        </row>
      </sheetData>
      <sheetData sheetId="28">
        <row r="73">
          <cell r="A73" t="str">
            <v>交易情况</v>
          </cell>
        </row>
      </sheetData>
      <sheetData sheetId="29">
        <row r="70">
          <cell r="B70" t="str">
            <v>用途</v>
          </cell>
        </row>
        <row r="112">
          <cell r="B112" t="str">
            <v>宗地开发程度</v>
          </cell>
        </row>
      </sheetData>
      <sheetData sheetId="30"/>
      <sheetData sheetId="31"/>
      <sheetData sheetId="32">
        <row r="6">
          <cell r="A6" t="str">
            <v>通路</v>
          </cell>
        </row>
      </sheetData>
      <sheetData sheetId="33"/>
      <sheetData sheetId="34"/>
      <sheetData sheetId="35"/>
      <sheetData sheetId="36"/>
      <sheetData sheetId="37">
        <row r="49">
          <cell r="C49">
            <v>37323</v>
          </cell>
        </row>
      </sheetData>
      <sheetData sheetId="38">
        <row r="61">
          <cell r="A61" t="str">
            <v>交易情况</v>
          </cell>
        </row>
      </sheetData>
      <sheetData sheetId="39"/>
      <sheetData sheetId="40">
        <row r="62">
          <cell r="A62" t="str">
            <v>交易情况</v>
          </cell>
        </row>
      </sheetData>
      <sheetData sheetId="41">
        <row r="51">
          <cell r="A51" t="str">
            <v>交易情况</v>
          </cell>
        </row>
      </sheetData>
      <sheetData sheetId="42"/>
      <sheetData sheetId="43"/>
      <sheetData sheetId="44"/>
      <sheetData sheetId="45"/>
      <sheetData sheetId="46">
        <row r="3">
          <cell r="C3" t="str">
            <v>平均有效租金</v>
          </cell>
          <cell r="N3" t="str">
            <v>租金增长率</v>
          </cell>
          <cell r="O3" t="str">
            <v>新增供应</v>
          </cell>
          <cell r="P3" t="str">
            <v>存量（万㎡）</v>
          </cell>
        </row>
        <row r="4">
          <cell r="K4" t="str">
            <v>2016Q1</v>
          </cell>
          <cell r="P4">
            <v>6753000</v>
          </cell>
        </row>
        <row r="5">
          <cell r="K5" t="str">
            <v>2016Q2</v>
          </cell>
          <cell r="N5">
            <v>2.6809651474530832E-3</v>
          </cell>
          <cell r="O5">
            <v>355400</v>
          </cell>
          <cell r="P5">
            <v>7108400</v>
          </cell>
        </row>
        <row r="6">
          <cell r="K6" t="str">
            <v>2016Q3</v>
          </cell>
          <cell r="N6">
            <v>-8.0213903743315516E-3</v>
          </cell>
          <cell r="O6">
            <v>134000</v>
          </cell>
          <cell r="P6">
            <v>7242400</v>
          </cell>
        </row>
        <row r="7">
          <cell r="K7" t="str">
            <v>2016Q4</v>
          </cell>
          <cell r="N7">
            <v>5.3908355795148251E-3</v>
          </cell>
          <cell r="O7">
            <v>115500</v>
          </cell>
          <cell r="P7">
            <v>7357900</v>
          </cell>
        </row>
        <row r="8">
          <cell r="K8" t="str">
            <v>2017Q1</v>
          </cell>
          <cell r="N8">
            <v>-5.3619302949061663E-3</v>
          </cell>
          <cell r="O8">
            <v>122300</v>
          </cell>
          <cell r="P8">
            <v>7480200</v>
          </cell>
        </row>
        <row r="9">
          <cell r="K9" t="str">
            <v>2017Q2</v>
          </cell>
          <cell r="N9">
            <v>8.0862533692722376E-3</v>
          </cell>
          <cell r="O9">
            <v>267800</v>
          </cell>
          <cell r="P9">
            <v>7748000</v>
          </cell>
        </row>
        <row r="10">
          <cell r="K10" t="str">
            <v>2017Q3</v>
          </cell>
          <cell r="N10">
            <v>8.0213903743315516E-3</v>
          </cell>
          <cell r="O10">
            <v>0</v>
          </cell>
          <cell r="P10">
            <v>7748000</v>
          </cell>
        </row>
        <row r="11">
          <cell r="K11" t="str">
            <v>2017Q4</v>
          </cell>
          <cell r="N11">
            <v>-7.9575596816976128E-3</v>
          </cell>
          <cell r="O11">
            <v>430900</v>
          </cell>
          <cell r="P11">
            <v>8178900</v>
          </cell>
        </row>
        <row r="12">
          <cell r="K12" t="str">
            <v>2018Q1</v>
          </cell>
          <cell r="N12">
            <v>-1.06951871657754E-2</v>
          </cell>
          <cell r="O12">
            <v>0</v>
          </cell>
          <cell r="P12">
            <v>8178900</v>
          </cell>
        </row>
        <row r="13">
          <cell r="K13" t="str">
            <v>2018Q2</v>
          </cell>
          <cell r="N13">
            <v>3.783783783783784E-2</v>
          </cell>
          <cell r="O13">
            <v>80000</v>
          </cell>
          <cell r="P13">
            <v>8258900</v>
          </cell>
        </row>
        <row r="14">
          <cell r="K14" t="str">
            <v>2018Q3</v>
          </cell>
          <cell r="N14">
            <v>1.5625E-2</v>
          </cell>
          <cell r="O14">
            <v>45700</v>
          </cell>
          <cell r="P14">
            <v>8304600</v>
          </cell>
        </row>
        <row r="15">
          <cell r="K15" t="str">
            <v>2018Q4</v>
          </cell>
          <cell r="N15">
            <v>-1.0256410256410256E-2</v>
          </cell>
          <cell r="O15">
            <v>251300</v>
          </cell>
          <cell r="P15">
            <v>8555900</v>
          </cell>
        </row>
        <row r="16">
          <cell r="K16" t="str">
            <v>2019Q1</v>
          </cell>
          <cell r="N16">
            <v>-1.0362694300518135E-2</v>
          </cell>
          <cell r="O16">
            <v>125600</v>
          </cell>
          <cell r="P16">
            <v>8681500</v>
          </cell>
        </row>
        <row r="17">
          <cell r="K17" t="str">
            <v>2019Q2</v>
          </cell>
          <cell r="N17">
            <v>-1.3089005235602094E-2</v>
          </cell>
          <cell r="O17">
            <v>143000</v>
          </cell>
          <cell r="P17">
            <v>8824500</v>
          </cell>
        </row>
        <row r="18">
          <cell r="K18" t="str">
            <v>2019Q3</v>
          </cell>
          <cell r="N18">
            <v>-7.9575596816976128E-3</v>
          </cell>
          <cell r="O18">
            <v>0</v>
          </cell>
          <cell r="P18">
            <v>8824500</v>
          </cell>
        </row>
        <row r="19">
          <cell r="K19" t="str">
            <v>2019Q4</v>
          </cell>
          <cell r="N19">
            <v>1.3368983957219251E-2</v>
          </cell>
          <cell r="O19">
            <v>800700</v>
          </cell>
          <cell r="P19">
            <v>9625200</v>
          </cell>
        </row>
        <row r="20">
          <cell r="K20" t="str">
            <v>2021Q1</v>
          </cell>
          <cell r="N20">
            <v>-1.3192612137203167E-2</v>
          </cell>
          <cell r="O20">
            <v>0</v>
          </cell>
          <cell r="P20">
            <v>9625200</v>
          </cell>
        </row>
        <row r="21">
          <cell r="K21" t="str">
            <v>2021Q2</v>
          </cell>
          <cell r="N21">
            <v>-4.8128342245989303E-2</v>
          </cell>
          <cell r="O21">
            <v>0</v>
          </cell>
          <cell r="P21">
            <v>9625200</v>
          </cell>
        </row>
        <row r="22">
          <cell r="K22" t="str">
            <v>2021Q3</v>
          </cell>
          <cell r="N22">
            <v>-1.1235955056179775E-2</v>
          </cell>
          <cell r="O22">
            <v>10000</v>
          </cell>
          <cell r="P22">
            <v>9635200</v>
          </cell>
        </row>
        <row r="23">
          <cell r="K23" t="str">
            <v>2021Q4</v>
          </cell>
          <cell r="N23">
            <v>-2.8409090909090908E-2</v>
          </cell>
          <cell r="O23">
            <v>540700</v>
          </cell>
          <cell r="P23">
            <v>10175900</v>
          </cell>
        </row>
      </sheetData>
      <sheetData sheetId="47"/>
      <sheetData sheetId="48"/>
      <sheetData sheetId="49">
        <row r="5">
          <cell r="B5" t="str">
            <v>修正项2</v>
          </cell>
        </row>
      </sheetData>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业"/>
      <sheetName val="写字楼"/>
      <sheetName val="统计表"/>
    </sheetNames>
    <sheetDataSet>
      <sheetData sheetId="0">
        <row r="11">
          <cell r="AA11">
            <v>913.4</v>
          </cell>
          <cell r="AB11">
            <v>5.2999999999999999E-2</v>
          </cell>
        </row>
        <row r="15">
          <cell r="AA15">
            <v>941.4</v>
          </cell>
          <cell r="AB15">
            <v>6.7000000000000004E-2</v>
          </cell>
        </row>
        <row r="19">
          <cell r="AA19">
            <v>943.5</v>
          </cell>
          <cell r="AB19">
            <v>6.7000000000000004E-2</v>
          </cell>
        </row>
        <row r="23">
          <cell r="AA23">
            <v>948.2</v>
          </cell>
          <cell r="AB23">
            <v>6.7000000000000004E-2</v>
          </cell>
        </row>
        <row r="27">
          <cell r="AA27">
            <v>866.2</v>
          </cell>
          <cell r="AB27">
            <v>0.08</v>
          </cell>
        </row>
        <row r="31">
          <cell r="H31">
            <v>2400</v>
          </cell>
          <cell r="I31">
            <v>0.1</v>
          </cell>
        </row>
        <row r="35">
          <cell r="H35">
            <v>2312.5</v>
          </cell>
          <cell r="I35">
            <v>9.9000000000000005E-2</v>
          </cell>
        </row>
      </sheetData>
      <sheetData sheetId="1">
        <row r="3">
          <cell r="C3" t="str">
            <v>平均有效租金</v>
          </cell>
        </row>
      </sheetData>
      <sheetData sheetId="2">
        <row r="61">
          <cell r="B61">
            <v>2010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结果汇总"/>
      <sheetName val="成本法"/>
      <sheetName val="成本法 (3层) "/>
      <sheetName val="比较法-租金（1层）2022"/>
      <sheetName val="成本法 (1层)"/>
      <sheetName val="假设开发法"/>
      <sheetName val="收益法"/>
      <sheetName val="收益法 (1层)"/>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9">
          <cell r="C49">
            <v>12.2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xml"/><Relationship Id="rId1" Type="http://schemas.openxmlformats.org/officeDocument/2006/relationships/printerSettings" Target="../printerSettings/printerSettings30.bin"/><Relationship Id="rId4"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xml"/><Relationship Id="rId1" Type="http://schemas.openxmlformats.org/officeDocument/2006/relationships/printerSettings" Target="../printerSettings/printerSettings31.bin"/><Relationship Id="rId4"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5.xml"/><Relationship Id="rId1" Type="http://schemas.openxmlformats.org/officeDocument/2006/relationships/printerSettings" Target="../printerSettings/printerSettings32.bin"/><Relationship Id="rId4"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7.xml.rels><?xml version="1.0" encoding="UTF-8" standalone="yes"?>
<Relationships xmlns="http://schemas.openxmlformats.org/package/2006/relationships"><Relationship Id="rId8" Type="http://schemas.openxmlformats.org/officeDocument/2006/relationships/hyperlink" Target="http://bj.cityhouse.cn/lmarketha/pa00022566dc977/" TargetMode="External"/><Relationship Id="rId3" Type="http://schemas.openxmlformats.org/officeDocument/2006/relationships/hyperlink" Target="http://bj.cityhouse.cn/lmarketha/pa00024376dc680/" TargetMode="External"/><Relationship Id="rId7" Type="http://schemas.openxmlformats.org/officeDocument/2006/relationships/hyperlink" Target="http://bj.cityhouse.cn/lmarketha/0163022498/" TargetMode="External"/><Relationship Id="rId2" Type="http://schemas.openxmlformats.org/officeDocument/2006/relationships/hyperlink" Target="http://bj.cityhouse.cn/lmarketha/pa00022420dc689/" TargetMode="External"/><Relationship Id="rId1" Type="http://schemas.openxmlformats.org/officeDocument/2006/relationships/hyperlink" Target="http://bj.cityhouse.cn/lmarketha/pa00025093dc043/" TargetMode="External"/><Relationship Id="rId6" Type="http://schemas.openxmlformats.org/officeDocument/2006/relationships/hyperlink" Target="http://bj.cityhouse.cn/lmarketha/sa0036900dc705/" TargetMode="External"/><Relationship Id="rId11" Type="http://schemas.openxmlformats.org/officeDocument/2006/relationships/drawing" Target="../drawings/drawing7.xml"/><Relationship Id="rId5" Type="http://schemas.openxmlformats.org/officeDocument/2006/relationships/hyperlink" Target="http://bj.cityhouse.cn/lmarketha/pa0123004cy866/" TargetMode="External"/><Relationship Id="rId10" Type="http://schemas.openxmlformats.org/officeDocument/2006/relationships/hyperlink" Target="http://bj.cityhouse.cn/lmarketha/pa00023555dc402/" TargetMode="External"/><Relationship Id="rId4" Type="http://schemas.openxmlformats.org/officeDocument/2006/relationships/hyperlink" Target="http://bj.cityhouse.cn/lmarketha/pa00024048dc020/" TargetMode="External"/><Relationship Id="rId9" Type="http://schemas.openxmlformats.org/officeDocument/2006/relationships/hyperlink" Target="http://bj.cityhouse.cn/lmarketha/pa00025908dc061/" TargetMode="Externa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估价对象为北京市房地产，为XX所有。根据《》[]，估价对象建筑面积为459.68平方米。根据《》[]，估价对象（分摊）出让国有建设用地使用权面积为平方米。估价对象用途为。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2016年7月7日</v>
      </c>
    </row>
    <row r="10" spans="1:2">
      <c r="A10" s="1210" t="s">
        <v>1103</v>
      </c>
      <c r="B10" s="1197" t="str">
        <f>'预评函-1'!A13</f>
        <v>本次估价的“房地产价值”是指在正常市场情况下，在价值时点2016年7月7日，估价对象规划用途为，假定未设立法定优先受偿款下的房地产市场价值。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459.68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4" sqref="D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89" t="s">
        <v>1527</v>
      </c>
      <c r="B1" s="2590" t="str">
        <f>IF(B6="北京市","北京市",C6)&amp;IF(E12="房屋所有权证",B29,E29)&amp;D5&amp;"预评估"</f>
        <v>北京市房地产市场价值预评估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3.5" thickTop="1">
      <c r="A2" s="1427" t="s">
        <v>1529</v>
      </c>
      <c r="B2" s="2591">
        <v>44971</v>
      </c>
      <c r="C2" s="2890" t="s">
        <v>1530</v>
      </c>
      <c r="D2" s="2591">
        <v>42558</v>
      </c>
      <c r="E2" s="824"/>
      <c r="F2" s="824"/>
      <c r="G2" s="1192"/>
      <c r="H2" s="2902"/>
    </row>
    <row r="3" spans="1:17" ht="13.5" thickBot="1">
      <c r="A3" s="2592" t="s">
        <v>1531</v>
      </c>
      <c r="B3" s="2593"/>
      <c r="C3" s="2594">
        <f>SUMIF(注册房地产估价师,B3,估价师及机构信息!B3:B16)</f>
        <v>0</v>
      </c>
      <c r="D3" s="2593" t="s">
        <v>2885</v>
      </c>
      <c r="E3" s="2595">
        <f ca="1">SUMIF(注册房地产估价师,D3,估价师及机构信息!B3:B16)</f>
        <v>0</v>
      </c>
      <c r="F3" s="825"/>
      <c r="G3" s="1193"/>
      <c r="H3" s="2902"/>
    </row>
    <row r="4" spans="1:17" ht="13.5" customHeight="1" thickTop="1">
      <c r="A4" s="1427" t="s">
        <v>1532</v>
      </c>
      <c r="B4" s="1428" t="s">
        <v>2716</v>
      </c>
      <c r="C4" s="2891" t="s">
        <v>1533</v>
      </c>
      <c r="D4" s="1429" t="s">
        <v>2886</v>
      </c>
      <c r="E4" s="824"/>
      <c r="F4" s="824"/>
      <c r="G4" s="1192"/>
    </row>
    <row r="5" spans="1:17">
      <c r="A5" s="1430" t="s">
        <v>1534</v>
      </c>
      <c r="B5" s="1431" t="s">
        <v>2717</v>
      </c>
      <c r="C5" s="2892" t="s">
        <v>1535</v>
      </c>
      <c r="D5" s="1433" t="s">
        <v>2884</v>
      </c>
      <c r="E5" s="2893" t="s">
        <v>1536</v>
      </c>
      <c r="F5" s="1433"/>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1537</v>
      </c>
      <c r="B6" s="2596" t="s">
        <v>2887</v>
      </c>
      <c r="C6" s="2597" t="s">
        <v>2718</v>
      </c>
      <c r="D6" s="2598" t="s">
        <v>1538</v>
      </c>
      <c r="E6" s="811"/>
      <c r="F6" s="811"/>
      <c r="G6" s="830"/>
      <c r="I6" s="800" t="str">
        <f>IF(COUNTIF(B5,"*上海银行*"),"上海银行","")</f>
        <v/>
      </c>
      <c r="J6" s="800"/>
      <c r="K6" s="2920"/>
      <c r="L6" s="2920"/>
      <c r="M6" s="2920"/>
      <c r="N6" s="800"/>
      <c r="O6" s="800"/>
      <c r="P6" s="800"/>
      <c r="Q6" s="800"/>
    </row>
    <row r="7" spans="1:17" ht="13.5" thickBot="1">
      <c r="A7" s="2895" t="s">
        <v>1539</v>
      </c>
      <c r="B7" s="2599" t="s">
        <v>2888</v>
      </c>
      <c r="C7" s="1525" t="str">
        <f>IF(B7="自然人","姓名","名称")</f>
        <v>姓名</v>
      </c>
      <c r="D7" s="1438" t="s">
        <v>2717</v>
      </c>
      <c r="E7" s="825"/>
      <c r="F7" s="825"/>
      <c r="G7" s="1193"/>
    </row>
    <row r="8" spans="1:17" ht="13.5" thickTop="1">
      <c r="A8" s="3809" t="s">
        <v>1540</v>
      </c>
      <c r="B8" s="1439" t="s">
        <v>1541</v>
      </c>
      <c r="C8" s="3821"/>
      <c r="D8" s="3822"/>
      <c r="E8" s="2600" t="s">
        <v>1542</v>
      </c>
      <c r="F8" s="2601" t="s">
        <v>1543</v>
      </c>
      <c r="G8" s="2602" t="str">
        <f>C6</f>
        <v>XX</v>
      </c>
    </row>
    <row r="9" spans="1:17">
      <c r="A9" s="3809"/>
      <c r="B9" s="259" t="s">
        <v>1544</v>
      </c>
      <c r="C9" s="1431"/>
      <c r="D9" s="1440"/>
      <c r="E9" s="2896" t="s">
        <v>1545</v>
      </c>
      <c r="F9" s="2603" t="s">
        <v>399</v>
      </c>
      <c r="G9" s="2604"/>
    </row>
    <row r="10" spans="1:17" ht="13.5" thickBot="1">
      <c r="A10" s="3809"/>
      <c r="B10" s="259" t="s">
        <v>1546</v>
      </c>
      <c r="C10" s="3823"/>
      <c r="D10" s="3824"/>
      <c r="E10" s="2897" t="s">
        <v>1547</v>
      </c>
      <c r="F10" s="2605" t="s">
        <v>176</v>
      </c>
      <c r="G10" s="2606"/>
    </row>
    <row r="11" spans="1:17" ht="13.5" thickBot="1">
      <c r="A11" s="3809"/>
      <c r="B11" s="1442" t="s">
        <v>1548</v>
      </c>
      <c r="C11" s="3825"/>
      <c r="D11" s="3826"/>
      <c r="E11" s="811"/>
      <c r="F11" s="811"/>
      <c r="G11" s="830"/>
    </row>
    <row r="12" spans="1:17" ht="13.5" thickBot="1">
      <c r="A12" s="3812" t="s">
        <v>2825</v>
      </c>
      <c r="B12" s="2898" t="s">
        <v>1549</v>
      </c>
      <c r="C12" s="808">
        <v>459.68</v>
      </c>
      <c r="D12" s="1443" t="s">
        <v>1550</v>
      </c>
      <c r="E12" s="1444"/>
      <c r="F12" s="1445"/>
      <c r="G12" s="830"/>
    </row>
    <row r="13" spans="1:17" ht="21" customHeight="1" thickBot="1">
      <c r="A13" s="3813"/>
      <c r="B13" s="2899" t="s">
        <v>1551</v>
      </c>
      <c r="C13" s="809"/>
      <c r="D13" s="1446" t="s">
        <v>1552</v>
      </c>
      <c r="E13" s="1447"/>
      <c r="F13" s="811"/>
      <c r="G13" s="830"/>
      <c r="I13" s="3798"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7"/>
      <c r="B14" s="2913" t="s">
        <v>2826</v>
      </c>
      <c r="C14" s="2608"/>
      <c r="D14" s="811"/>
      <c r="E14" s="811"/>
      <c r="F14" s="811"/>
      <c r="G14" s="830"/>
      <c r="I14" s="3798"/>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09"/>
      <c r="B15" s="2900" t="s">
        <v>1554</v>
      </c>
      <c r="C15" s="826">
        <v>4.6399999999999997</v>
      </c>
      <c r="D15" s="825"/>
      <c r="E15" s="825"/>
      <c r="F15" s="825"/>
      <c r="G15" s="1193"/>
      <c r="I15" s="3798"/>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7" t="s">
        <v>1555</v>
      </c>
      <c r="B16" s="1448" t="s">
        <v>1556</v>
      </c>
      <c r="C16" s="2610"/>
      <c r="D16" s="1441" t="s">
        <v>1557</v>
      </c>
      <c r="E16" s="2611"/>
      <c r="F16" s="1449" t="str">
        <f>IF(AND(C16="是",E16="否"),"是否提供他项权证或相关说明","")</f>
        <v/>
      </c>
      <c r="G16" s="2611"/>
      <c r="J16" s="2902"/>
    </row>
    <row r="17" spans="1:66" ht="13.5" customHeight="1">
      <c r="A17" s="1455" t="s">
        <v>1558</v>
      </c>
      <c r="B17" s="3827" t="s">
        <v>1559</v>
      </c>
      <c r="C17" s="3828"/>
      <c r="D17" s="3829" t="s">
        <v>1560</v>
      </c>
      <c r="E17" s="3830"/>
      <c r="F17" s="1450" t="s">
        <v>1561</v>
      </c>
      <c r="G17" s="1451"/>
      <c r="J17" s="2902"/>
    </row>
    <row r="18" spans="1:66" ht="24">
      <c r="A18" s="1455"/>
      <c r="B18" s="2612"/>
      <c r="C18" s="1434"/>
      <c r="D18" s="1452" t="s">
        <v>1562</v>
      </c>
      <c r="E18" s="1453"/>
      <c r="F18" s="1454"/>
      <c r="G18" s="1317"/>
      <c r="H18" s="2902"/>
      <c r="J18" s="2902"/>
    </row>
    <row r="19" spans="1:66" ht="21.75" customHeight="1" thickBot="1">
      <c r="A19" s="1455"/>
      <c r="B19" s="2613"/>
      <c r="C19" s="1447"/>
      <c r="D19" s="1455"/>
      <c r="E19" s="811"/>
      <c r="F19" s="811"/>
      <c r="G19" s="1317"/>
    </row>
    <row r="20" spans="1:66">
      <c r="A20" s="1451" t="s">
        <v>1563</v>
      </c>
      <c r="B20" s="2614" t="s">
        <v>1564</v>
      </c>
      <c r="C20" s="2615"/>
      <c r="D20" s="2616" t="s">
        <v>1564</v>
      </c>
      <c r="E20" s="2615"/>
      <c r="F20" s="811"/>
      <c r="G20" s="1317"/>
    </row>
    <row r="21" spans="1:66">
      <c r="A21" s="1317"/>
      <c r="B21" s="2617" t="s">
        <v>1565</v>
      </c>
      <c r="C21" s="2885"/>
      <c r="D21" s="1455" t="s">
        <v>1565</v>
      </c>
      <c r="E21" s="2618"/>
      <c r="F21" s="811"/>
      <c r="G21" s="1317"/>
    </row>
    <row r="22" spans="1:66">
      <c r="A22" s="1317"/>
      <c r="B22" s="811" t="s">
        <v>1566</v>
      </c>
      <c r="C22" s="2619"/>
      <c r="D22" s="811" t="s">
        <v>1566</v>
      </c>
      <c r="E22" s="2618"/>
      <c r="F22" s="811"/>
      <c r="G22" s="1317"/>
    </row>
    <row r="23" spans="1:66" s="2884" customFormat="1" ht="16.5"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808" t="s">
        <v>2824</v>
      </c>
      <c r="B24" s="3808"/>
      <c r="C24" s="3808"/>
      <c r="D24" s="3808"/>
      <c r="E24" s="3808"/>
      <c r="F24" s="3808"/>
      <c r="G24" s="3808"/>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1569</v>
      </c>
      <c r="B25" s="811"/>
      <c r="C25" s="811"/>
      <c r="D25" s="811"/>
      <c r="E25" s="811"/>
      <c r="F25" s="811"/>
      <c r="G25" s="1318"/>
      <c r="K25" s="2903"/>
    </row>
    <row r="26" spans="1:66" s="836" customFormat="1" ht="13.5"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1573</v>
      </c>
      <c r="B28" s="801"/>
      <c r="C28" s="3815" t="s">
        <v>1573</v>
      </c>
      <c r="D28" s="3816"/>
      <c r="E28" s="801"/>
      <c r="F28" s="803" t="s">
        <v>1573</v>
      </c>
      <c r="G28" s="801"/>
      <c r="K28" s="2903"/>
    </row>
    <row r="29" spans="1:66">
      <c r="A29" s="804" t="s">
        <v>1574</v>
      </c>
      <c r="B29" s="798"/>
      <c r="C29" s="3817" t="s">
        <v>1575</v>
      </c>
      <c r="D29" s="3818"/>
      <c r="E29" s="798"/>
      <c r="F29" s="804" t="s">
        <v>1575</v>
      </c>
      <c r="G29" s="798"/>
      <c r="K29" s="2903"/>
    </row>
    <row r="30" spans="1:66">
      <c r="A30" s="804" t="s">
        <v>1576</v>
      </c>
      <c r="B30" s="798"/>
      <c r="C30" s="3817" t="s">
        <v>1576</v>
      </c>
      <c r="D30" s="3818"/>
      <c r="E30" s="798"/>
      <c r="F30" s="804" t="s">
        <v>1577</v>
      </c>
      <c r="G30" s="798"/>
      <c r="K30" s="2903"/>
    </row>
    <row r="31" spans="1:66">
      <c r="A31" s="804" t="s">
        <v>1578</v>
      </c>
      <c r="B31" s="798"/>
      <c r="C31" s="3805" t="s">
        <v>1579</v>
      </c>
      <c r="D31" s="811"/>
      <c r="E31" s="2626" t="str">
        <f>E32&amp;" "&amp;E33&amp;" "&amp;E34&amp;" "&amp;E35</f>
        <v xml:space="preserve">   </v>
      </c>
      <c r="F31" s="804" t="s">
        <v>1580</v>
      </c>
      <c r="G31" s="798"/>
    </row>
    <row r="32" spans="1:66">
      <c r="A32" s="804" t="s">
        <v>1581</v>
      </c>
      <c r="B32" s="798"/>
      <c r="C32" s="3806"/>
      <c r="D32" s="259" t="s">
        <v>1582</v>
      </c>
      <c r="E32" s="798"/>
      <c r="F32" s="804" t="s">
        <v>1583</v>
      </c>
      <c r="G32" s="798"/>
    </row>
    <row r="33" spans="1:7" ht="24.75" thickBot="1">
      <c r="A33" s="805" t="s">
        <v>1584</v>
      </c>
      <c r="B33" s="802"/>
      <c r="C33" s="3806"/>
      <c r="D33" s="259" t="s">
        <v>1585</v>
      </c>
      <c r="E33" s="798"/>
      <c r="F33" s="804" t="s">
        <v>1586</v>
      </c>
      <c r="G33" s="798"/>
    </row>
    <row r="34" spans="1:7">
      <c r="A34" s="803" t="s">
        <v>1587</v>
      </c>
      <c r="B34" s="801"/>
      <c r="C34" s="3806"/>
      <c r="D34" s="259" t="s">
        <v>1588</v>
      </c>
      <c r="E34" s="798"/>
      <c r="F34" s="804" t="s">
        <v>1589</v>
      </c>
      <c r="G34" s="798"/>
    </row>
    <row r="35" spans="1:7" ht="13.5" thickBot="1">
      <c r="A35" s="804" t="s">
        <v>1590</v>
      </c>
      <c r="B35" s="798"/>
      <c r="C35" s="3807"/>
      <c r="D35" s="259" t="s">
        <v>1591</v>
      </c>
      <c r="E35" s="798"/>
      <c r="F35" s="805" t="s">
        <v>1592</v>
      </c>
      <c r="G35" s="2627"/>
    </row>
    <row r="36" spans="1:7">
      <c r="A36" s="804" t="s">
        <v>1549</v>
      </c>
      <c r="B36" s="798"/>
      <c r="C36" s="3817" t="s">
        <v>1593</v>
      </c>
      <c r="D36" s="3818"/>
      <c r="E36" s="798"/>
      <c r="F36" s="2628" t="s">
        <v>1594</v>
      </c>
      <c r="G36" s="801"/>
    </row>
    <row r="37" spans="1:7" ht="13.5" thickBot="1">
      <c r="A37" s="804" t="s">
        <v>1595</v>
      </c>
      <c r="B37" s="798"/>
      <c r="C37" s="3819" t="s">
        <v>1596</v>
      </c>
      <c r="D37" s="3820"/>
      <c r="E37" s="802"/>
      <c r="F37" s="1463" t="s">
        <v>1597</v>
      </c>
      <c r="G37" s="798"/>
    </row>
    <row r="38" spans="1:7" ht="13.5" thickBot="1">
      <c r="A38" s="804" t="s">
        <v>1598</v>
      </c>
      <c r="B38" s="798"/>
      <c r="C38" s="3803" t="s">
        <v>1599</v>
      </c>
      <c r="D38" s="1443" t="s">
        <v>1583</v>
      </c>
      <c r="E38" s="801"/>
      <c r="F38" s="805" t="s">
        <v>1600</v>
      </c>
      <c r="G38" s="802"/>
    </row>
    <row r="39" spans="1:7">
      <c r="A39" s="804" t="s">
        <v>1601</v>
      </c>
      <c r="B39" s="798"/>
      <c r="C39" s="3810"/>
      <c r="D39" s="259" t="s">
        <v>1590</v>
      </c>
      <c r="E39" s="798"/>
      <c r="F39" s="803" t="s">
        <v>1602</v>
      </c>
      <c r="G39" s="801"/>
    </row>
    <row r="40" spans="1:7">
      <c r="A40" s="804" t="s">
        <v>1603</v>
      </c>
      <c r="B40" s="798"/>
      <c r="C40" s="3810" t="s">
        <v>1604</v>
      </c>
      <c r="D40" s="259" t="s">
        <v>1549</v>
      </c>
      <c r="E40" s="798"/>
      <c r="F40" s="804" t="s">
        <v>1605</v>
      </c>
      <c r="G40" s="798"/>
    </row>
    <row r="41" spans="1:7" ht="24.75" customHeight="1" thickBot="1">
      <c r="A41" s="805" t="s">
        <v>1606</v>
      </c>
      <c r="B41" s="802"/>
      <c r="C41" s="3811"/>
      <c r="D41" s="1446" t="s">
        <v>1551</v>
      </c>
      <c r="E41" s="802"/>
      <c r="F41" s="805" t="s">
        <v>1607</v>
      </c>
      <c r="G41" s="802"/>
    </row>
    <row r="42" spans="1:7">
      <c r="A42" s="806" t="s">
        <v>1608</v>
      </c>
      <c r="B42" s="2629"/>
      <c r="C42" s="3799" t="s">
        <v>1608</v>
      </c>
      <c r="D42" s="3800"/>
      <c r="E42" s="2629"/>
      <c r="F42" s="803" t="s">
        <v>1609</v>
      </c>
      <c r="G42" s="2629"/>
    </row>
    <row r="43" spans="1:7">
      <c r="A43" s="821" t="s">
        <v>1610</v>
      </c>
      <c r="B43" s="2630"/>
      <c r="C43" s="1455"/>
      <c r="D43" s="2617"/>
      <c r="E43" s="2630"/>
      <c r="F43" s="821"/>
      <c r="G43" s="2630"/>
    </row>
    <row r="44" spans="1:7">
      <c r="A44" s="821" t="s">
        <v>1564</v>
      </c>
      <c r="B44" s="822"/>
      <c r="C44" s="1455"/>
      <c r="D44" s="1521" t="s">
        <v>1564</v>
      </c>
      <c r="E44" s="822"/>
      <c r="F44" s="821" t="s">
        <v>1564</v>
      </c>
      <c r="G44" s="822"/>
    </row>
    <row r="45" spans="1:7">
      <c r="A45" s="821" t="s">
        <v>1565</v>
      </c>
      <c r="B45" s="822"/>
      <c r="C45" s="1455"/>
      <c r="D45" s="2617" t="s">
        <v>1565</v>
      </c>
      <c r="E45" s="822"/>
      <c r="F45" s="821" t="s">
        <v>1565</v>
      </c>
      <c r="G45" s="822"/>
    </row>
    <row r="46" spans="1:7">
      <c r="A46" s="821" t="s">
        <v>1566</v>
      </c>
      <c r="B46" s="822"/>
      <c r="C46" s="1455"/>
      <c r="D46" s="2617" t="s">
        <v>1566</v>
      </c>
      <c r="E46" s="822"/>
      <c r="F46" s="821" t="s">
        <v>1566</v>
      </c>
      <c r="G46" s="822"/>
    </row>
    <row r="47" spans="1:7">
      <c r="A47" s="821" t="s">
        <v>1567</v>
      </c>
      <c r="B47" s="822"/>
      <c r="C47" s="1455"/>
      <c r="D47" s="2617" t="s">
        <v>1567</v>
      </c>
      <c r="E47" s="822"/>
      <c r="F47" s="821" t="s">
        <v>1567</v>
      </c>
      <c r="G47" s="822"/>
    </row>
    <row r="48" spans="1:7">
      <c r="A48" s="821"/>
      <c r="B48" s="822"/>
      <c r="C48" s="1455"/>
      <c r="D48" s="2617"/>
      <c r="E48" s="822"/>
      <c r="F48" s="821"/>
      <c r="G48" s="822"/>
    </row>
    <row r="49" spans="1:66" ht="13.5" thickBot="1">
      <c r="A49" s="805" t="s">
        <v>1611</v>
      </c>
      <c r="B49" s="802"/>
      <c r="C49" s="3801" t="s">
        <v>1611</v>
      </c>
      <c r="D49" s="3802"/>
      <c r="E49" s="820"/>
      <c r="F49" s="805" t="s">
        <v>1612</v>
      </c>
      <c r="G49" s="802"/>
    </row>
    <row r="50" spans="1:66">
      <c r="A50" s="804" t="s">
        <v>1613</v>
      </c>
      <c r="B50" s="819"/>
      <c r="C50" s="3803" t="s">
        <v>1614</v>
      </c>
      <c r="D50" s="3804"/>
      <c r="E50" s="2631"/>
      <c r="F50" s="837"/>
      <c r="G50" s="838"/>
    </row>
    <row r="51" spans="1:66" ht="13.5" thickBot="1">
      <c r="A51" s="804" t="s">
        <v>1615</v>
      </c>
      <c r="B51" s="819"/>
      <c r="C51" s="3811" t="s">
        <v>1616</v>
      </c>
      <c r="D51" s="3814"/>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9"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831" t="s">
        <v>0</v>
      </c>
      <c r="B1" s="3831" t="s">
        <v>2</v>
      </c>
      <c r="C1" s="3831" t="s">
        <v>3</v>
      </c>
      <c r="D1" s="3832" t="s">
        <v>67</v>
      </c>
      <c r="E1" s="3832" t="s">
        <v>68</v>
      </c>
      <c r="F1" s="3832"/>
      <c r="G1" s="3832"/>
      <c r="H1" s="3832"/>
      <c r="I1" s="3832"/>
      <c r="J1" s="3832"/>
      <c r="K1" s="3832"/>
      <c r="L1" s="3832"/>
      <c r="M1" s="3832"/>
    </row>
    <row r="2" spans="1:13" ht="27" customHeight="1">
      <c r="A2" s="3831"/>
      <c r="B2" s="3831"/>
      <c r="C2" s="3831"/>
      <c r="D2" s="3832"/>
      <c r="E2" s="3832" t="s">
        <v>51</v>
      </c>
      <c r="F2" s="3832" t="s">
        <v>52</v>
      </c>
      <c r="G2" s="3832"/>
      <c r="H2" s="3832"/>
      <c r="I2" s="3832"/>
      <c r="J2" s="3832" t="s">
        <v>53</v>
      </c>
      <c r="K2" s="3832"/>
      <c r="L2" s="3832"/>
      <c r="M2" s="3832"/>
    </row>
    <row r="3" spans="1:13" ht="28.5">
      <c r="A3" s="3831"/>
      <c r="B3" s="3831"/>
      <c r="C3" s="3831"/>
      <c r="D3" s="3832"/>
      <c r="E3" s="3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832" t="s">
        <v>69</v>
      </c>
      <c r="B9" s="3832"/>
      <c r="C9" s="3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8" customWidth="1"/>
    <col min="2" max="2" width="16.75" style="2633" customWidth="1"/>
    <col min="3" max="3" width="18.25" style="2674" customWidth="1"/>
    <col min="4" max="4" width="34.125" style="2689" customWidth="1"/>
    <col min="5" max="5" width="17.625" style="2689" customWidth="1"/>
    <col min="6" max="6" width="15.5" style="2632"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3"/>
  </cols>
  <sheetData>
    <row r="1" spans="1:41" ht="19.5" thickBot="1">
      <c r="A1" s="2921" t="s">
        <v>1618</v>
      </c>
      <c r="B1" s="947"/>
      <c r="D1" s="2632"/>
      <c r="E1" s="2632"/>
    </row>
    <row r="2" spans="1:41" s="2636" customFormat="1" ht="15.75" thickBot="1">
      <c r="A2" s="2922" t="s">
        <v>1619</v>
      </c>
      <c r="B2" s="2923">
        <f>项目基本情况!D2</f>
        <v>42558</v>
      </c>
      <c r="C2" s="1684"/>
      <c r="D2" s="3833" t="s">
        <v>1620</v>
      </c>
      <c r="E2" s="2634"/>
      <c r="F2" s="2635"/>
      <c r="G2" s="2968"/>
      <c r="H2" s="2968"/>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834"/>
      <c r="E3" s="2638"/>
      <c r="F3" s="2635"/>
      <c r="G3" s="2968"/>
      <c r="H3" s="2968"/>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2890</v>
      </c>
      <c r="C4" s="1684"/>
      <c r="D4" s="3834"/>
      <c r="E4" s="2638"/>
      <c r="F4" s="2635"/>
      <c r="G4" s="2968"/>
      <c r="H4" s="2968"/>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459.68</v>
      </c>
      <c r="C5" s="1684"/>
      <c r="D5" s="2924" t="s">
        <v>1624</v>
      </c>
      <c r="E5" s="2641"/>
      <c r="F5" s="2635"/>
      <c r="G5" s="2968"/>
      <c r="H5" s="2968"/>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4" t="s">
        <v>1626</v>
      </c>
      <c r="E6" s="2641"/>
      <c r="F6" s="2635"/>
      <c r="G6" s="2968"/>
      <c r="H6" s="2968"/>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70"/>
      <c r="D7" s="2971"/>
      <c r="E7" s="2971"/>
      <c r="F7" s="2968"/>
      <c r="G7" s="2968"/>
      <c r="H7" s="2968"/>
    </row>
    <row r="8" spans="1:41" s="1684" customFormat="1" ht="15" hidden="1">
      <c r="A8" s="2970"/>
      <c r="D8" s="2971"/>
      <c r="E8" s="2971"/>
      <c r="F8" s="2968"/>
      <c r="G8" s="2968"/>
      <c r="H8" s="2968"/>
    </row>
    <row r="9" spans="1:41" s="1684" customFormat="1" ht="15" hidden="1" thickBot="1">
      <c r="C9" s="3090"/>
      <c r="D9" s="2968"/>
      <c r="E9" s="2968"/>
      <c r="F9" s="2968"/>
      <c r="G9" s="2968"/>
      <c r="H9" s="2968"/>
    </row>
    <row r="10" spans="1:41" s="2636" customFormat="1" ht="15" thickBot="1">
      <c r="A10" s="2925" t="s">
        <v>1627</v>
      </c>
      <c r="B10" s="2645" t="s">
        <v>2917</v>
      </c>
      <c r="C10" s="1684"/>
      <c r="D10" s="2922" t="s">
        <v>1628</v>
      </c>
      <c r="E10" s="2926" t="s">
        <v>1629</v>
      </c>
      <c r="F10" s="3091" t="s">
        <v>2835</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7" t="s">
        <v>1630</v>
      </c>
      <c r="B11" s="2647">
        <v>50</v>
      </c>
      <c r="C11" s="1684"/>
      <c r="D11" s="2928" t="s">
        <v>1631</v>
      </c>
      <c r="E11" s="2648">
        <v>160</v>
      </c>
      <c r="F11" s="1312" t="s">
        <v>1632</v>
      </c>
      <c r="G11" s="1684"/>
      <c r="H11" s="1684"/>
      <c r="I11" s="1684"/>
      <c r="J11" s="1684"/>
      <c r="K11" s="1684"/>
      <c r="L11" s="2710"/>
      <c r="M11" s="2710"/>
      <c r="N11" s="2710"/>
      <c r="O11" s="2710"/>
      <c r="P11" s="2710"/>
      <c r="Q11" s="2710"/>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9" t="s">
        <v>1633</v>
      </c>
      <c r="B12" s="2650">
        <v>55652</v>
      </c>
      <c r="C12" s="1684"/>
      <c r="D12" s="2929" t="s">
        <v>1634</v>
      </c>
      <c r="E12" s="2651">
        <v>200</v>
      </c>
      <c r="F12" s="1311"/>
      <c r="G12" s="1684"/>
      <c r="H12" s="1684">
        <v>4.6399999999999997</v>
      </c>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30" t="s">
        <v>1635</v>
      </c>
      <c r="B13" s="2931">
        <f>IF(B12="",B11-(YEAR($B$2)-B27+B24),ROUNDDOWN(MIN((B12-$B$2)/365,B11),2))</f>
        <v>35.869999999999997</v>
      </c>
      <c r="C13" s="2966"/>
      <c r="D13" s="2932" t="s">
        <v>1636</v>
      </c>
      <c r="E13" s="2652">
        <f>E12*B5</f>
        <v>91936</v>
      </c>
      <c r="F13" s="3158" t="s">
        <v>2892</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9" t="s">
        <v>1637</v>
      </c>
      <c r="B14" s="2933">
        <f>IF(ISERROR(ROUND(POWER(1+B15,B11-B13)*(POWER(1+B15,B13)-1)/(POWER(1+B15,B11)-1),3)),0,ROUND(POWER(1+B15,B11-B13)*(POWER(1+B15,B13)-1)/(POWER(1+B15,B11)-1),3))</f>
        <v>0.89300000000000002</v>
      </c>
      <c r="C14" s="1684"/>
      <c r="D14" s="2934" t="s">
        <v>1638</v>
      </c>
      <c r="E14" s="2653">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9" t="s">
        <v>1639</v>
      </c>
      <c r="B15" s="2654">
        <v>4.4999999999999998E-2</v>
      </c>
      <c r="C15" s="2562" t="s">
        <v>2836</v>
      </c>
      <c r="D15" s="2929" t="s">
        <v>1640</v>
      </c>
      <c r="E15" s="2935">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9" t="s">
        <v>1641</v>
      </c>
      <c r="B16" s="2654">
        <v>0.05</v>
      </c>
      <c r="C16" s="2562" t="s">
        <v>2837</v>
      </c>
      <c r="D16" s="2936" t="s">
        <v>1642</v>
      </c>
      <c r="E16" s="2655">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6" t="s">
        <v>2834</v>
      </c>
      <c r="B17" s="3089">
        <v>5.5E-2</v>
      </c>
      <c r="C17" s="2562" t="s">
        <v>2838</v>
      </c>
      <c r="D17" s="2925" t="s">
        <v>1644</v>
      </c>
      <c r="E17" s="2656">
        <v>5500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7" t="s">
        <v>1643</v>
      </c>
      <c r="B18" s="3097">
        <v>7.0000000000000007E-2</v>
      </c>
      <c r="C18" s="1684"/>
      <c r="D18" s="2938" t="str">
        <f>IF(B26=0,"建安总额","在建建安")</f>
        <v>建安总额</v>
      </c>
      <c r="E18" s="2939">
        <f>ROUND(B5*E17*IF(B26=0,1,E20),0)</f>
        <v>2528240</v>
      </c>
      <c r="F18" s="2657">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8" t="str">
        <f>IF(B26=0,"——","续建建安")</f>
        <v>——</v>
      </c>
      <c r="E19" s="2939" t="str">
        <f>IF(B26=0,"——",ROUND(B5*E17*(1-E20),0))</f>
        <v>——</v>
      </c>
      <c r="F19" s="2657"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40" t="s">
        <v>1645</v>
      </c>
      <c r="B20" s="1311"/>
      <c r="C20" s="1684"/>
      <c r="D20" s="2942" t="str">
        <f>IF(B26=0,"成新率","工程进度")</f>
        <v>成新率</v>
      </c>
      <c r="E20" s="2659">
        <f>1-(2016-2004)/60</f>
        <v>0.8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41" t="s">
        <v>1646</v>
      </c>
      <c r="B21" s="2658">
        <v>0</v>
      </c>
      <c r="C21" s="1684"/>
      <c r="D21" s="2929" t="s">
        <v>1648</v>
      </c>
      <c r="E21" s="2661">
        <v>0.05</v>
      </c>
      <c r="F21" s="2672" t="s">
        <v>2844</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3" t="s">
        <v>1647</v>
      </c>
      <c r="B22" s="2660">
        <v>2</v>
      </c>
      <c r="C22" s="1684"/>
      <c r="D22" s="2929" t="s">
        <v>1650</v>
      </c>
      <c r="E22" s="2664"/>
      <c r="F22" s="2672" t="s">
        <v>2842</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4" t="s">
        <v>1649</v>
      </c>
      <c r="B23" s="2663">
        <v>2</v>
      </c>
      <c r="C23" s="1684"/>
      <c r="D23" s="2929" t="s">
        <v>1652</v>
      </c>
      <c r="E23" s="2651">
        <v>300</v>
      </c>
      <c r="F23" s="2672"/>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5" t="s">
        <v>1651</v>
      </c>
      <c r="B24" s="2946">
        <f>B21+B22</f>
        <v>2</v>
      </c>
      <c r="C24" s="1684"/>
      <c r="D24" s="2936" t="s">
        <v>1654</v>
      </c>
      <c r="E24" s="2665">
        <v>1.4999999999999999E-2</v>
      </c>
      <c r="F24" s="2672" t="s">
        <v>2845</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7" t="s">
        <v>1653</v>
      </c>
      <c r="B25" s="2948">
        <f>B21+B23</f>
        <v>2</v>
      </c>
      <c r="C25" s="1684"/>
      <c r="D25" s="2928" t="s">
        <v>1656</v>
      </c>
      <c r="E25" s="2661">
        <v>0.03</v>
      </c>
      <c r="F25" s="2672" t="s">
        <v>2843</v>
      </c>
      <c r="I25" s="2967"/>
    </row>
    <row r="26" spans="1:41" ht="15" thickBot="1">
      <c r="A26" s="2945" t="s">
        <v>1655</v>
      </c>
      <c r="B26" s="2949">
        <f>B22-B23</f>
        <v>0</v>
      </c>
      <c r="D26" s="2929" t="s">
        <v>1658</v>
      </c>
      <c r="E26" s="2664">
        <v>0.05</v>
      </c>
      <c r="F26" s="2672" t="s">
        <v>2843</v>
      </c>
      <c r="G26" s="2968"/>
      <c r="H26" s="2968"/>
      <c r="I26" s="1684"/>
      <c r="J26" s="1684"/>
      <c r="K26" s="1684"/>
      <c r="L26" s="1684"/>
      <c r="M26" s="1684"/>
      <c r="N26" s="1684"/>
    </row>
    <row r="27" spans="1:41" ht="15.75" thickBot="1">
      <c r="A27" s="2950" t="s">
        <v>1657</v>
      </c>
      <c r="B27" s="2666">
        <v>2004</v>
      </c>
      <c r="C27" s="1684"/>
      <c r="D27" s="3153" t="s">
        <v>2952</v>
      </c>
      <c r="E27" s="2951">
        <f ca="1">IF(D27="利息：取LPR",存贷款利率!G1,存贷款利率!G1+F27)</f>
        <v>4.7500000000000001E-2</v>
      </c>
      <c r="F27" s="3154">
        <v>1.0999999999999999E-2</v>
      </c>
      <c r="G27" s="2968"/>
      <c r="H27" s="2968"/>
      <c r="K27" s="1684"/>
      <c r="N27" s="1684"/>
    </row>
    <row r="28" spans="1:41" ht="15" thickBot="1">
      <c r="A28" s="947"/>
      <c r="B28" s="947"/>
      <c r="D28" s="2932" t="s">
        <v>1660</v>
      </c>
      <c r="E28" s="2668">
        <v>0.15</v>
      </c>
      <c r="G28" s="2968"/>
      <c r="H28" s="2968"/>
      <c r="K28" s="1684"/>
      <c r="N28" s="1684"/>
    </row>
    <row r="29" spans="1:41" ht="14.25">
      <c r="A29" s="2952" t="s">
        <v>1659</v>
      </c>
      <c r="B29" s="2667" t="s">
        <v>2891</v>
      </c>
      <c r="D29" s="2934" t="s">
        <v>1661</v>
      </c>
      <c r="E29" s="2953">
        <f>E30+E31</f>
        <v>5.6000000000000001E-2</v>
      </c>
      <c r="F29" s="1310"/>
      <c r="G29" s="2968"/>
      <c r="H29" s="2968"/>
      <c r="K29" s="1684"/>
      <c r="N29" s="1684"/>
    </row>
    <row r="30" spans="1:41" ht="14.25">
      <c r="A30" s="2929" t="str">
        <f>IF(B29="租赁期内按合同租金","合同租金","市场租金")</f>
        <v>市场租金</v>
      </c>
      <c r="B30" s="2669"/>
      <c r="D30" s="2936" t="s">
        <v>1663</v>
      </c>
      <c r="E30" s="2670">
        <v>0.05</v>
      </c>
      <c r="F30" s="2955">
        <f>IF(B2&lt;DATE(2016,5,1),0,E30)</f>
        <v>0.05</v>
      </c>
      <c r="G30" s="2968"/>
      <c r="H30" s="2968"/>
      <c r="K30" s="1684"/>
      <c r="N30" s="1684"/>
    </row>
    <row r="31" spans="1:41" ht="14.25">
      <c r="A31" s="2929" t="s">
        <v>1662</v>
      </c>
      <c r="B31" s="2954">
        <f ca="1">存贷款利率!I1</f>
        <v>1.4999999999999999E-2</v>
      </c>
      <c r="D31" s="2936" t="s">
        <v>1665</v>
      </c>
      <c r="E31" s="2956">
        <f>E30*(E32+E33+E34)+E35</f>
        <v>6.000000000000001E-3</v>
      </c>
      <c r="F31" s="1310"/>
      <c r="G31" s="2968"/>
      <c r="H31" s="2968"/>
      <c r="K31" s="1684"/>
      <c r="N31" s="1684"/>
    </row>
    <row r="32" spans="1:41" ht="14.25">
      <c r="A32" s="2929" t="s">
        <v>1664</v>
      </c>
      <c r="B32" s="2654">
        <v>0.03</v>
      </c>
      <c r="D32" s="2936" t="s">
        <v>1667</v>
      </c>
      <c r="E32" s="2671">
        <v>7.0000000000000007E-2</v>
      </c>
      <c r="F32" s="2672" t="s">
        <v>2729</v>
      </c>
      <c r="G32" s="2968"/>
      <c r="H32" s="2968"/>
      <c r="K32" s="1684"/>
      <c r="L32" s="1684"/>
      <c r="M32" s="1684"/>
      <c r="N32" s="1684"/>
    </row>
    <row r="33" spans="1:14" ht="14.25">
      <c r="A33" s="2929" t="s">
        <v>1666</v>
      </c>
      <c r="B33" s="2654">
        <v>0.1</v>
      </c>
      <c r="D33" s="2936" t="s">
        <v>1669</v>
      </c>
      <c r="E33" s="2670">
        <v>0.03</v>
      </c>
      <c r="F33" s="1309" t="s">
        <v>1670</v>
      </c>
      <c r="G33" s="2968"/>
      <c r="H33" s="2968"/>
      <c r="K33" s="1684"/>
      <c r="L33" s="1684"/>
      <c r="M33" s="1684"/>
      <c r="N33" s="1684"/>
    </row>
    <row r="34" spans="1:14" s="2674" customFormat="1" ht="14.25">
      <c r="A34" s="2929" t="s">
        <v>1668</v>
      </c>
      <c r="B34" s="2957">
        <f>收益法!J54</f>
        <v>35.869999999999997</v>
      </c>
      <c r="D34" s="2936" t="s">
        <v>1671</v>
      </c>
      <c r="E34" s="2670">
        <v>0.02</v>
      </c>
      <c r="F34" s="1309" t="s">
        <v>1672</v>
      </c>
      <c r="G34" s="2968"/>
      <c r="H34" s="2968"/>
      <c r="I34" s="1684"/>
      <c r="J34" s="1684"/>
      <c r="K34" s="1684"/>
      <c r="L34" s="1684"/>
      <c r="M34" s="1684"/>
      <c r="N34" s="1684"/>
    </row>
    <row r="35" spans="1:14" s="2674" customFormat="1" ht="15" thickBot="1">
      <c r="A35" s="2936" t="str">
        <f>IF(B29="租赁期内按合同租金","剩余租赁期","——")</f>
        <v>——</v>
      </c>
      <c r="B35" s="2673"/>
      <c r="D35" s="2932" t="s">
        <v>1674</v>
      </c>
      <c r="E35" s="2676"/>
      <c r="F35" s="1312" t="s">
        <v>1675</v>
      </c>
      <c r="G35" s="2968"/>
      <c r="H35" s="2968"/>
      <c r="I35" s="1684"/>
      <c r="J35" s="1684"/>
      <c r="K35" s="1684"/>
      <c r="L35" s="1684"/>
      <c r="M35" s="1684"/>
      <c r="N35" s="1684"/>
    </row>
    <row r="36" spans="1:14" s="2674" customFormat="1" ht="15">
      <c r="A36" s="2958" t="s">
        <v>1673</v>
      </c>
      <c r="B36" s="2959"/>
      <c r="D36" s="2960" t="s">
        <v>1676</v>
      </c>
      <c r="E36" s="2678">
        <v>0.03</v>
      </c>
      <c r="F36" s="1311" t="s">
        <v>1677</v>
      </c>
      <c r="G36" s="2968"/>
      <c r="H36" s="2968"/>
      <c r="I36" s="1684"/>
      <c r="J36" s="1684"/>
      <c r="K36" s="1684"/>
      <c r="L36" s="1684"/>
      <c r="M36" s="1684"/>
      <c r="N36" s="1684"/>
    </row>
    <row r="37" spans="1:14" s="2674" customFormat="1" ht="15" thickBot="1">
      <c r="A37" s="2934" t="str">
        <f>IF(B29="租赁期内按合同租金","租金","——")</f>
        <v>——</v>
      </c>
      <c r="B37" s="2677"/>
      <c r="D37" s="2936" t="s">
        <v>1678</v>
      </c>
      <c r="E37" s="2670">
        <v>5.0000000000000001E-4</v>
      </c>
      <c r="F37" s="1311" t="s">
        <v>1679</v>
      </c>
      <c r="G37" s="2968"/>
      <c r="H37" s="2968"/>
      <c r="I37" s="1684"/>
      <c r="J37" s="1684"/>
      <c r="K37" s="1684"/>
      <c r="L37" s="1684"/>
      <c r="M37" s="1684"/>
      <c r="N37" s="1684"/>
    </row>
    <row r="38" spans="1:14" s="2674" customFormat="1" ht="14.25">
      <c r="A38" s="2929" t="str">
        <f>IF(B29="租赁期内按合同租金","年租金增长率","——")</f>
        <v>——</v>
      </c>
      <c r="B38" s="2654"/>
      <c r="D38" s="2961" t="s">
        <v>1680</v>
      </c>
      <c r="E38" s="2962">
        <v>1.2E-2</v>
      </c>
      <c r="F38" s="1311"/>
      <c r="G38" s="2967"/>
      <c r="H38" s="2967"/>
      <c r="I38" s="2968"/>
      <c r="J38" s="1684"/>
      <c r="K38" s="1684"/>
      <c r="L38" s="1684"/>
      <c r="M38" s="1684"/>
      <c r="N38" s="1684"/>
    </row>
    <row r="39" spans="1:14" s="2674" customFormat="1" ht="15" thickBot="1">
      <c r="A39" s="2929" t="str">
        <f>IF(B29="租赁期内按合同租金","空置率","——")</f>
        <v>——</v>
      </c>
      <c r="B39" s="2654"/>
      <c r="D39" s="2932" t="s">
        <v>1681</v>
      </c>
      <c r="E39" s="2963">
        <v>0.12</v>
      </c>
      <c r="F39" s="1311"/>
      <c r="G39" s="2968"/>
      <c r="H39" s="2968"/>
      <c r="I39" s="1684"/>
      <c r="J39" s="1684"/>
      <c r="K39" s="1684"/>
      <c r="L39" s="1684"/>
      <c r="M39" s="1684"/>
      <c r="N39" s="1684"/>
    </row>
    <row r="40" spans="1:14" ht="14.25">
      <c r="A40" s="2929" t="str">
        <f>IF(B29="租赁期内按合同租金","成新率","——")</f>
        <v>——</v>
      </c>
      <c r="B40" s="2654"/>
      <c r="D40" s="2961" t="s">
        <v>1682</v>
      </c>
      <c r="E40" s="2965">
        <f>SUMIF(D42:D51,E41,E42:E51)</f>
        <v>0</v>
      </c>
      <c r="F40" s="1311"/>
      <c r="G40" s="2968"/>
      <c r="H40" s="2968"/>
      <c r="I40" s="1684"/>
      <c r="J40" s="1684"/>
      <c r="K40" s="1684"/>
      <c r="L40" s="1684"/>
      <c r="M40" s="1684"/>
      <c r="N40" s="1684"/>
    </row>
    <row r="41" spans="1:14" ht="15" thickBot="1">
      <c r="A41" s="2936" t="str">
        <f>IF(B29="租赁期内按合同租金","租赁期外收益期","——")</f>
        <v>——</v>
      </c>
      <c r="B41" s="2964" t="str">
        <f>IF(B29="租赁期内按合同租金",B34-B35,"——")</f>
        <v>——</v>
      </c>
      <c r="D41" s="2929" t="s">
        <v>1684</v>
      </c>
      <c r="E41" s="2680" t="s">
        <v>70</v>
      </c>
      <c r="F41" s="1311" t="s">
        <v>1685</v>
      </c>
      <c r="G41" s="1771" t="s">
        <v>1686</v>
      </c>
      <c r="H41" s="2968"/>
      <c r="I41" s="1684"/>
      <c r="J41" s="1684"/>
      <c r="K41" s="1684"/>
      <c r="L41" s="1684"/>
      <c r="M41" s="1684"/>
      <c r="N41" s="1684"/>
    </row>
    <row r="42" spans="1:14" ht="14.25">
      <c r="A42" s="2928" t="s">
        <v>1683</v>
      </c>
      <c r="B42" s="2679">
        <v>1</v>
      </c>
      <c r="D42" s="2682" t="s">
        <v>1688</v>
      </c>
      <c r="E42" s="2669"/>
      <c r="F42" s="1311">
        <v>30</v>
      </c>
      <c r="G42" s="2968"/>
      <c r="H42" s="2968"/>
      <c r="I42" s="1684"/>
      <c r="J42" s="1684"/>
      <c r="K42" s="1684"/>
      <c r="L42" s="1684"/>
      <c r="M42" s="1684"/>
      <c r="N42" s="1684"/>
    </row>
    <row r="43" spans="1:14" ht="14.25">
      <c r="A43" s="2929" t="s">
        <v>1687</v>
      </c>
      <c r="B43" s="2681">
        <v>365</v>
      </c>
      <c r="D43" s="2682" t="s">
        <v>1690</v>
      </c>
      <c r="E43" s="2669"/>
      <c r="F43" s="1311">
        <v>24</v>
      </c>
      <c r="G43" s="2968"/>
      <c r="H43" s="2968"/>
      <c r="I43" s="1684"/>
      <c r="J43" s="1684"/>
      <c r="K43" s="1684"/>
      <c r="L43" s="1684"/>
      <c r="M43" s="1684"/>
      <c r="N43" s="1684"/>
    </row>
    <row r="44" spans="1:14" ht="14.25">
      <c r="A44" s="2929" t="s">
        <v>1689</v>
      </c>
      <c r="B44" s="2669"/>
      <c r="D44" s="2682" t="s">
        <v>1692</v>
      </c>
      <c r="E44" s="2669"/>
      <c r="F44" s="1311">
        <v>18</v>
      </c>
      <c r="G44" s="2674"/>
      <c r="H44" s="2674"/>
      <c r="I44" s="2968"/>
      <c r="J44" s="1684"/>
      <c r="K44" s="1684"/>
      <c r="L44" s="1684"/>
      <c r="M44" s="1684"/>
      <c r="N44" s="1684"/>
    </row>
    <row r="45" spans="1:14" ht="14.25">
      <c r="A45" s="2929" t="s">
        <v>1691</v>
      </c>
      <c r="B45" s="2683">
        <v>1.4999999999999999E-2</v>
      </c>
      <c r="C45" s="2562" t="s">
        <v>2841</v>
      </c>
      <c r="D45" s="2682" t="s">
        <v>1694</v>
      </c>
      <c r="E45" s="2669"/>
      <c r="F45" s="1311">
        <v>12</v>
      </c>
      <c r="G45" s="2674"/>
      <c r="H45" s="2674"/>
      <c r="M45" s="1684"/>
      <c r="N45" s="1684"/>
    </row>
    <row r="46" spans="1:14" ht="14.25">
      <c r="A46" s="2929" t="s">
        <v>1693</v>
      </c>
      <c r="B46" s="2684">
        <v>1.5E-3</v>
      </c>
      <c r="C46" s="2562" t="s">
        <v>2839</v>
      </c>
      <c r="D46" s="2682" t="s">
        <v>1457</v>
      </c>
      <c r="E46" s="2669"/>
      <c r="F46" s="1311">
        <v>3</v>
      </c>
      <c r="G46" s="2674"/>
      <c r="H46" s="2674"/>
      <c r="M46" s="1684"/>
      <c r="N46" s="1684"/>
    </row>
    <row r="47" spans="1:14" ht="15" thickBot="1">
      <c r="A47" s="2932" t="s">
        <v>1695</v>
      </c>
      <c r="B47" s="2685">
        <v>0.01</v>
      </c>
      <c r="C47" s="2562" t="s">
        <v>2840</v>
      </c>
      <c r="D47" s="2682" t="s">
        <v>1696</v>
      </c>
      <c r="E47" s="2669"/>
      <c r="F47" s="1311">
        <v>1.5</v>
      </c>
      <c r="G47" s="2674"/>
      <c r="H47" s="2674"/>
      <c r="M47" s="1684"/>
      <c r="N47" s="1684"/>
    </row>
    <row r="48" spans="1:14" ht="14.25">
      <c r="A48" s="2674"/>
      <c r="B48" s="2674"/>
      <c r="D48" s="2682" t="s">
        <v>1697</v>
      </c>
      <c r="E48" s="2669"/>
      <c r="F48" s="1311"/>
      <c r="G48" s="2674"/>
      <c r="H48" s="2674"/>
      <c r="M48" s="1684"/>
      <c r="N48" s="1684"/>
    </row>
    <row r="49" spans="1:41" ht="14.25">
      <c r="A49" s="2674"/>
      <c r="B49" s="2674"/>
      <c r="D49" s="2682" t="s">
        <v>1698</v>
      </c>
      <c r="E49" s="2669"/>
      <c r="F49" s="1311"/>
      <c r="G49" s="2674"/>
      <c r="H49" s="2674"/>
      <c r="M49" s="1684"/>
      <c r="N49" s="1684"/>
    </row>
    <row r="50" spans="1:41" ht="14.25">
      <c r="A50" s="2674"/>
      <c r="B50" s="2674"/>
      <c r="D50" s="2682" t="s">
        <v>1699</v>
      </c>
      <c r="E50" s="2669"/>
      <c r="F50" s="1311"/>
      <c r="G50" s="2674"/>
      <c r="H50" s="2674"/>
      <c r="M50" s="1684"/>
      <c r="N50" s="1684"/>
    </row>
    <row r="51" spans="1:41" s="947" customFormat="1" ht="15" thickBot="1">
      <c r="A51" s="2674"/>
      <c r="B51" s="2674"/>
      <c r="C51" s="2674"/>
      <c r="D51" s="2686" t="s">
        <v>1700</v>
      </c>
      <c r="E51" s="2687"/>
      <c r="F51" s="1311"/>
      <c r="G51" s="2674"/>
      <c r="H51" s="2674"/>
      <c r="I51" s="2674"/>
      <c r="J51" s="2674"/>
      <c r="K51" s="2674"/>
      <c r="L51" s="2674"/>
      <c r="M51" s="1684"/>
      <c r="N51" s="1684"/>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4"/>
      <c r="J52" s="1684"/>
      <c r="K52" s="1684"/>
      <c r="L52" s="1684"/>
      <c r="M52" s="1684"/>
      <c r="N52" s="1684"/>
    </row>
    <row r="53" spans="1:41" s="2674" customFormat="1" ht="14.25">
      <c r="D53" s="2968"/>
      <c r="E53" s="2968"/>
      <c r="F53" s="2968"/>
      <c r="G53" s="2968"/>
      <c r="H53" s="2968"/>
      <c r="I53" s="1684"/>
      <c r="J53" s="1684"/>
      <c r="K53" s="1684"/>
      <c r="L53" s="1684"/>
      <c r="M53" s="1684"/>
      <c r="N53" s="1684"/>
    </row>
    <row r="54" spans="1:41" s="2674" customFormat="1" ht="14.25">
      <c r="D54" s="2968"/>
      <c r="E54" s="2968"/>
      <c r="F54" s="2968"/>
      <c r="G54" s="2968"/>
      <c r="H54" s="2968"/>
      <c r="I54" s="1684"/>
      <c r="J54" s="1684"/>
      <c r="K54" s="1684"/>
      <c r="L54" s="1684"/>
      <c r="M54" s="1684"/>
      <c r="N54" s="1684"/>
    </row>
    <row r="55" spans="1:41" s="2674" customFormat="1" ht="14.25">
      <c r="D55" s="2968"/>
      <c r="E55" s="2968"/>
      <c r="F55" s="2968"/>
      <c r="G55" s="2968"/>
      <c r="H55" s="2968"/>
      <c r="I55" s="1684"/>
      <c r="J55" s="1684"/>
      <c r="K55" s="1684"/>
      <c r="L55" s="1684"/>
      <c r="M55" s="1684"/>
      <c r="N55" s="1684"/>
    </row>
    <row r="56" spans="1:41" s="2674" customFormat="1" ht="14.25">
      <c r="D56" s="2968"/>
      <c r="E56" s="2968"/>
      <c r="F56" s="2968"/>
      <c r="G56" s="2968"/>
      <c r="H56" s="2968"/>
      <c r="I56" s="1684"/>
      <c r="J56" s="1684"/>
      <c r="K56" s="1684"/>
      <c r="L56" s="1684"/>
      <c r="M56" s="1684"/>
      <c r="N56" s="1684"/>
    </row>
    <row r="57" spans="1:41" s="2674" customFormat="1" ht="14.25">
      <c r="D57" s="2968"/>
      <c r="E57" s="2968"/>
      <c r="F57" s="2968"/>
      <c r="G57" s="2968"/>
      <c r="H57" s="2968"/>
      <c r="I57" s="1684"/>
      <c r="J57" s="1684"/>
      <c r="K57" s="1684"/>
      <c r="L57" s="1684"/>
      <c r="M57" s="1684"/>
      <c r="N57" s="1684"/>
    </row>
    <row r="58" spans="1:41" s="2674" customFormat="1" ht="14.25">
      <c r="D58" s="2968"/>
      <c r="E58" s="2968"/>
      <c r="F58" s="2968"/>
      <c r="G58" s="2968"/>
      <c r="H58" s="2968"/>
      <c r="I58" s="1684"/>
      <c r="J58" s="1684"/>
      <c r="K58" s="1684"/>
      <c r="L58" s="1684"/>
      <c r="M58" s="1684"/>
      <c r="N58" s="1684"/>
    </row>
    <row r="59" spans="1:41" s="2674" customFormat="1" ht="14.25">
      <c r="D59" s="2968"/>
      <c r="E59" s="2968"/>
      <c r="F59" s="2968"/>
      <c r="G59" s="2968"/>
      <c r="H59" s="2968"/>
      <c r="I59" s="1684"/>
      <c r="J59" s="1684"/>
      <c r="K59" s="1684"/>
      <c r="L59" s="1684"/>
      <c r="M59" s="2969"/>
      <c r="N59" s="1684"/>
    </row>
    <row r="60" spans="1:41" s="2674" customFormat="1" ht="14.25">
      <c r="D60" s="2968"/>
      <c r="E60" s="2968"/>
      <c r="F60" s="2968"/>
      <c r="G60" s="2968"/>
      <c r="H60" s="2968"/>
      <c r="I60" s="1684"/>
      <c r="J60" s="1684"/>
      <c r="K60" s="1684"/>
      <c r="L60" s="1684"/>
      <c r="M60" s="1684"/>
      <c r="N60" s="1684"/>
    </row>
    <row r="61" spans="1:41" s="2674" customFormat="1" ht="14.25">
      <c r="D61" s="2968"/>
      <c r="E61" s="2968"/>
      <c r="F61" s="2968"/>
      <c r="G61" s="2968"/>
      <c r="H61" s="2968"/>
      <c r="I61" s="1684"/>
      <c r="J61" s="1684"/>
      <c r="K61" s="1684"/>
      <c r="L61" s="1684"/>
      <c r="M61" s="1684"/>
      <c r="N61" s="1684"/>
    </row>
    <row r="62" spans="1:41" s="2674" customFormat="1" ht="14.25">
      <c r="D62" s="2968"/>
      <c r="E62" s="2968"/>
      <c r="F62" s="2968"/>
      <c r="G62" s="2968"/>
      <c r="H62" s="2968"/>
      <c r="I62" s="1684"/>
      <c r="J62" s="1684"/>
      <c r="K62" s="1684"/>
      <c r="L62" s="1684"/>
      <c r="M62" s="1684"/>
      <c r="N62" s="1684"/>
    </row>
    <row r="63" spans="1:41" s="2674" customFormat="1" ht="14.25">
      <c r="D63" s="2968"/>
      <c r="E63" s="2968"/>
      <c r="F63" s="2968"/>
      <c r="G63" s="2968"/>
      <c r="H63" s="2968"/>
      <c r="I63" s="1684"/>
      <c r="J63" s="1684"/>
      <c r="K63" s="1684"/>
      <c r="L63" s="1684"/>
      <c r="M63" s="1684"/>
      <c r="N63" s="1684"/>
    </row>
    <row r="64" spans="1:41" s="2674" customFormat="1" ht="14.25">
      <c r="D64" s="2968"/>
      <c r="E64" s="2968"/>
      <c r="F64" s="2968"/>
      <c r="G64" s="2968"/>
      <c r="H64" s="2968"/>
      <c r="I64" s="1684"/>
      <c r="J64" s="1684"/>
      <c r="K64" s="1684"/>
      <c r="L64" s="1684"/>
      <c r="M64" s="1684"/>
      <c r="N64" s="1684"/>
    </row>
    <row r="65" spans="1:14" s="2674" customFormat="1" ht="14.25">
      <c r="D65" s="2968"/>
      <c r="E65" s="2968"/>
      <c r="F65" s="2968"/>
      <c r="G65" s="2968"/>
      <c r="H65" s="2968"/>
      <c r="I65" s="1684"/>
      <c r="J65" s="1684"/>
      <c r="K65" s="1684"/>
      <c r="L65" s="1684"/>
      <c r="M65" s="1684"/>
      <c r="N65" s="1684"/>
    </row>
    <row r="66" spans="1:14" s="2674" customFormat="1" ht="14.25">
      <c r="D66" s="2968"/>
      <c r="E66" s="2968"/>
      <c r="F66" s="2968"/>
      <c r="G66" s="2968"/>
      <c r="H66" s="2968"/>
      <c r="I66" s="1684"/>
      <c r="J66" s="1684"/>
      <c r="K66" s="1684"/>
      <c r="L66" s="1684"/>
      <c r="M66" s="1684"/>
      <c r="N66" s="1684"/>
    </row>
    <row r="67" spans="1:14" s="2674" customFormat="1" ht="14.25">
      <c r="A67" s="2972"/>
      <c r="D67" s="2968"/>
      <c r="E67" s="2968"/>
      <c r="F67" s="2968"/>
      <c r="G67" s="2968"/>
      <c r="H67" s="2968"/>
      <c r="I67" s="1684"/>
      <c r="J67" s="1684"/>
      <c r="K67" s="1684"/>
      <c r="L67" s="1684"/>
      <c r="M67" s="1684"/>
      <c r="N67" s="1684"/>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6"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F13" sqref="F13"/>
    </sheetView>
  </sheetViews>
  <sheetFormatPr defaultColWidth="9" defaultRowHeight="14.25"/>
  <cols>
    <col min="1" max="1" width="14.75" style="2636" customWidth="1"/>
    <col min="2" max="2" width="24.5" style="2649" customWidth="1"/>
    <col min="3" max="3" width="28.375" style="2710" customWidth="1"/>
    <col min="4" max="4" width="2.625" style="2710" customWidth="1"/>
    <col min="5" max="5" width="5.875" style="2710" customWidth="1"/>
    <col min="6" max="6" width="27" style="2649"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6"/>
  </cols>
  <sheetData>
    <row r="1" spans="1:29" s="2695" customFormat="1" ht="19.5" thickBot="1">
      <c r="A1" s="3835" t="s">
        <v>1701</v>
      </c>
      <c r="B1" s="3836"/>
      <c r="C1" s="3836"/>
      <c r="D1" s="3836"/>
      <c r="E1" s="3836"/>
      <c r="F1" s="3836"/>
      <c r="G1" s="3836"/>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3.5" thickBot="1">
      <c r="A2" s="3098"/>
      <c r="B2" s="3099"/>
      <c r="C2" s="3100" t="s">
        <v>2846</v>
      </c>
      <c r="D2" s="3101"/>
      <c r="E2" s="3098"/>
      <c r="F2" s="3102"/>
      <c r="G2" s="3100" t="s">
        <v>2847</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36" hidden="1">
      <c r="A3" s="3104" t="s">
        <v>2848</v>
      </c>
      <c r="B3" s="3105" t="s">
        <v>2849</v>
      </c>
      <c r="C3" s="3364" t="s">
        <v>3255</v>
      </c>
      <c r="D3" s="3106"/>
      <c r="E3" s="3107" t="s">
        <v>2848</v>
      </c>
      <c r="F3" s="3108" t="s">
        <v>2850</v>
      </c>
      <c r="G3" s="3109" t="s">
        <v>2851</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24.75" hidden="1">
      <c r="A4" s="3107"/>
      <c r="B4" s="3092" t="s">
        <v>2852</v>
      </c>
      <c r="C4" s="3365" t="s">
        <v>3256</v>
      </c>
      <c r="D4" s="3106"/>
      <c r="E4" s="3110"/>
      <c r="F4" s="3094" t="s">
        <v>2853</v>
      </c>
      <c r="G4" s="3111"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48">
      <c r="A5" s="3107"/>
      <c r="B5" s="3092" t="s">
        <v>2855</v>
      </c>
      <c r="C5" s="3366" t="s">
        <v>3257</v>
      </c>
      <c r="D5" s="3106"/>
      <c r="E5" s="3110"/>
      <c r="F5" s="3092" t="s">
        <v>2856</v>
      </c>
      <c r="G5" s="3111" t="s">
        <v>2857</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60">
      <c r="A6" s="3107"/>
      <c r="B6" s="3092" t="s">
        <v>2858</v>
      </c>
      <c r="C6" s="3367" t="s">
        <v>3258</v>
      </c>
      <c r="D6" s="3106"/>
      <c r="E6" s="3110"/>
      <c r="F6" s="3092" t="s">
        <v>2859</v>
      </c>
      <c r="G6" s="3111" t="s">
        <v>2860</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132.75" thickBot="1">
      <c r="A7" s="3107"/>
      <c r="B7" s="3092" t="s">
        <v>2856</v>
      </c>
      <c r="C7" s="3367" t="s">
        <v>3259</v>
      </c>
      <c r="D7" s="2981"/>
      <c r="E7" s="3112"/>
      <c r="F7" s="3113" t="s">
        <v>2861</v>
      </c>
      <c r="G7" s="3114" t="s">
        <v>2862</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2.75">
      <c r="A8" s="3107"/>
      <c r="B8" s="3092" t="s">
        <v>2859</v>
      </c>
      <c r="C8" s="3367" t="s">
        <v>3260</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48">
      <c r="A9" s="3107"/>
      <c r="B9" s="3092" t="s">
        <v>2863</v>
      </c>
      <c r="C9" s="3366" t="s">
        <v>3261</v>
      </c>
      <c r="D9" s="3106"/>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5"/>
      <c r="B10" s="3096" t="s">
        <v>2864</v>
      </c>
      <c r="C10" s="3368" t="s">
        <v>3262</v>
      </c>
      <c r="D10" s="3106"/>
      <c r="E10" s="3106"/>
      <c r="F10" s="2976"/>
      <c r="G10" s="2976"/>
      <c r="H10" s="1498"/>
      <c r="I10" s="3116"/>
      <c r="J10" s="3117"/>
      <c r="K10" s="1498"/>
      <c r="L10" s="3116"/>
      <c r="M10" s="3117"/>
      <c r="N10" s="1498"/>
      <c r="O10" s="3116"/>
      <c r="P10" s="3117"/>
      <c r="Q10" s="1498"/>
      <c r="R10" s="3116"/>
      <c r="S10" s="3103"/>
      <c r="T10" s="3103"/>
      <c r="U10" s="3103"/>
      <c r="V10" s="3103"/>
      <c r="W10" s="3103"/>
      <c r="X10" s="3103"/>
      <c r="Y10" s="3103"/>
      <c r="Z10" s="3103"/>
      <c r="AA10" s="3103"/>
      <c r="AB10" s="3103"/>
      <c r="AC10" s="3103"/>
    </row>
    <row r="11" spans="1:29" s="2674" customFormat="1" ht="12.75">
      <c r="A11" s="3118"/>
      <c r="B11" s="2981"/>
      <c r="C11" s="3106"/>
      <c r="D11" s="3106"/>
      <c r="E11" s="3106"/>
      <c r="F11" s="2981"/>
      <c r="G11" s="3119"/>
      <c r="H11" s="1498"/>
      <c r="I11" s="3116"/>
      <c r="J11" s="3117"/>
      <c r="K11" s="1498"/>
      <c r="L11" s="3116"/>
      <c r="M11" s="3117"/>
      <c r="N11" s="1498"/>
      <c r="O11" s="3116"/>
      <c r="P11" s="3117"/>
      <c r="Q11" s="1498"/>
      <c r="R11" s="3116"/>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2"/>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1707</v>
      </c>
      <c r="B13" s="2700"/>
      <c r="C13" s="2700"/>
      <c r="D13" s="2696"/>
      <c r="E13" s="2700"/>
      <c r="F13" s="2700"/>
      <c r="G13" s="2700"/>
    </row>
    <row r="14" spans="1:29" s="2633" customFormat="1" ht="13.5" thickBot="1">
      <c r="A14" s="3120"/>
      <c r="B14" s="3120"/>
      <c r="C14" s="3121" t="s">
        <v>2865</v>
      </c>
      <c r="D14" s="3106"/>
      <c r="E14" s="3122"/>
      <c r="F14" s="3122"/>
      <c r="G14" s="3100" t="s">
        <v>2866</v>
      </c>
      <c r="H14" s="3123"/>
      <c r="I14" s="3124"/>
      <c r="J14" s="3123"/>
      <c r="K14" s="3123"/>
      <c r="L14" s="3124"/>
      <c r="M14" s="3123"/>
      <c r="N14" s="3123"/>
      <c r="O14" s="3124"/>
      <c r="P14" s="3123"/>
      <c r="Q14" s="3123"/>
      <c r="R14" s="3125"/>
      <c r="S14" s="3103"/>
      <c r="T14" s="3103"/>
      <c r="U14" s="3103"/>
      <c r="V14" s="3103"/>
      <c r="W14" s="3103"/>
      <c r="X14" s="3103"/>
      <c r="Y14" s="3103"/>
      <c r="Z14" s="3103"/>
      <c r="AA14" s="3103"/>
      <c r="AB14" s="3103"/>
      <c r="AC14" s="3103"/>
    </row>
    <row r="15" spans="1:29" s="2633" customFormat="1" ht="38.25">
      <c r="A15" s="3126" t="s">
        <v>2867</v>
      </c>
      <c r="B15" s="3127" t="s">
        <v>2849</v>
      </c>
      <c r="C15" s="3128" t="str">
        <f>C3</f>
        <v>估价对象周边居住用地比例、居住小区规模和社区发展完善程度，综合评价居住社区成熟度一般</v>
      </c>
      <c r="D15" s="3106"/>
      <c r="E15" s="3129" t="s">
        <v>2868</v>
      </c>
      <c r="F15" s="3127" t="s">
        <v>2869</v>
      </c>
      <c r="G15" s="3130" t="str">
        <f>G3</f>
        <v>估价对象位于XX开发区，园区建设成熟度XX，产业集聚程度XX</v>
      </c>
      <c r="H15" s="3123"/>
      <c r="I15" s="3124"/>
      <c r="J15" s="3123"/>
      <c r="K15" s="3123"/>
      <c r="L15" s="3124"/>
      <c r="M15" s="3123"/>
      <c r="N15" s="3123"/>
      <c r="O15" s="3124"/>
      <c r="P15" s="3123"/>
      <c r="Q15" s="3123"/>
      <c r="R15" s="3125"/>
      <c r="S15" s="3103"/>
      <c r="T15" s="3103"/>
      <c r="U15" s="3103"/>
      <c r="V15" s="3103"/>
      <c r="W15" s="3103"/>
      <c r="X15" s="3103"/>
      <c r="Y15" s="3103"/>
      <c r="Z15" s="3103"/>
      <c r="AA15" s="3103"/>
      <c r="AB15" s="3103"/>
      <c r="AC15" s="3103"/>
    </row>
    <row r="16" spans="1:29" s="2633" customFormat="1" ht="25.5">
      <c r="A16" s="3131"/>
      <c r="B16" s="2573" t="s">
        <v>2852</v>
      </c>
      <c r="C16" s="3132" t="str">
        <f>C4</f>
        <v>估价对象位于XX商圈，周边商业氛围成熟，人流量大，商业繁华度好</v>
      </c>
      <c r="D16" s="3106"/>
      <c r="E16" s="3133"/>
      <c r="F16" s="3093" t="s">
        <v>2853</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3"/>
      <c r="T16" s="3103"/>
      <c r="U16" s="3103"/>
      <c r="V16" s="3103"/>
      <c r="W16" s="3103"/>
      <c r="X16" s="3103"/>
      <c r="Y16" s="3103"/>
      <c r="Z16" s="3103"/>
      <c r="AA16" s="3103"/>
      <c r="AB16" s="3103"/>
      <c r="AC16" s="3103"/>
    </row>
    <row r="17" spans="1:29" s="2633" customFormat="1" ht="51">
      <c r="A17" s="3131"/>
      <c r="B17" s="2573" t="s">
        <v>2855</v>
      </c>
      <c r="C17" s="3132" t="str">
        <f>C5</f>
        <v>估价对象位于知春路商圈，周边办公楼项目有希格玛大厦、资金数码园、厦门大厦、卫星大厦、金仪科技大厦，入驻率高，办公集聚程度较好</v>
      </c>
      <c r="D17" s="2981"/>
      <c r="E17" s="3133"/>
      <c r="F17" s="3093" t="s">
        <v>2870</v>
      </c>
      <c r="G17" s="3135"/>
      <c r="H17" s="3123"/>
      <c r="I17" s="3124"/>
      <c r="J17" s="3123"/>
      <c r="K17" s="3123"/>
      <c r="L17" s="3124"/>
      <c r="M17" s="3123"/>
      <c r="N17" s="3123"/>
      <c r="O17" s="3124"/>
      <c r="P17" s="3123"/>
      <c r="Q17" s="3123"/>
      <c r="R17" s="3125"/>
      <c r="S17" s="3103"/>
      <c r="T17" s="3103"/>
      <c r="U17" s="3103"/>
      <c r="V17" s="3103"/>
      <c r="W17" s="3103"/>
      <c r="X17" s="3103"/>
      <c r="Y17" s="3103"/>
      <c r="Z17" s="3103"/>
      <c r="AA17" s="3103"/>
      <c r="AB17" s="3103"/>
      <c r="AC17" s="3103"/>
    </row>
    <row r="18" spans="1:29" s="2633" customFormat="1" ht="63.75">
      <c r="A18" s="3131"/>
      <c r="B18" s="3093" t="s">
        <v>2858</v>
      </c>
      <c r="C18" s="3134" t="str">
        <f>C6</f>
        <v>估价对象临近知春路，距离地铁10、13号线知春路站约100米，周边有专168路、311路、319路、630路等公交车通达，停车便捷程度较好，综合评价交通便捷度好</v>
      </c>
      <c r="D18" s="2981"/>
      <c r="E18" s="3133"/>
      <c r="F18" s="3093" t="s">
        <v>2861</v>
      </c>
      <c r="G18" s="3134" t="str">
        <f>G7</f>
        <v>该园区内是否有污染型企业，绿化情况，卫生条件，整体环境状况判断</v>
      </c>
      <c r="H18" s="3123"/>
      <c r="I18" s="3124"/>
      <c r="J18" s="3123"/>
      <c r="K18" s="3123"/>
      <c r="L18" s="3124"/>
      <c r="M18" s="3123"/>
      <c r="N18" s="3123"/>
      <c r="O18" s="3124"/>
      <c r="P18" s="3123"/>
      <c r="Q18" s="3123"/>
      <c r="R18" s="3125"/>
      <c r="S18" s="3103"/>
      <c r="T18" s="3103"/>
      <c r="U18" s="3103"/>
      <c r="V18" s="3103"/>
      <c r="W18" s="3103"/>
      <c r="X18" s="3103"/>
      <c r="Y18" s="3103"/>
      <c r="Z18" s="3103"/>
      <c r="AA18" s="3103"/>
      <c r="AB18" s="3103"/>
      <c r="AC18" s="3103"/>
    </row>
    <row r="19" spans="1:29" s="2633" customFormat="1" ht="12.75">
      <c r="A19" s="3131"/>
      <c r="B19" s="3093" t="s">
        <v>2871</v>
      </c>
      <c r="C19" s="3135"/>
      <c r="D19" s="3106"/>
      <c r="E19" s="3133"/>
      <c r="F19" s="3092" t="s">
        <v>2856</v>
      </c>
      <c r="G19" s="3134" t="str">
        <f>G5</f>
        <v>估价对象所在区域公共配套设施齐备情况</v>
      </c>
      <c r="H19" s="3123"/>
      <c r="I19" s="3124"/>
      <c r="J19" s="3123"/>
      <c r="K19" s="3123"/>
      <c r="L19" s="3124"/>
      <c r="M19" s="3123"/>
      <c r="N19" s="3123"/>
      <c r="O19" s="3124"/>
      <c r="P19" s="3123"/>
      <c r="Q19" s="3123"/>
      <c r="R19" s="3125"/>
      <c r="S19" s="3103"/>
      <c r="T19" s="3103"/>
      <c r="U19" s="3103"/>
      <c r="V19" s="3103"/>
      <c r="W19" s="3103"/>
      <c r="X19" s="3103"/>
      <c r="Y19" s="3103"/>
      <c r="Z19" s="3103"/>
      <c r="AA19" s="3103"/>
      <c r="AB19" s="3103"/>
      <c r="AC19" s="3103"/>
    </row>
    <row r="20" spans="1:29" s="2633" customFormat="1" ht="51">
      <c r="A20" s="3131"/>
      <c r="B20" s="3093" t="s">
        <v>2872</v>
      </c>
      <c r="C20" s="3132" t="str">
        <f>C9</f>
        <v>区域自然环境：知春公园、双榆树公园；人文环境；首体足球场、大运村网球场；
综合评价环境状况较好</v>
      </c>
      <c r="D20" s="2981"/>
      <c r="E20" s="3133"/>
      <c r="F20" s="3092" t="s">
        <v>2859</v>
      </c>
      <c r="G20" s="3134" t="str">
        <f>G6</f>
        <v>估价对象所在区域基础设施水平</v>
      </c>
      <c r="H20" s="3123"/>
      <c r="I20" s="3124"/>
      <c r="J20" s="3123"/>
      <c r="K20" s="3123"/>
      <c r="L20" s="3124"/>
      <c r="M20" s="3123"/>
      <c r="N20" s="3123"/>
      <c r="O20" s="3124"/>
      <c r="P20" s="3123"/>
      <c r="Q20" s="3123"/>
      <c r="R20" s="3125"/>
      <c r="S20" s="3103"/>
      <c r="T20" s="3103"/>
      <c r="U20" s="3103"/>
      <c r="V20" s="3103"/>
      <c r="W20" s="3103"/>
      <c r="X20" s="3103"/>
      <c r="Y20" s="3103"/>
      <c r="Z20" s="3103"/>
      <c r="AA20" s="3103"/>
      <c r="AB20" s="3103"/>
      <c r="AC20" s="3103"/>
    </row>
    <row r="21" spans="1:29" s="2633" customFormat="1" ht="140.25">
      <c r="A21" s="3131"/>
      <c r="B21" s="3092" t="s">
        <v>2856</v>
      </c>
      <c r="C21" s="3134" t="str">
        <f>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21" s="3106"/>
      <c r="E21" s="3133"/>
      <c r="F21" s="3093" t="s">
        <v>2873</v>
      </c>
      <c r="G21" s="3136"/>
      <c r="H21" s="3123"/>
      <c r="I21" s="3124"/>
      <c r="J21" s="3123"/>
      <c r="K21" s="3123"/>
      <c r="L21" s="3124"/>
      <c r="M21" s="3123"/>
      <c r="N21" s="3123"/>
      <c r="O21" s="3124"/>
      <c r="P21" s="3123"/>
      <c r="Q21" s="3123"/>
      <c r="R21" s="3125"/>
      <c r="S21" s="3103"/>
      <c r="T21" s="3103"/>
      <c r="U21" s="3103"/>
      <c r="V21" s="3103"/>
      <c r="W21" s="3103"/>
      <c r="X21" s="3103"/>
      <c r="Y21" s="3103"/>
      <c r="Z21" s="3103"/>
      <c r="AA21" s="3103"/>
      <c r="AB21" s="3103"/>
      <c r="AC21" s="3103"/>
    </row>
    <row r="22" spans="1:29" s="2633" customFormat="1" ht="12.75">
      <c r="A22" s="3131"/>
      <c r="B22" s="3092" t="s">
        <v>2859</v>
      </c>
      <c r="C22" s="3134" t="str">
        <f>C8</f>
        <v>估价对象所在区域基础设施水平-七通</v>
      </c>
      <c r="D22" s="3106"/>
      <c r="E22" s="3133"/>
      <c r="F22" s="3093" t="s">
        <v>2864</v>
      </c>
      <c r="G22" s="3137"/>
      <c r="H22" s="3123"/>
      <c r="I22" s="3124"/>
      <c r="J22" s="3123"/>
      <c r="K22" s="3123"/>
      <c r="L22" s="3124"/>
      <c r="M22" s="3123"/>
      <c r="N22" s="3123"/>
      <c r="O22" s="3124"/>
      <c r="P22" s="3123"/>
      <c r="Q22" s="3123"/>
      <c r="R22" s="3125"/>
      <c r="S22" s="3103"/>
      <c r="T22" s="3103"/>
      <c r="U22" s="3103"/>
      <c r="V22" s="3103"/>
      <c r="W22" s="3103"/>
      <c r="X22" s="3103"/>
      <c r="Y22" s="3103"/>
      <c r="Z22" s="3103"/>
      <c r="AA22" s="3103"/>
      <c r="AB22" s="3103"/>
      <c r="AC22" s="3103"/>
    </row>
    <row r="23" spans="1:29" s="3103" customFormat="1" ht="13.5" thickBot="1">
      <c r="A23" s="3131"/>
      <c r="B23" s="3093" t="s">
        <v>2873</v>
      </c>
      <c r="C23" s="3136"/>
      <c r="D23" s="3123"/>
      <c r="E23" s="3138"/>
      <c r="F23" s="3095" t="s">
        <v>2874</v>
      </c>
      <c r="G23" s="3139"/>
      <c r="H23" s="3123"/>
      <c r="I23" s="3124"/>
      <c r="J23" s="3123"/>
      <c r="K23" s="3123"/>
      <c r="L23" s="3124"/>
      <c r="M23" s="3123"/>
      <c r="N23" s="3123"/>
      <c r="O23" s="3124"/>
      <c r="P23" s="3123"/>
      <c r="Q23" s="3123"/>
      <c r="R23" s="3125"/>
    </row>
    <row r="24" spans="1:29" s="3103" customFormat="1" ht="13.5" thickBot="1">
      <c r="A24" s="3140"/>
      <c r="B24" s="3095" t="s">
        <v>2875</v>
      </c>
      <c r="C24" s="3141" t="str">
        <f>C10</f>
        <v>城市主干道-知春路</v>
      </c>
      <c r="D24" s="3123"/>
      <c r="E24" s="3142"/>
      <c r="F24" s="3142"/>
      <c r="G24" s="3143"/>
      <c r="H24" s="3123"/>
      <c r="I24" s="3124"/>
      <c r="J24" s="3123"/>
      <c r="K24" s="3123"/>
      <c r="L24" s="3124"/>
      <c r="M24" s="3123"/>
      <c r="N24" s="3123"/>
      <c r="O24" s="3124"/>
      <c r="P24" s="3123"/>
      <c r="Q24" s="3123"/>
      <c r="R24" s="3125"/>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2"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5" sqref="D15"/>
    </sheetView>
  </sheetViews>
  <sheetFormatPr defaultColWidth="14.625" defaultRowHeight="13.5"/>
  <cols>
    <col min="1" max="1" width="24.375" style="2582" customWidth="1"/>
    <col min="2" max="16384" width="14.625" style="2582"/>
  </cols>
  <sheetData>
    <row r="1" spans="1:9" ht="16.5">
      <c r="A1" s="2580" t="s">
        <v>1212</v>
      </c>
      <c r="B1" s="2580">
        <f>SUM(B14:B23)</f>
        <v>459.68</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42558</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1630.3008</v>
      </c>
      <c r="C5" s="2580">
        <f ca="1">ROUND(B5*10000/$B$1,0)</f>
        <v>35466</v>
      </c>
      <c r="D5" s="2580" t="e">
        <f ca="1">ROUND(B5*10000/$B$2,0)</f>
        <v>#DIV/0!</v>
      </c>
      <c r="E5" s="1633"/>
      <c r="F5" s="2581"/>
      <c r="G5" s="2581"/>
    </row>
    <row r="6" spans="1:9" ht="16.5">
      <c r="A6" s="2580" t="s">
        <v>1220</v>
      </c>
      <c r="B6" s="2580">
        <f ca="1">SUM(G14:G23)</f>
        <v>1272.4402</v>
      </c>
      <c r="C6" s="2580">
        <f t="shared" ref="C6:C8" ca="1" si="0">ROUND(B6*10000/$B$1,0)</f>
        <v>27681</v>
      </c>
      <c r="D6" s="2580" t="e">
        <f t="shared" ref="D6:D8" ca="1" si="1">ROUND(B6*10000/$B$2,0)</f>
        <v>#DIV/0!</v>
      </c>
      <c r="E6" s="1633"/>
      <c r="F6" s="2581"/>
      <c r="G6" s="2581"/>
    </row>
    <row r="7" spans="1:9" ht="16.5">
      <c r="A7" s="2580" t="s">
        <v>1221</v>
      </c>
      <c r="B7" s="2580" t="e">
        <f>SUM(H14:H23)</f>
        <v>#VALUE!</v>
      </c>
      <c r="C7" s="2580" t="e">
        <f>ROUND(B7*10000/$B$1,0)</f>
        <v>#VALUE!</v>
      </c>
      <c r="D7" s="2580" t="e">
        <f t="shared" si="1"/>
        <v>#VALUE!</v>
      </c>
      <c r="E7" s="1633"/>
      <c r="F7" s="2581"/>
      <c r="G7" s="2581"/>
    </row>
    <row r="8" spans="1:9" ht="16.5">
      <c r="A8" s="2580" t="s">
        <v>1222</v>
      </c>
      <c r="B8" s="2580" t="e">
        <f>SUM(I14:I23)</f>
        <v>#VALUE!</v>
      </c>
      <c r="C8" s="2580" t="e">
        <f t="shared" si="0"/>
        <v>#VALUE!</v>
      </c>
      <c r="D8" s="2580" t="e">
        <f t="shared" si="1"/>
        <v>#VALUE!</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6" t="s">
        <v>2939</v>
      </c>
      <c r="B14" s="2916">
        <f>项目基本情况!C12</f>
        <v>459.68</v>
      </c>
      <c r="C14" s="2916">
        <f>项目基本情况!C13</f>
        <v>0</v>
      </c>
      <c r="D14" s="2916">
        <f ca="1">'结果一览表-'!C3/10000</f>
        <v>1630.3008</v>
      </c>
      <c r="E14" s="2916">
        <f ca="1">ROUND(D14*10000/B14,0)</f>
        <v>35466</v>
      </c>
      <c r="F14" s="2916" t="e">
        <f ca="1">ROUND(D14*10000/C14,0)</f>
        <v>#DIV/0!</v>
      </c>
      <c r="G14" s="2916">
        <f ca="1">IF('数据-取费表'!B3="万元",IF(A14="估价对象1（结果表）",结果表!D125,'结果表 (1修多)'!D129),IF(A14="估价对象1（结果表）",结果表!D125,'结果表 (1修多)'!D129)/10000)</f>
        <v>1272.4402</v>
      </c>
      <c r="H14" s="2916" t="e">
        <f>IF('数据-取费表'!B3="万元",IF(A14="估价对象1（结果表）",结果表!D127,'结果表 (1修多)'!D131),IF(A14="估价对象1（结果表）",结果表!D127,'结果表 (1修多)'!D131)/10000)</f>
        <v>#VALUE!</v>
      </c>
      <c r="I14" s="2916" t="e">
        <f>IF('数据-取费表'!B3="万元",IF(A14="估价对象1（结果表）",结果表!D129,'结果表 (1修多)'!D133),IF(A14="估价对象1（结果表）",结果表!D129,'结果表 (1修多)'!D133)/10000)</f>
        <v>#VALUE!</v>
      </c>
    </row>
    <row r="15" spans="1:9" ht="16.5">
      <c r="A15" s="2587" t="s">
        <v>1229</v>
      </c>
      <c r="B15" s="2588"/>
      <c r="C15" s="2588"/>
      <c r="D15" s="2588"/>
      <c r="E15" s="2916" t="e">
        <f t="shared" ref="E15:E23" si="2">ROUND(D15*10000/B15,0)</f>
        <v>#DIV/0!</v>
      </c>
      <c r="F15" s="2916" t="e">
        <f t="shared" ref="F15:F23" si="3">ROUND(D15*10000/C15,0)</f>
        <v>#DIV/0!</v>
      </c>
      <c r="G15" s="1305"/>
      <c r="H15" s="1305"/>
      <c r="I15" s="2588"/>
    </row>
    <row r="16" spans="1:9" ht="16.5">
      <c r="A16" s="2587" t="s">
        <v>1230</v>
      </c>
      <c r="B16" s="2588"/>
      <c r="C16" s="2588"/>
      <c r="D16" s="2588"/>
      <c r="E16" s="2916" t="e">
        <f t="shared" si="2"/>
        <v>#DIV/0!</v>
      </c>
      <c r="F16" s="2916" t="e">
        <f t="shared" si="3"/>
        <v>#DIV/0!</v>
      </c>
      <c r="G16" s="1305"/>
      <c r="H16" s="1305"/>
      <c r="I16" s="2588"/>
    </row>
    <row r="17" spans="1:9" ht="16.5">
      <c r="A17" s="2587" t="s">
        <v>1231</v>
      </c>
      <c r="B17" s="2588"/>
      <c r="C17" s="2588"/>
      <c r="D17" s="2588"/>
      <c r="E17" s="2916" t="e">
        <f t="shared" si="2"/>
        <v>#DIV/0!</v>
      </c>
      <c r="F17" s="2916" t="e">
        <f t="shared" si="3"/>
        <v>#DIV/0!</v>
      </c>
      <c r="G17" s="1305"/>
      <c r="H17" s="1305"/>
      <c r="I17" s="2588"/>
    </row>
    <row r="18" spans="1:9" ht="16.5">
      <c r="A18" s="2587" t="s">
        <v>1232</v>
      </c>
      <c r="B18" s="2588"/>
      <c r="C18" s="2588"/>
      <c r="D18" s="2588"/>
      <c r="E18" s="2916" t="e">
        <f t="shared" si="2"/>
        <v>#DIV/0!</v>
      </c>
      <c r="F18" s="2916" t="e">
        <f t="shared" si="3"/>
        <v>#DIV/0!</v>
      </c>
      <c r="G18" s="2588"/>
      <c r="H18" s="2588"/>
      <c r="I18" s="2588"/>
    </row>
    <row r="19" spans="1:9" ht="16.5">
      <c r="A19" s="2587" t="s">
        <v>1233</v>
      </c>
      <c r="B19" s="2588"/>
      <c r="C19" s="2588"/>
      <c r="D19" s="2588"/>
      <c r="E19" s="2916" t="e">
        <f t="shared" si="2"/>
        <v>#DIV/0!</v>
      </c>
      <c r="F19" s="2916" t="e">
        <f t="shared" si="3"/>
        <v>#DIV/0!</v>
      </c>
      <c r="G19" s="2588"/>
      <c r="H19" s="2588"/>
      <c r="I19" s="2588"/>
    </row>
    <row r="20" spans="1:9" ht="16.5">
      <c r="A20" s="2587" t="s">
        <v>1234</v>
      </c>
      <c r="B20" s="2588"/>
      <c r="C20" s="2588"/>
      <c r="D20" s="2588"/>
      <c r="E20" s="2916" t="e">
        <f t="shared" si="2"/>
        <v>#DIV/0!</v>
      </c>
      <c r="F20" s="2916" t="e">
        <f t="shared" si="3"/>
        <v>#DIV/0!</v>
      </c>
      <c r="G20" s="2588"/>
      <c r="H20" s="2588"/>
      <c r="I20" s="2588"/>
    </row>
    <row r="21" spans="1:9" ht="16.5">
      <c r="A21" s="2587" t="s">
        <v>1235</v>
      </c>
      <c r="B21" s="2588"/>
      <c r="C21" s="2588"/>
      <c r="D21" s="2588"/>
      <c r="E21" s="2916" t="e">
        <f t="shared" si="2"/>
        <v>#DIV/0!</v>
      </c>
      <c r="F21" s="2916" t="e">
        <f t="shared" si="3"/>
        <v>#DIV/0!</v>
      </c>
      <c r="G21" s="2588"/>
      <c r="H21" s="2588"/>
      <c r="I21" s="2588"/>
    </row>
    <row r="22" spans="1:9" ht="16.5">
      <c r="A22" s="2587" t="s">
        <v>1236</v>
      </c>
      <c r="B22" s="2588"/>
      <c r="C22" s="2588"/>
      <c r="D22" s="2588"/>
      <c r="E22" s="2916" t="e">
        <f t="shared" si="2"/>
        <v>#DIV/0!</v>
      </c>
      <c r="F22" s="2916" t="e">
        <f t="shared" si="3"/>
        <v>#DIV/0!</v>
      </c>
      <c r="G22" s="2588"/>
      <c r="H22" s="2588"/>
      <c r="I22" s="2588"/>
    </row>
    <row r="23" spans="1:9" ht="16.5">
      <c r="A23" s="2587" t="s">
        <v>1237</v>
      </c>
      <c r="B23" s="2588"/>
      <c r="C23" s="2588"/>
      <c r="D23" s="2588"/>
      <c r="E23" s="2917" t="e">
        <f t="shared" si="2"/>
        <v>#DIV/0!</v>
      </c>
      <c r="F23" s="2917" t="e">
        <f t="shared" si="3"/>
        <v>#DIV/0!</v>
      </c>
      <c r="G23" s="2588"/>
      <c r="H23" s="2588"/>
      <c r="I23" s="2588"/>
    </row>
  </sheetData>
  <sheetProtection password="CEE9" sheet="1" objects="1" scenarios="1" formatCells="0" formatColumns="0" formatRows="0"/>
  <phoneticPr fontId="148"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33" zoomScale="90" zoomScaleNormal="60" zoomScaleSheetLayoutView="90" workbookViewId="0">
      <selection activeCell="H52" sqref="H52"/>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2382</v>
      </c>
      <c r="C1" s="1638" t="s">
        <v>2744</v>
      </c>
      <c r="D1" s="1637"/>
      <c r="E1" s="1640" t="s">
        <v>1224</v>
      </c>
      <c r="F1" s="1641" t="s">
        <v>2242</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1912</v>
      </c>
      <c r="B2" s="1649">
        <f>IF(D2="——",IF(C2="元",ROUND(C50*D3,0),ROUND(C50*D3/10000,0)),IF(C2="元",ROUND(C50*D3,0),ROUND(C50*D3/10000,0))-E2)</f>
        <v>2482</v>
      </c>
      <c r="C2" s="1650" t="str">
        <f>'数据-取费表'!B3</f>
        <v>元</v>
      </c>
      <c r="D2" s="1651" t="s">
        <v>1240</v>
      </c>
      <c r="E2" s="2487" t="e">
        <f ca="1">SUMIF(INDIRECT("'"&amp;G2&amp;"'"&amp;"!A:A"),"承租人权益价值",INDIRECT("'"&amp;G2&amp;"'"&amp;"!c:c"))</f>
        <v>#REF!</v>
      </c>
      <c r="F2" s="1653" t="str">
        <f>C2</f>
        <v>元</v>
      </c>
      <c r="G2" s="1654"/>
      <c r="H2" s="3011"/>
      <c r="I2" s="3011"/>
      <c r="J2" s="3011"/>
      <c r="K2" s="3011"/>
      <c r="L2" s="3013"/>
      <c r="M2" s="3011"/>
      <c r="N2" s="3011"/>
      <c r="O2" s="3011"/>
      <c r="P2" s="1956"/>
      <c r="Q2" s="1956"/>
      <c r="R2" s="1956"/>
      <c r="S2" s="1956"/>
      <c r="T2" s="1956"/>
      <c r="U2" s="1956"/>
      <c r="V2" s="1956"/>
      <c r="W2" s="1956"/>
      <c r="X2" s="1956"/>
      <c r="Y2" s="1956"/>
      <c r="Z2" s="1956"/>
      <c r="AA2" s="1956"/>
      <c r="AB2" s="2488"/>
      <c r="AC2" s="1964"/>
    </row>
    <row r="3" spans="1:29" s="1959" customFormat="1" ht="28.5" customHeight="1" thickBot="1">
      <c r="A3" s="1658" t="s">
        <v>1913</v>
      </c>
      <c r="B3" s="1962">
        <f>ROUND(IF(D2="——",C50,IF(C2="万元",B2*10000/D3,B2/D3)),0)</f>
        <v>5</v>
      </c>
      <c r="C3" s="1659" t="s">
        <v>2243</v>
      </c>
      <c r="D3" s="1659">
        <f>IF(C1="仅计算典型户型",'数据-取费表'!E5,'数据-取费表'!B5)</f>
        <v>459.68</v>
      </c>
      <c r="F3" s="3010"/>
      <c r="G3" s="3011"/>
      <c r="H3" s="3011"/>
      <c r="I3" s="3011"/>
      <c r="J3" s="3011"/>
      <c r="K3" s="3012"/>
      <c r="L3" s="3013"/>
      <c r="M3" s="3011"/>
      <c r="N3" s="3011"/>
      <c r="O3" s="3011"/>
      <c r="P3" s="3018"/>
      <c r="Q3" s="1951"/>
      <c r="R3" s="1951"/>
      <c r="S3" s="1951"/>
      <c r="T3" s="1951"/>
      <c r="U3" s="1951"/>
      <c r="V3" s="1951"/>
      <c r="W3" s="1951"/>
      <c r="X3" s="1956"/>
      <c r="Y3" s="1951"/>
      <c r="Z3" s="1951"/>
      <c r="AA3" s="1951"/>
      <c r="AB3" s="2489"/>
      <c r="AC3" s="1964"/>
    </row>
    <row r="4" spans="1:29" ht="15">
      <c r="A4" s="1662" t="s">
        <v>2244</v>
      </c>
      <c r="B4" s="1663"/>
      <c r="C4" s="3860" t="s">
        <v>2245</v>
      </c>
      <c r="D4" s="3861"/>
      <c r="E4" s="3862" t="s">
        <v>2246</v>
      </c>
      <c r="F4" s="3863"/>
      <c r="G4" s="3860" t="s">
        <v>2247</v>
      </c>
      <c r="H4" s="3861"/>
      <c r="I4" s="3860" t="s">
        <v>2248</v>
      </c>
      <c r="J4" s="3861"/>
      <c r="K4" s="1965" t="s">
        <v>2249</v>
      </c>
      <c r="L4" s="2996"/>
      <c r="M4" s="2997"/>
      <c r="N4" s="2997"/>
      <c r="O4" s="2997"/>
      <c r="P4" s="3864" t="s">
        <v>2250</v>
      </c>
      <c r="Q4" s="3865"/>
      <c r="R4" s="3847" t="s">
        <v>2246</v>
      </c>
      <c r="S4" s="3848"/>
      <c r="T4" s="3847" t="s">
        <v>2247</v>
      </c>
      <c r="U4" s="3848"/>
      <c r="V4" s="3870" t="s">
        <v>2248</v>
      </c>
      <c r="W4" s="3870"/>
      <c r="X4" s="2074"/>
      <c r="Y4" s="3847" t="s">
        <v>2250</v>
      </c>
      <c r="Z4" s="3848"/>
      <c r="AA4" s="3857" t="s">
        <v>2246</v>
      </c>
      <c r="AB4" s="3857" t="s">
        <v>2247</v>
      </c>
      <c r="AC4" s="3857" t="s">
        <v>2248</v>
      </c>
    </row>
    <row r="5" spans="1:29" ht="15">
      <c r="A5" s="1667"/>
      <c r="B5" s="1668"/>
      <c r="C5" s="3873" t="s">
        <v>2251</v>
      </c>
      <c r="D5" s="3874"/>
      <c r="E5" s="3871" t="s">
        <v>3253</v>
      </c>
      <c r="F5" s="3872"/>
      <c r="G5" s="3877" t="s">
        <v>3254</v>
      </c>
      <c r="H5" s="3874"/>
      <c r="I5" s="3877" t="s">
        <v>3374</v>
      </c>
      <c r="J5" s="3874"/>
      <c r="K5" s="1965"/>
      <c r="L5" s="2996"/>
      <c r="M5" s="2997"/>
      <c r="N5" s="2997"/>
      <c r="O5" s="2997"/>
      <c r="P5" s="3866"/>
      <c r="Q5" s="3867"/>
      <c r="R5" s="3849"/>
      <c r="S5" s="3850"/>
      <c r="T5" s="3849"/>
      <c r="U5" s="3850"/>
      <c r="V5" s="3870"/>
      <c r="W5" s="3870"/>
      <c r="X5" s="2074"/>
      <c r="Y5" s="3849"/>
      <c r="Z5" s="3850"/>
      <c r="AA5" s="3858"/>
      <c r="AB5" s="3858"/>
      <c r="AC5" s="3858"/>
    </row>
    <row r="6" spans="1:29" ht="15.75" thickBot="1">
      <c r="A6" s="1670"/>
      <c r="B6" s="1671"/>
      <c r="C6" s="3875" t="s">
        <v>2255</v>
      </c>
      <c r="D6" s="3876"/>
      <c r="E6" s="3878" t="s">
        <v>2255</v>
      </c>
      <c r="F6" s="3879"/>
      <c r="G6" s="3875" t="s">
        <v>2255</v>
      </c>
      <c r="H6" s="3876"/>
      <c r="I6" s="3875" t="s">
        <v>2255</v>
      </c>
      <c r="J6" s="3876"/>
      <c r="K6" s="1965" t="s">
        <v>2256</v>
      </c>
      <c r="L6" s="2996"/>
      <c r="M6" s="2997"/>
      <c r="N6" s="2997"/>
      <c r="O6" s="2997"/>
      <c r="P6" s="3868"/>
      <c r="Q6" s="3869"/>
      <c r="R6" s="3849"/>
      <c r="S6" s="3850"/>
      <c r="T6" s="3851"/>
      <c r="U6" s="3852"/>
      <c r="V6" s="3870"/>
      <c r="W6" s="3870"/>
      <c r="X6" s="2074"/>
      <c r="Y6" s="3851"/>
      <c r="Z6" s="3852"/>
      <c r="AA6" s="3859"/>
      <c r="AB6" s="3859"/>
      <c r="AC6" s="3859"/>
    </row>
    <row r="7" spans="1:29" s="1684" customFormat="1" ht="15.75" thickBot="1">
      <c r="A7" s="1672" t="s">
        <v>2257</v>
      </c>
      <c r="B7" s="1673"/>
      <c r="C7" s="1674">
        <f>'数据-取费表'!B2</f>
        <v>42558</v>
      </c>
      <c r="D7" s="1675">
        <v>100</v>
      </c>
      <c r="E7" s="1676">
        <v>42461</v>
      </c>
      <c r="F7" s="1677">
        <f>SUMIF(59:59,YEAR(E7)&amp;"-"&amp;MONTH(E7),60:60)</f>
        <v>99.8</v>
      </c>
      <c r="G7" s="1966">
        <v>42522</v>
      </c>
      <c r="H7" s="1675">
        <f>SUMIF(59:59,YEAR(G7)&amp;"-"&amp;MONTH(G7),60:60)</f>
        <v>100</v>
      </c>
      <c r="I7" s="1966">
        <v>42430</v>
      </c>
      <c r="J7" s="1675">
        <f>SUMIF(59:59,YEAR(I7)&amp;"-"&amp;MONTH(I7),60:60)</f>
        <v>99.8</v>
      </c>
      <c r="K7" s="1967"/>
      <c r="L7" s="2996" t="s">
        <v>2911</v>
      </c>
      <c r="M7" s="2969"/>
      <c r="N7" s="2969"/>
      <c r="O7" s="2969"/>
      <c r="P7" s="3845" t="s">
        <v>2258</v>
      </c>
      <c r="Q7" s="3853"/>
      <c r="R7" s="1680" t="s">
        <v>25</v>
      </c>
      <c r="S7" s="1681">
        <f t="shared" ref="S7:S15" si="0">F7</f>
        <v>99.8</v>
      </c>
      <c r="T7" s="1680" t="s">
        <v>25</v>
      </c>
      <c r="U7" s="1681">
        <f t="shared" ref="U7:U15" si="1">H7</f>
        <v>100</v>
      </c>
      <c r="V7" s="1680" t="s">
        <v>25</v>
      </c>
      <c r="W7" s="1681">
        <f t="shared" ref="W7:W15" si="2">J7</f>
        <v>99.8</v>
      </c>
      <c r="X7" s="1682"/>
      <c r="Y7" s="3845" t="s">
        <v>2258</v>
      </c>
      <c r="Z7" s="3846"/>
      <c r="AA7" s="1683">
        <f>D7/F7</f>
        <v>1.0020040080160322</v>
      </c>
      <c r="AB7" s="1683">
        <f>D7/H7</f>
        <v>1</v>
      </c>
      <c r="AC7" s="1683">
        <f>D7/J7</f>
        <v>1.0020040080160322</v>
      </c>
    </row>
    <row r="8" spans="1:29" s="1684" customFormat="1" ht="15.75" thickBot="1">
      <c r="A8" s="1672" t="s">
        <v>2259</v>
      </c>
      <c r="B8" s="1673"/>
      <c r="C8" s="1685" t="s">
        <v>2876</v>
      </c>
      <c r="D8" s="1675">
        <v>100</v>
      </c>
      <c r="E8" s="1685" t="s">
        <v>2876</v>
      </c>
      <c r="F8" s="1677">
        <f>SUMIF(62:62,E8,63:63)-SUMIF(62:62,C8,63:63)+100</f>
        <v>100</v>
      </c>
      <c r="G8" s="1685" t="s">
        <v>2876</v>
      </c>
      <c r="H8" s="1675">
        <f>SUMIF(62:62,G8,63:63)-SUMIF(62:62,C8,63:63)+100</f>
        <v>100</v>
      </c>
      <c r="I8" s="1685" t="s">
        <v>2876</v>
      </c>
      <c r="J8" s="1675">
        <f>SUMIF(62:62,I8,63:63)-SUMIF(62:62,C8,63:63)+100</f>
        <v>100</v>
      </c>
      <c r="K8" s="1967"/>
      <c r="L8" s="2996"/>
      <c r="M8" s="2969"/>
      <c r="N8" s="2969"/>
      <c r="O8" s="2969"/>
      <c r="P8" s="3845" t="s">
        <v>2261</v>
      </c>
      <c r="Q8" s="3846"/>
      <c r="R8" s="1680" t="s">
        <v>25</v>
      </c>
      <c r="S8" s="1681">
        <f t="shared" si="0"/>
        <v>100</v>
      </c>
      <c r="T8" s="1680" t="s">
        <v>25</v>
      </c>
      <c r="U8" s="1681">
        <f t="shared" si="1"/>
        <v>100</v>
      </c>
      <c r="V8" s="1680" t="s">
        <v>25</v>
      </c>
      <c r="W8" s="1681">
        <f t="shared" si="2"/>
        <v>100</v>
      </c>
      <c r="X8" s="1682"/>
      <c r="Y8" s="3845" t="s">
        <v>2261</v>
      </c>
      <c r="Z8" s="3846"/>
      <c r="AA8" s="1683">
        <f t="shared" ref="AA8:AA47" si="3">D8/F8</f>
        <v>1</v>
      </c>
      <c r="AB8" s="1683">
        <f t="shared" ref="AB8:AB47" si="4">D8/H8</f>
        <v>1</v>
      </c>
      <c r="AC8" s="1683">
        <f t="shared" ref="AC8:AC47" si="5">D8/J8</f>
        <v>1</v>
      </c>
    </row>
    <row r="9" spans="1:29" s="1684" customFormat="1">
      <c r="A9" s="2066" t="s">
        <v>2262</v>
      </c>
      <c r="B9" s="1687" t="s">
        <v>2263</v>
      </c>
      <c r="C9" s="3457" t="s">
        <v>3375</v>
      </c>
      <c r="D9" s="1689">
        <v>100</v>
      </c>
      <c r="E9" s="1692" t="s">
        <v>2941</v>
      </c>
      <c r="F9" s="1689">
        <f>SUMIF(64:64,E9,65:65)-SUMIF(64:64,C9,65:65)+100</f>
        <v>100</v>
      </c>
      <c r="G9" s="1692" t="s">
        <v>2941</v>
      </c>
      <c r="H9" s="1689">
        <f>SUMIF(64:64,G9,65:65)-SUMIF(64:64,C9,65:65)+100</f>
        <v>100</v>
      </c>
      <c r="I9" s="1692" t="s">
        <v>2941</v>
      </c>
      <c r="J9" s="1689">
        <f>SUMIF(64:64,I9,65:65)-SUMIF(64:64,C9,65:65)+100</f>
        <v>100</v>
      </c>
      <c r="K9" s="1967"/>
      <c r="L9" s="2996"/>
      <c r="M9" s="2969"/>
      <c r="N9" s="2969"/>
      <c r="O9" s="2969"/>
      <c r="P9" s="3837" t="s">
        <v>2264</v>
      </c>
      <c r="Q9" s="2914" t="str">
        <f t="shared" ref="Q9:Q15" si="6">B9</f>
        <v>用途</v>
      </c>
      <c r="R9" s="1680" t="s">
        <v>25</v>
      </c>
      <c r="S9" s="1681">
        <f t="shared" si="0"/>
        <v>100</v>
      </c>
      <c r="T9" s="1680" t="s">
        <v>25</v>
      </c>
      <c r="U9" s="1681">
        <f t="shared" si="1"/>
        <v>100</v>
      </c>
      <c r="V9" s="1680" t="s">
        <v>25</v>
      </c>
      <c r="W9" s="1681">
        <f t="shared" si="2"/>
        <v>100</v>
      </c>
      <c r="X9" s="1682"/>
      <c r="Y9" s="3856"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6"/>
      <c r="F10" s="1697">
        <f>SUMIF(66:66,E10,67:67)-SUMIF(66:66,C10,67:67)+100</f>
        <v>100</v>
      </c>
      <c r="G10" s="1698"/>
      <c r="H10" s="1697">
        <f>SUMIF(66:66,G10,67:67)-SUMIF(66:66,C10,67:67)+100</f>
        <v>100</v>
      </c>
      <c r="I10" s="1696"/>
      <c r="J10" s="1697">
        <f>SUMIF(66:66,I10,67:67)-SUMIF(66:66,C10,67:67)+100</f>
        <v>100</v>
      </c>
      <c r="K10" s="1992"/>
      <c r="L10" s="2998"/>
      <c r="M10" s="2999"/>
      <c r="N10" s="2999"/>
      <c r="O10" s="2999"/>
      <c r="P10" s="3837"/>
      <c r="Q10" s="2914" t="str">
        <f t="shared" si="6"/>
        <v>土地使用年限（年）</v>
      </c>
      <c r="R10" s="1680" t="s">
        <v>25</v>
      </c>
      <c r="S10" s="1681">
        <f t="shared" si="0"/>
        <v>100</v>
      </c>
      <c r="T10" s="1680" t="s">
        <v>25</v>
      </c>
      <c r="U10" s="1681">
        <f t="shared" si="1"/>
        <v>100</v>
      </c>
      <c r="V10" s="1680" t="s">
        <v>25</v>
      </c>
      <c r="W10" s="1681">
        <f t="shared" si="2"/>
        <v>100</v>
      </c>
      <c r="X10" s="1682"/>
      <c r="Y10" s="3856"/>
      <c r="Z10" s="1693" t="str">
        <f t="shared" si="7"/>
        <v>土地使用年限（年）</v>
      </c>
      <c r="AA10" s="1683">
        <f t="shared" si="3"/>
        <v>1</v>
      </c>
      <c r="AB10" s="1683">
        <f t="shared" si="4"/>
        <v>1</v>
      </c>
      <c r="AC10" s="1683">
        <f t="shared" si="5"/>
        <v>1</v>
      </c>
    </row>
    <row r="11" spans="1:29" ht="15">
      <c r="A11" s="1702"/>
      <c r="B11" s="1695" t="s">
        <v>2267</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0"/>
      <c r="M11" s="2997"/>
      <c r="N11" s="2997"/>
      <c r="O11" s="2997"/>
      <c r="P11" s="3837"/>
      <c r="Q11" s="2914" t="str">
        <f t="shared" si="6"/>
        <v>容积率</v>
      </c>
      <c r="R11" s="1680" t="s">
        <v>25</v>
      </c>
      <c r="S11" s="1681">
        <f t="shared" si="0"/>
        <v>100</v>
      </c>
      <c r="T11" s="1680" t="s">
        <v>25</v>
      </c>
      <c r="U11" s="1681">
        <f t="shared" si="1"/>
        <v>100</v>
      </c>
      <c r="V11" s="1680" t="s">
        <v>25</v>
      </c>
      <c r="W11" s="1681">
        <f t="shared" si="2"/>
        <v>100</v>
      </c>
      <c r="X11" s="1682"/>
      <c r="Y11" s="3856"/>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6"/>
      <c r="M12" s="2969"/>
      <c r="N12" s="2969"/>
      <c r="O12" s="2969"/>
      <c r="P12" s="3837"/>
      <c r="Q12" s="2914">
        <f t="shared" si="6"/>
        <v>111</v>
      </c>
      <c r="R12" s="1680" t="s">
        <v>25</v>
      </c>
      <c r="S12" s="1681">
        <f t="shared" si="0"/>
        <v>100</v>
      </c>
      <c r="T12" s="1680" t="s">
        <v>25</v>
      </c>
      <c r="U12" s="1681">
        <f t="shared" si="1"/>
        <v>100</v>
      </c>
      <c r="V12" s="1680" t="s">
        <v>25</v>
      </c>
      <c r="W12" s="1681">
        <f t="shared" si="2"/>
        <v>100</v>
      </c>
      <c r="X12" s="1682"/>
      <c r="Y12" s="3856"/>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1"/>
      <c r="M13" s="2997"/>
      <c r="N13" s="2997"/>
      <c r="O13" s="2997"/>
      <c r="P13" s="3837"/>
      <c r="Q13" s="2914">
        <f t="shared" si="6"/>
        <v>111</v>
      </c>
      <c r="R13" s="1680" t="s">
        <v>25</v>
      </c>
      <c r="S13" s="1681">
        <f t="shared" si="0"/>
        <v>100</v>
      </c>
      <c r="T13" s="1680" t="s">
        <v>25</v>
      </c>
      <c r="U13" s="1681">
        <f t="shared" si="1"/>
        <v>100</v>
      </c>
      <c r="V13" s="1680" t="s">
        <v>25</v>
      </c>
      <c r="W13" s="1681">
        <f t="shared" si="2"/>
        <v>100</v>
      </c>
      <c r="X13" s="1682"/>
      <c r="Y13" s="3856"/>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1"/>
      <c r="M14" s="2997"/>
      <c r="N14" s="2997"/>
      <c r="O14" s="2997"/>
      <c r="P14" s="3837"/>
      <c r="Q14" s="2914">
        <f t="shared" si="6"/>
        <v>111</v>
      </c>
      <c r="R14" s="1680" t="s">
        <v>25</v>
      </c>
      <c r="S14" s="1681">
        <f t="shared" si="0"/>
        <v>100</v>
      </c>
      <c r="T14" s="1680" t="s">
        <v>25</v>
      </c>
      <c r="U14" s="1681">
        <f t="shared" si="1"/>
        <v>100</v>
      </c>
      <c r="V14" s="1680" t="s">
        <v>25</v>
      </c>
      <c r="W14" s="1681">
        <f t="shared" si="2"/>
        <v>100</v>
      </c>
      <c r="X14" s="1682"/>
      <c r="Y14" s="3856"/>
      <c r="Z14" s="1693">
        <f t="shared" si="7"/>
        <v>111</v>
      </c>
      <c r="AA14" s="1683">
        <f t="shared" si="3"/>
        <v>1</v>
      </c>
      <c r="AB14" s="1683">
        <f t="shared" si="4"/>
        <v>1</v>
      </c>
      <c r="AC14" s="1683">
        <f t="shared" si="5"/>
        <v>1</v>
      </c>
    </row>
    <row r="15" spans="1:29" ht="41.25" customHeight="1">
      <c r="A15" s="1717" t="s">
        <v>2268</v>
      </c>
      <c r="B15" s="2492" t="s">
        <v>2383</v>
      </c>
      <c r="C15" s="1973" t="str">
        <f>估价对象房地状况!C5</f>
        <v>估价对象位于知春路商圈，周边办公楼项目有希格玛大厦、资金数码园、厦门大厦、卫星大厦、金仪科技大厦，入驻率高，办公集聚程度较好</v>
      </c>
      <c r="D15" s="1720">
        <v>100</v>
      </c>
      <c r="E15" s="3740" t="s">
        <v>3561</v>
      </c>
      <c r="F15" s="1720">
        <f>SUMIF(77:77,E16,78:78)-SUMIF(77:77,C16,78:78)+100</f>
        <v>105</v>
      </c>
      <c r="G15" s="3740" t="s">
        <v>3564</v>
      </c>
      <c r="H15" s="1720">
        <f>SUMIF(77:77,G16,78:78)-SUMIF(77:77,C16,78:78)+100</f>
        <v>95</v>
      </c>
      <c r="I15" s="3740" t="s">
        <v>3561</v>
      </c>
      <c r="J15" s="1720">
        <f>SUMIF(77:77,I16,78:78)-SUMIF(77:77,C16,78:78)+100</f>
        <v>105</v>
      </c>
      <c r="K15" s="2472">
        <v>5</v>
      </c>
      <c r="L15" s="3001"/>
      <c r="M15" s="2997"/>
      <c r="N15" s="2997"/>
      <c r="O15" s="2997"/>
      <c r="P15" s="3854" t="s">
        <v>2269</v>
      </c>
      <c r="Q15" s="2915" t="str">
        <f t="shared" si="6"/>
        <v>办公集聚程度</v>
      </c>
      <c r="R15" s="1725" t="s">
        <v>25</v>
      </c>
      <c r="S15" s="1726">
        <f t="shared" si="0"/>
        <v>105</v>
      </c>
      <c r="T15" s="1725" t="s">
        <v>25</v>
      </c>
      <c r="U15" s="1726">
        <f t="shared" si="1"/>
        <v>95</v>
      </c>
      <c r="V15" s="1725" t="s">
        <v>25</v>
      </c>
      <c r="W15" s="1726">
        <f t="shared" si="2"/>
        <v>105</v>
      </c>
      <c r="X15" s="2074"/>
      <c r="Y15" s="3854" t="s">
        <v>2269</v>
      </c>
      <c r="Z15" s="2078" t="str">
        <f t="shared" si="7"/>
        <v>办公集聚程度</v>
      </c>
      <c r="AA15" s="2069">
        <f t="shared" si="3"/>
        <v>0.95238095238095233</v>
      </c>
      <c r="AB15" s="2069">
        <f t="shared" si="4"/>
        <v>1.0526315789473684</v>
      </c>
      <c r="AC15" s="2069">
        <f t="shared" si="5"/>
        <v>0.95238095238095233</v>
      </c>
    </row>
    <row r="16" spans="1:29" ht="15">
      <c r="A16" s="1702"/>
      <c r="B16" s="2493"/>
      <c r="C16" s="1975" t="s">
        <v>30</v>
      </c>
      <c r="D16" s="1731"/>
      <c r="E16" s="1975" t="s">
        <v>29</v>
      </c>
      <c r="F16" s="1731"/>
      <c r="G16" s="1975" t="s">
        <v>31</v>
      </c>
      <c r="H16" s="1735"/>
      <c r="I16" s="1975" t="s">
        <v>29</v>
      </c>
      <c r="J16" s="1731"/>
      <c r="K16" s="2473"/>
      <c r="L16" s="3001"/>
      <c r="M16" s="2997"/>
      <c r="N16" s="2997"/>
      <c r="O16" s="2997"/>
      <c r="P16" s="3855"/>
      <c r="Q16" s="2915"/>
      <c r="R16" s="1725"/>
      <c r="S16" s="1726"/>
      <c r="T16" s="1725"/>
      <c r="U16" s="1726"/>
      <c r="V16" s="1725"/>
      <c r="W16" s="1726"/>
      <c r="X16" s="2074"/>
      <c r="Y16" s="3855"/>
      <c r="Z16" s="2078"/>
      <c r="AA16" s="2069">
        <v>1</v>
      </c>
      <c r="AB16" s="2069">
        <v>1</v>
      </c>
      <c r="AC16" s="2069">
        <v>1</v>
      </c>
    </row>
    <row r="17" spans="1:29" ht="80.25" customHeight="1">
      <c r="A17" s="1702"/>
      <c r="B17" s="2494" t="s">
        <v>1704</v>
      </c>
      <c r="C17" s="1980" t="str">
        <f>估价对象房地状况!C6</f>
        <v>估价对象临近知春路，距离地铁10、13号线知春路站约100米，周边有专168路、311路、319路、630路等公交车通达，停车便捷程度较好，综合评价交通便捷度好</v>
      </c>
      <c r="D17" s="1735">
        <v>100</v>
      </c>
      <c r="E17" s="3742" t="s">
        <v>3562</v>
      </c>
      <c r="F17" s="1735">
        <f>SUMIF(79:79,E18,80:80)-SUMIF(79:79,C18,80:80)+100</f>
        <v>100</v>
      </c>
      <c r="G17" s="3742" t="s">
        <v>3565</v>
      </c>
      <c r="H17" s="1742">
        <f>SUMIF(79:79,G18,80:80)-SUMIF(79:79,C18,80:80)+100</f>
        <v>100</v>
      </c>
      <c r="I17" s="3742" t="s">
        <v>3572</v>
      </c>
      <c r="J17" s="1742">
        <f>SUMIF(79:79,I18,80:80)-SUMIF(79:79,C18,80:80)+100</f>
        <v>100</v>
      </c>
      <c r="K17" s="2472">
        <v>3</v>
      </c>
      <c r="L17" s="3001"/>
      <c r="M17" s="2997"/>
      <c r="N17" s="2997"/>
      <c r="O17" s="2997"/>
      <c r="P17" s="3855"/>
      <c r="Q17" s="2915" t="str">
        <f>B17</f>
        <v>交通便捷度</v>
      </c>
      <c r="R17" s="1725" t="s">
        <v>25</v>
      </c>
      <c r="S17" s="1726">
        <f>F17</f>
        <v>100</v>
      </c>
      <c r="T17" s="1725" t="s">
        <v>25</v>
      </c>
      <c r="U17" s="1726">
        <f>H17</f>
        <v>100</v>
      </c>
      <c r="V17" s="1725" t="s">
        <v>25</v>
      </c>
      <c r="W17" s="1726">
        <f>J17</f>
        <v>100</v>
      </c>
      <c r="X17" s="2074"/>
      <c r="Y17" s="3855"/>
      <c r="Z17" s="2078" t="str">
        <f>Q17</f>
        <v>交通便捷度</v>
      </c>
      <c r="AA17" s="2069">
        <f t="shared" si="3"/>
        <v>1</v>
      </c>
      <c r="AB17" s="2069">
        <f t="shared" si="4"/>
        <v>1</v>
      </c>
      <c r="AC17" s="2069">
        <f t="shared" si="5"/>
        <v>1</v>
      </c>
    </row>
    <row r="18" spans="1:29" ht="15">
      <c r="A18" s="1702"/>
      <c r="B18" s="2495"/>
      <c r="C18" s="1979" t="s">
        <v>29</v>
      </c>
      <c r="D18" s="1735"/>
      <c r="E18" s="1979" t="s">
        <v>29</v>
      </c>
      <c r="F18" s="1735"/>
      <c r="G18" s="1979" t="s">
        <v>29</v>
      </c>
      <c r="H18" s="1731"/>
      <c r="I18" s="1979" t="s">
        <v>29</v>
      </c>
      <c r="J18" s="1731"/>
      <c r="K18" s="2473"/>
      <c r="L18" s="3001"/>
      <c r="M18" s="2997"/>
      <c r="N18" s="2997"/>
      <c r="O18" s="2997"/>
      <c r="P18" s="3855"/>
      <c r="Q18" s="2915"/>
      <c r="R18" s="1725"/>
      <c r="S18" s="1726"/>
      <c r="T18" s="1725"/>
      <c r="U18" s="1726"/>
      <c r="V18" s="1725"/>
      <c r="W18" s="1726"/>
      <c r="X18" s="2074"/>
      <c r="Y18" s="3855"/>
      <c r="Z18" s="2078"/>
      <c r="AA18" s="2069">
        <v>1</v>
      </c>
      <c r="AB18" s="2069">
        <v>1</v>
      </c>
      <c r="AC18" s="2069">
        <v>1</v>
      </c>
    </row>
    <row r="19" spans="1:29" ht="87.75" customHeight="1">
      <c r="A19" s="1702"/>
      <c r="B19" s="2494" t="s">
        <v>2384</v>
      </c>
      <c r="C19" s="1980"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3741" t="s">
        <v>3560</v>
      </c>
      <c r="F19" s="1742">
        <f>SUMIF(81:81,E20,82:82)-SUMIF(81:81,C20,82:82)+100</f>
        <v>100</v>
      </c>
      <c r="G19" s="3741" t="s">
        <v>3566</v>
      </c>
      <c r="H19" s="1735">
        <f>SUMIF(81:81,G20,82:82)-SUMIF(81:81,C20,82:82)+100</f>
        <v>100</v>
      </c>
      <c r="I19" s="3741" t="s">
        <v>3571</v>
      </c>
      <c r="J19" s="1735">
        <f>SUMIF(81:81,I20,82:82)-SUMIF(81:81,C20,82:82)+100</f>
        <v>105</v>
      </c>
      <c r="K19" s="2472">
        <v>5</v>
      </c>
      <c r="L19" s="3001"/>
      <c r="M19" s="2997"/>
      <c r="N19" s="2997"/>
      <c r="O19" s="2997"/>
      <c r="P19" s="3855"/>
      <c r="Q19" s="2915" t="str">
        <f>B19</f>
        <v>公共配套设施</v>
      </c>
      <c r="R19" s="1725" t="s">
        <v>25</v>
      </c>
      <c r="S19" s="1726">
        <f>F19</f>
        <v>100</v>
      </c>
      <c r="T19" s="1725" t="s">
        <v>25</v>
      </c>
      <c r="U19" s="1726">
        <f>H19</f>
        <v>100</v>
      </c>
      <c r="V19" s="1725" t="s">
        <v>25</v>
      </c>
      <c r="W19" s="1726">
        <f>J19</f>
        <v>105</v>
      </c>
      <c r="X19" s="2074"/>
      <c r="Y19" s="3855"/>
      <c r="Z19" s="2078" t="str">
        <f>Q19</f>
        <v>公共配套设施</v>
      </c>
      <c r="AA19" s="2069">
        <f t="shared" si="3"/>
        <v>1</v>
      </c>
      <c r="AB19" s="2069">
        <f t="shared" si="4"/>
        <v>1</v>
      </c>
      <c r="AC19" s="2069">
        <f t="shared" si="5"/>
        <v>0.95238095238095233</v>
      </c>
    </row>
    <row r="20" spans="1:29" ht="15">
      <c r="A20" s="1702"/>
      <c r="B20" s="2495"/>
      <c r="C20" s="1975" t="s">
        <v>30</v>
      </c>
      <c r="D20" s="1731"/>
      <c r="E20" s="1975" t="s">
        <v>30</v>
      </c>
      <c r="F20" s="1731"/>
      <c r="G20" s="1975" t="s">
        <v>30</v>
      </c>
      <c r="H20" s="1731"/>
      <c r="I20" s="1975" t="s">
        <v>29</v>
      </c>
      <c r="J20" s="1731"/>
      <c r="K20" s="2473"/>
      <c r="L20" s="3001"/>
      <c r="M20" s="2997"/>
      <c r="N20" s="2997"/>
      <c r="O20" s="2997"/>
      <c r="P20" s="3855"/>
      <c r="Q20" s="2915"/>
      <c r="R20" s="1725"/>
      <c r="S20" s="1726"/>
      <c r="T20" s="1725"/>
      <c r="U20" s="1726"/>
      <c r="V20" s="1725"/>
      <c r="W20" s="1726"/>
      <c r="X20" s="2074"/>
      <c r="Y20" s="3855"/>
      <c r="Z20" s="2078"/>
      <c r="AA20" s="2069">
        <v>1</v>
      </c>
      <c r="AB20" s="2069">
        <v>1</v>
      </c>
      <c r="AC20" s="2069">
        <v>1</v>
      </c>
    </row>
    <row r="21" spans="1:29" ht="40.5" customHeight="1">
      <c r="A21" s="1702"/>
      <c r="B21" s="2496" t="s">
        <v>2385</v>
      </c>
      <c r="C21" s="1980" t="str">
        <f>估价对象房地状况!C8</f>
        <v>估价对象所在区域基础设施水平-七通</v>
      </c>
      <c r="D21" s="1742">
        <v>100</v>
      </c>
      <c r="E21" s="3743" t="s">
        <v>3563</v>
      </c>
      <c r="F21" s="1742">
        <f>SUMIF(83:83,E22,84:84)-SUMIF(83:83,C22,84:84)+100</f>
        <v>100</v>
      </c>
      <c r="G21" s="3743" t="s">
        <v>3563</v>
      </c>
      <c r="H21" s="1735">
        <f>SUMIF(83:83,G22,84:84)-SUMIF(83:83,C22,84:84)+100</f>
        <v>100</v>
      </c>
      <c r="I21" s="3743" t="s">
        <v>3563</v>
      </c>
      <c r="J21" s="1735">
        <f>SUMIF(83:83,I22,84:84)-SUMIF(83:83,C22,84:84)+100</f>
        <v>100</v>
      </c>
      <c r="K21" s="2472"/>
      <c r="L21" s="3001"/>
      <c r="M21" s="2997"/>
      <c r="N21" s="2997"/>
      <c r="O21" s="2997"/>
      <c r="P21" s="3855"/>
      <c r="Q21" s="2915" t="str">
        <f>B21</f>
        <v>基础设施水平</v>
      </c>
      <c r="R21" s="1725" t="s">
        <v>25</v>
      </c>
      <c r="S21" s="1726">
        <f>F21</f>
        <v>100</v>
      </c>
      <c r="T21" s="1725" t="s">
        <v>25</v>
      </c>
      <c r="U21" s="1726">
        <f>H21</f>
        <v>100</v>
      </c>
      <c r="V21" s="1725" t="s">
        <v>25</v>
      </c>
      <c r="W21" s="1726">
        <f>J21</f>
        <v>100</v>
      </c>
      <c r="X21" s="2074"/>
      <c r="Y21" s="3855"/>
      <c r="Z21" s="2078" t="str">
        <f>Q21</f>
        <v>基础设施水平</v>
      </c>
      <c r="AA21" s="2069">
        <f t="shared" ref="AA21" si="8">D21/F21</f>
        <v>1</v>
      </c>
      <c r="AB21" s="2069">
        <f t="shared" ref="AB21" si="9">D21/H21</f>
        <v>1</v>
      </c>
      <c r="AC21" s="2069">
        <f t="shared" ref="AC21" si="10">D21/J21</f>
        <v>1</v>
      </c>
    </row>
    <row r="22" spans="1:29" ht="15">
      <c r="A22" s="1702"/>
      <c r="B22" s="2496"/>
      <c r="C22" s="1979" t="s">
        <v>2933</v>
      </c>
      <c r="D22" s="1731"/>
      <c r="E22" s="1979" t="s">
        <v>2933</v>
      </c>
      <c r="F22" s="1731"/>
      <c r="G22" s="1979" t="s">
        <v>2933</v>
      </c>
      <c r="H22" s="1731"/>
      <c r="I22" s="1979" t="s">
        <v>2933</v>
      </c>
      <c r="J22" s="1731"/>
      <c r="K22" s="2474"/>
      <c r="L22" s="3001"/>
      <c r="M22" s="2997"/>
      <c r="N22" s="2997"/>
      <c r="O22" s="2997"/>
      <c r="P22" s="3855"/>
      <c r="Q22" s="2915"/>
      <c r="R22" s="1725"/>
      <c r="S22" s="1726"/>
      <c r="T22" s="1725"/>
      <c r="U22" s="1726"/>
      <c r="V22" s="1725"/>
      <c r="W22" s="1726"/>
      <c r="X22" s="2074"/>
      <c r="Y22" s="3855"/>
      <c r="Z22" s="2078"/>
      <c r="AA22" s="2069">
        <v>1</v>
      </c>
      <c r="AB22" s="2069">
        <v>1</v>
      </c>
      <c r="AC22" s="2069">
        <v>1</v>
      </c>
    </row>
    <row r="23" spans="1:29" ht="99.75" customHeight="1">
      <c r="A23" s="1702"/>
      <c r="B23" s="2494" t="s">
        <v>2386</v>
      </c>
      <c r="C23" s="1980" t="str">
        <f>估价对象房地状况!C9</f>
        <v>区域自然环境：知春公园、双榆树公园；人文环境；首体足球场、大运村网球场；
综合评价环境状况较好</v>
      </c>
      <c r="D23" s="1735">
        <v>100</v>
      </c>
      <c r="E23" s="3741" t="s">
        <v>3559</v>
      </c>
      <c r="F23" s="1735">
        <f>SUMIF(85:85,E24,86:86)-SUMIF(85:85,C24,86:86)+100</f>
        <v>100</v>
      </c>
      <c r="G23" s="3741" t="s">
        <v>3567</v>
      </c>
      <c r="H23" s="1735">
        <f>SUMIF(85:85,G24,86:86)-SUMIF(85:85,C24,86:86)+100</f>
        <v>100</v>
      </c>
      <c r="I23" s="3741" t="s">
        <v>3570</v>
      </c>
      <c r="J23" s="1735">
        <f>SUMIF(85:85,I24,86:86)-SUMIF(85:85,C24,86:86)+100</f>
        <v>100</v>
      </c>
      <c r="K23" s="2472"/>
      <c r="L23" s="3001"/>
      <c r="M23" s="2997"/>
      <c r="N23" s="2997"/>
      <c r="O23" s="2997"/>
      <c r="P23" s="3855"/>
      <c r="Q23" s="2915" t="str">
        <f>B23</f>
        <v>环境质量</v>
      </c>
      <c r="R23" s="1725" t="s">
        <v>25</v>
      </c>
      <c r="S23" s="1726">
        <f>F23</f>
        <v>100</v>
      </c>
      <c r="T23" s="1725" t="s">
        <v>25</v>
      </c>
      <c r="U23" s="1726">
        <f>H23</f>
        <v>100</v>
      </c>
      <c r="V23" s="1725" t="s">
        <v>25</v>
      </c>
      <c r="W23" s="1726">
        <f>J23</f>
        <v>100</v>
      </c>
      <c r="X23" s="2074"/>
      <c r="Y23" s="3855"/>
      <c r="Z23" s="2078" t="str">
        <f>Q23</f>
        <v>环境质量</v>
      </c>
      <c r="AA23" s="2069">
        <f t="shared" si="3"/>
        <v>1</v>
      </c>
      <c r="AB23" s="2069">
        <f t="shared" si="4"/>
        <v>1</v>
      </c>
      <c r="AC23" s="2069">
        <f t="shared" si="5"/>
        <v>1</v>
      </c>
    </row>
    <row r="24" spans="1:29" ht="15">
      <c r="A24" s="1702"/>
      <c r="B24" s="2496"/>
      <c r="C24" s="1975" t="s">
        <v>30</v>
      </c>
      <c r="D24" s="1731"/>
      <c r="E24" s="1975" t="s">
        <v>30</v>
      </c>
      <c r="F24" s="1731"/>
      <c r="G24" s="1975" t="s">
        <v>30</v>
      </c>
      <c r="H24" s="1731"/>
      <c r="I24" s="1975" t="s">
        <v>30</v>
      </c>
      <c r="J24" s="1731"/>
      <c r="K24" s="2473"/>
      <c r="L24" s="3001"/>
      <c r="M24" s="2997"/>
      <c r="N24" s="2997"/>
      <c r="O24" s="2997"/>
      <c r="P24" s="3855"/>
      <c r="Q24" s="2915"/>
      <c r="R24" s="1725"/>
      <c r="S24" s="1726"/>
      <c r="T24" s="1725"/>
      <c r="U24" s="1726"/>
      <c r="V24" s="1725"/>
      <c r="W24" s="1726"/>
      <c r="X24" s="2074"/>
      <c r="Y24" s="3855"/>
      <c r="Z24" s="2078"/>
      <c r="AA24" s="2069">
        <v>1</v>
      </c>
      <c r="AB24" s="2069">
        <v>1</v>
      </c>
      <c r="AC24" s="2069">
        <v>1</v>
      </c>
    </row>
    <row r="25" spans="1:29" ht="27">
      <c r="A25" s="1667"/>
      <c r="B25" s="2494" t="s">
        <v>2387</v>
      </c>
      <c r="C25" s="3744" t="s">
        <v>3569</v>
      </c>
      <c r="D25" s="1711">
        <v>100</v>
      </c>
      <c r="E25" s="3739" t="s">
        <v>3558</v>
      </c>
      <c r="F25" s="1711">
        <f>SUMIF(87:87,E26,88:88)-SUMIF(87:87,C26,88:88)+100</f>
        <v>100</v>
      </c>
      <c r="G25" s="3744" t="s">
        <v>3568</v>
      </c>
      <c r="H25" s="1711">
        <f>SUMIF(87:87,G26,88:88)-SUMIF(87:87,C26,88:88)+100</f>
        <v>100</v>
      </c>
      <c r="I25" s="3744" t="s">
        <v>3558</v>
      </c>
      <c r="J25" s="1711">
        <f>SUMIF(87:87,I26,88:88)-SUMIF(87:87,C26,88:88)+100</f>
        <v>100</v>
      </c>
      <c r="K25" s="2472"/>
      <c r="L25" s="3001"/>
      <c r="M25" s="2997"/>
      <c r="N25" s="2997"/>
      <c r="O25" s="2997"/>
      <c r="P25" s="3855"/>
      <c r="Q25" s="2915" t="str">
        <f>B25</f>
        <v>毗邻道路的类型与等级</v>
      </c>
      <c r="R25" s="1725" t="s">
        <v>25</v>
      </c>
      <c r="S25" s="1726">
        <f>F25</f>
        <v>100</v>
      </c>
      <c r="T25" s="1725" t="s">
        <v>25</v>
      </c>
      <c r="U25" s="1726">
        <f>H25</f>
        <v>100</v>
      </c>
      <c r="V25" s="1725" t="s">
        <v>25</v>
      </c>
      <c r="W25" s="1726">
        <f>J25</f>
        <v>100</v>
      </c>
      <c r="X25" s="2074"/>
      <c r="Y25" s="3855"/>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3001"/>
      <c r="M26" s="2997"/>
      <c r="N26" s="2997"/>
      <c r="O26" s="2997"/>
      <c r="P26" s="3855"/>
      <c r="Q26" s="2915"/>
      <c r="R26" s="1725"/>
      <c r="S26" s="1726"/>
      <c r="T26" s="1725"/>
      <c r="U26" s="1726"/>
      <c r="V26" s="1725"/>
      <c r="W26" s="1726"/>
      <c r="X26" s="2074"/>
      <c r="Y26" s="3855"/>
      <c r="Z26" s="2078"/>
      <c r="AA26" s="2069">
        <v>1</v>
      </c>
      <c r="AB26" s="2069">
        <v>1</v>
      </c>
      <c r="AC26" s="2069">
        <v>1</v>
      </c>
    </row>
    <row r="27" spans="1:29" ht="15">
      <c r="A27" s="1702"/>
      <c r="B27" s="2495" t="s">
        <v>2360</v>
      </c>
      <c r="C27" s="1983" t="s">
        <v>2914</v>
      </c>
      <c r="D27" s="1711">
        <v>100</v>
      </c>
      <c r="E27" s="1991" t="s">
        <v>2914</v>
      </c>
      <c r="F27" s="1711">
        <f>SUMIF(89:89,E27,90:90)-SUMIF(89:89,C27,90:90)+100</f>
        <v>100</v>
      </c>
      <c r="G27" s="1983" t="s">
        <v>2914</v>
      </c>
      <c r="H27" s="1711">
        <f>SUMIF(89:89,G27,90:90)-SUMIF(89:89,C27,90:90)+100</f>
        <v>100</v>
      </c>
      <c r="I27" s="1991" t="s">
        <v>2912</v>
      </c>
      <c r="J27" s="1711">
        <f>SUMIF(89:89,I27,90:90)-SUMIF(89:89,C27,90:90)+100</f>
        <v>102</v>
      </c>
      <c r="K27" s="1992">
        <v>2</v>
      </c>
      <c r="L27" s="3001"/>
      <c r="M27" s="2997"/>
      <c r="N27" s="2997"/>
      <c r="O27" s="2997"/>
      <c r="P27" s="3855"/>
      <c r="Q27" s="2915" t="str">
        <f t="shared" ref="Q27:Q47" si="11">B27</f>
        <v>楼层</v>
      </c>
      <c r="R27" s="1725" t="s">
        <v>25</v>
      </c>
      <c r="S27" s="1726">
        <f>F27</f>
        <v>100</v>
      </c>
      <c r="T27" s="1725" t="s">
        <v>25</v>
      </c>
      <c r="U27" s="1726">
        <f>H27</f>
        <v>100</v>
      </c>
      <c r="V27" s="1725" t="s">
        <v>25</v>
      </c>
      <c r="W27" s="1726">
        <f>J27</f>
        <v>102</v>
      </c>
      <c r="X27" s="2074"/>
      <c r="Y27" s="3855"/>
      <c r="Z27" s="2078" t="str">
        <f>Q27</f>
        <v>楼层</v>
      </c>
      <c r="AA27" s="2069">
        <f t="shared" si="3"/>
        <v>1</v>
      </c>
      <c r="AB27" s="2069">
        <f t="shared" si="4"/>
        <v>1</v>
      </c>
      <c r="AC27" s="2069">
        <f t="shared" si="5"/>
        <v>0.98039215686274506</v>
      </c>
    </row>
    <row r="28" spans="1:29" s="1684" customFormat="1" ht="15">
      <c r="A28" s="1705"/>
      <c r="B28" s="2494" t="s">
        <v>2388</v>
      </c>
      <c r="C28" s="2498"/>
      <c r="D28" s="1756">
        <v>100</v>
      </c>
      <c r="E28" s="2476"/>
      <c r="F28" s="1756">
        <f>SUMIF(91:91,E28,92:92)-SUMIF(91:91,C28,92:92)+100</f>
        <v>100</v>
      </c>
      <c r="G28" s="2498"/>
      <c r="H28" s="1756">
        <f>SUMIF(91:91,G28,92:92)-SUMIF(91:91,C28,92:92)+100</f>
        <v>100</v>
      </c>
      <c r="I28" s="2476"/>
      <c r="J28" s="1756">
        <f>SUMIF(91:91,I28,92:92)-SUMIF(91:91,C28,92:92)+100</f>
        <v>100</v>
      </c>
      <c r="K28" s="1992"/>
      <c r="L28" s="2996"/>
      <c r="M28" s="2969"/>
      <c r="N28" s="2969"/>
      <c r="O28" s="2969"/>
      <c r="P28" s="3855"/>
      <c r="Q28" s="2914" t="str">
        <f t="shared" si="11"/>
        <v>朝向</v>
      </c>
      <c r="R28" s="1680" t="s">
        <v>25</v>
      </c>
      <c r="S28" s="1681">
        <f>F28</f>
        <v>100</v>
      </c>
      <c r="T28" s="1680" t="s">
        <v>25</v>
      </c>
      <c r="U28" s="1681">
        <f>H28</f>
        <v>100</v>
      </c>
      <c r="V28" s="1680" t="s">
        <v>25</v>
      </c>
      <c r="W28" s="1681">
        <f>J28</f>
        <v>100</v>
      </c>
      <c r="X28" s="1682"/>
      <c r="Y28" s="3855"/>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1"/>
      <c r="M29" s="2997"/>
      <c r="N29" s="2997"/>
      <c r="O29" s="2997"/>
      <c r="P29" s="3855"/>
      <c r="Q29" s="2915">
        <f t="shared" si="11"/>
        <v>111</v>
      </c>
      <c r="R29" s="1725" t="s">
        <v>25</v>
      </c>
      <c r="S29" s="1726">
        <f t="shared" ref="S29:S47" si="12">F29</f>
        <v>100</v>
      </c>
      <c r="T29" s="1725" t="s">
        <v>25</v>
      </c>
      <c r="U29" s="1726">
        <f t="shared" ref="U29:U47" si="13">H29</f>
        <v>100</v>
      </c>
      <c r="V29" s="1725" t="s">
        <v>25</v>
      </c>
      <c r="W29" s="1726">
        <f t="shared" ref="W29:W47" si="14">J29</f>
        <v>100</v>
      </c>
      <c r="X29" s="2074"/>
      <c r="Y29" s="3855"/>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1"/>
      <c r="M30" s="2997"/>
      <c r="N30" s="2997"/>
      <c r="O30" s="2997"/>
      <c r="P30" s="3855"/>
      <c r="Q30" s="2915">
        <f t="shared" si="11"/>
        <v>111</v>
      </c>
      <c r="R30" s="1725" t="s">
        <v>25</v>
      </c>
      <c r="S30" s="1726">
        <f t="shared" si="12"/>
        <v>100</v>
      </c>
      <c r="T30" s="1725" t="s">
        <v>25</v>
      </c>
      <c r="U30" s="1726">
        <f t="shared" si="13"/>
        <v>100</v>
      </c>
      <c r="V30" s="1725" t="s">
        <v>25</v>
      </c>
      <c r="W30" s="1726">
        <f t="shared" si="14"/>
        <v>100</v>
      </c>
      <c r="X30" s="2074"/>
      <c r="Y30" s="3855"/>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1"/>
      <c r="M31" s="2997"/>
      <c r="N31" s="2997"/>
      <c r="O31" s="2997"/>
      <c r="P31" s="3855"/>
      <c r="Q31" s="2915">
        <f t="shared" si="11"/>
        <v>111</v>
      </c>
      <c r="R31" s="1725" t="s">
        <v>25</v>
      </c>
      <c r="S31" s="1726">
        <f t="shared" si="12"/>
        <v>100</v>
      </c>
      <c r="T31" s="1725" t="s">
        <v>25</v>
      </c>
      <c r="U31" s="1726">
        <f t="shared" si="13"/>
        <v>100</v>
      </c>
      <c r="V31" s="1725" t="s">
        <v>25</v>
      </c>
      <c r="W31" s="1726">
        <f t="shared" si="14"/>
        <v>100</v>
      </c>
      <c r="X31" s="2074"/>
      <c r="Y31" s="3855"/>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1"/>
      <c r="M32" s="2997"/>
      <c r="N32" s="2997"/>
      <c r="O32" s="2997"/>
      <c r="P32" s="3855"/>
      <c r="Q32" s="2915">
        <f t="shared" si="11"/>
        <v>111</v>
      </c>
      <c r="R32" s="1725" t="s">
        <v>25</v>
      </c>
      <c r="S32" s="1726">
        <f t="shared" si="12"/>
        <v>100</v>
      </c>
      <c r="T32" s="1725" t="s">
        <v>25</v>
      </c>
      <c r="U32" s="1726">
        <f t="shared" si="13"/>
        <v>100</v>
      </c>
      <c r="V32" s="1725" t="s">
        <v>25</v>
      </c>
      <c r="W32" s="1726">
        <f t="shared" si="14"/>
        <v>100</v>
      </c>
      <c r="X32" s="2074"/>
      <c r="Y32" s="3855"/>
      <c r="Z32" s="2078">
        <f t="shared" si="15"/>
        <v>111</v>
      </c>
      <c r="AA32" s="2069">
        <f t="shared" si="3"/>
        <v>1</v>
      </c>
      <c r="AB32" s="2069">
        <f t="shared" si="4"/>
        <v>1</v>
      </c>
      <c r="AC32" s="2069">
        <f t="shared" si="5"/>
        <v>1</v>
      </c>
    </row>
    <row r="33" spans="1:29" ht="15">
      <c r="A33" s="1717" t="s">
        <v>2273</v>
      </c>
      <c r="B33" s="1687" t="s">
        <v>2389</v>
      </c>
      <c r="C33" s="2502" t="s">
        <v>3556</v>
      </c>
      <c r="D33" s="1762">
        <v>100</v>
      </c>
      <c r="E33" s="2502" t="s">
        <v>3556</v>
      </c>
      <c r="F33" s="1754">
        <f>SUMIF(101:101,E33,102:102)-SUMIF(101:101,C33,102:102)+100</f>
        <v>100</v>
      </c>
      <c r="G33" s="2502" t="s">
        <v>3556</v>
      </c>
      <c r="H33" s="1711">
        <f>SUMIF(101:101,G33,102:102)-SUMIF(101:101,C33,102:102)+100</f>
        <v>100</v>
      </c>
      <c r="I33" s="2502" t="s">
        <v>3556</v>
      </c>
      <c r="J33" s="1762">
        <f>SUMIF(101:101,I33,102:102)-SUMIF(101:101,C33,102:102)+100</f>
        <v>100</v>
      </c>
      <c r="K33" s="1992"/>
      <c r="L33" s="3001"/>
      <c r="M33" s="2997"/>
      <c r="N33" s="2997"/>
      <c r="O33" s="2997"/>
      <c r="P33" s="3842" t="s">
        <v>2275</v>
      </c>
      <c r="Q33" s="2915" t="str">
        <f t="shared" si="11"/>
        <v>建筑类型</v>
      </c>
      <c r="R33" s="1725" t="s">
        <v>25</v>
      </c>
      <c r="S33" s="1726">
        <f t="shared" si="12"/>
        <v>100</v>
      </c>
      <c r="T33" s="1725" t="s">
        <v>25</v>
      </c>
      <c r="U33" s="1726">
        <f t="shared" si="13"/>
        <v>100</v>
      </c>
      <c r="V33" s="1725" t="s">
        <v>25</v>
      </c>
      <c r="W33" s="1726">
        <f t="shared" si="14"/>
        <v>100</v>
      </c>
      <c r="X33" s="2074"/>
      <c r="Y33" s="3843" t="s">
        <v>2275</v>
      </c>
      <c r="Z33" s="2078" t="str">
        <f t="shared" si="15"/>
        <v>建筑类型</v>
      </c>
      <c r="AA33" s="2069">
        <f t="shared" si="3"/>
        <v>1</v>
      </c>
      <c r="AB33" s="2069">
        <f t="shared" si="4"/>
        <v>1</v>
      </c>
      <c r="AC33" s="2069">
        <f t="shared" si="5"/>
        <v>1</v>
      </c>
    </row>
    <row r="34" spans="1:29" s="1771" customFormat="1" ht="15">
      <c r="A34" s="1764"/>
      <c r="B34" s="1695" t="s">
        <v>2276</v>
      </c>
      <c r="C34" s="1765">
        <f>项目基本情况!C12</f>
        <v>459.68</v>
      </c>
      <c r="D34" s="1697">
        <v>100</v>
      </c>
      <c r="E34" s="1704">
        <v>501</v>
      </c>
      <c r="F34" s="1699">
        <f>LOOKUP(E34,104:104,105:105)-LOOKUP(C34,104:104,105:105)+100</f>
        <v>98</v>
      </c>
      <c r="G34" s="1703">
        <v>290</v>
      </c>
      <c r="H34" s="1697">
        <f>LOOKUP(G34,104:104,105:105)-LOOKUP(C34,104:104,105:105)+100</f>
        <v>102</v>
      </c>
      <c r="I34" s="1703">
        <v>375</v>
      </c>
      <c r="J34" s="1697">
        <f>LOOKUP(I34,104:104,105:105)-LOOKUP(C34,104:104,105:105)+100</f>
        <v>100</v>
      </c>
      <c r="K34" s="1989"/>
      <c r="L34" s="3000"/>
      <c r="M34" s="2059"/>
      <c r="N34" s="2059"/>
      <c r="O34" s="2059"/>
      <c r="P34" s="3843"/>
      <c r="Q34" s="1766" t="str">
        <f t="shared" si="11"/>
        <v>项目建筑规模</v>
      </c>
      <c r="R34" s="1767" t="s">
        <v>25</v>
      </c>
      <c r="S34" s="1768">
        <f t="shared" si="12"/>
        <v>98</v>
      </c>
      <c r="T34" s="1767" t="s">
        <v>25</v>
      </c>
      <c r="U34" s="1768">
        <f t="shared" si="13"/>
        <v>102</v>
      </c>
      <c r="V34" s="1767" t="s">
        <v>25</v>
      </c>
      <c r="W34" s="1768">
        <f t="shared" si="14"/>
        <v>100</v>
      </c>
      <c r="X34" s="1769"/>
      <c r="Y34" s="3843"/>
      <c r="Z34" s="1770" t="str">
        <f t="shared" si="15"/>
        <v>项目建筑规模</v>
      </c>
      <c r="AA34" s="2069">
        <f t="shared" si="3"/>
        <v>1.0204081632653061</v>
      </c>
      <c r="AB34" s="2069">
        <f t="shared" si="4"/>
        <v>0.98039215686274506</v>
      </c>
      <c r="AC34" s="2069">
        <f t="shared" si="5"/>
        <v>1</v>
      </c>
    </row>
    <row r="35" spans="1:29" ht="15">
      <c r="A35" s="1772"/>
      <c r="B35" s="1695" t="s">
        <v>2277</v>
      </c>
      <c r="C35" s="1752" t="s">
        <v>2897</v>
      </c>
      <c r="D35" s="1711">
        <v>100</v>
      </c>
      <c r="E35" s="1752" t="s">
        <v>2897</v>
      </c>
      <c r="F35" s="1754">
        <f>SUMIF(106:106,E35,107:107)-SUMIF(106:106,C35,107:107)+100</f>
        <v>100</v>
      </c>
      <c r="G35" s="1752" t="s">
        <v>2897</v>
      </c>
      <c r="H35" s="1711">
        <f>SUMIF(106:106,G35,107:107)-SUMIF(106:106,C35,107:107)+100</f>
        <v>100</v>
      </c>
      <c r="I35" s="1752" t="s">
        <v>2897</v>
      </c>
      <c r="J35" s="1711">
        <f>SUMIF(106:106,I35,107:107)-SUMIF(106:106,C35,107:107)+100</f>
        <v>100</v>
      </c>
      <c r="K35" s="1992"/>
      <c r="L35" s="3001"/>
      <c r="M35" s="2997"/>
      <c r="N35" s="2997"/>
      <c r="O35" s="2997"/>
      <c r="P35" s="3843"/>
      <c r="Q35" s="2915" t="str">
        <f t="shared" si="11"/>
        <v>建筑结构</v>
      </c>
      <c r="R35" s="1725" t="s">
        <v>25</v>
      </c>
      <c r="S35" s="1726">
        <f t="shared" si="12"/>
        <v>100</v>
      </c>
      <c r="T35" s="1725" t="s">
        <v>25</v>
      </c>
      <c r="U35" s="1726">
        <f t="shared" si="13"/>
        <v>100</v>
      </c>
      <c r="V35" s="1725" t="s">
        <v>25</v>
      </c>
      <c r="W35" s="1726">
        <f t="shared" si="14"/>
        <v>100</v>
      </c>
      <c r="X35" s="2074"/>
      <c r="Y35" s="3843"/>
      <c r="Z35" s="2078" t="str">
        <f t="shared" si="15"/>
        <v>建筑结构</v>
      </c>
      <c r="AA35" s="2069">
        <f t="shared" si="3"/>
        <v>1</v>
      </c>
      <c r="AB35" s="2069">
        <f t="shared" si="4"/>
        <v>1</v>
      </c>
      <c r="AC35" s="2069">
        <f t="shared" si="5"/>
        <v>1</v>
      </c>
    </row>
    <row r="36" spans="1:29" ht="15">
      <c r="A36" s="1772"/>
      <c r="B36" s="1695" t="s">
        <v>2362</v>
      </c>
      <c r="C36" s="1752" t="s">
        <v>2900</v>
      </c>
      <c r="D36" s="1711">
        <v>100</v>
      </c>
      <c r="E36" s="1752" t="s">
        <v>2900</v>
      </c>
      <c r="F36" s="1754">
        <f>SUMIF(108:108,E36,109:109)-SUMIF(108:108,C36,109:109)+100</f>
        <v>100</v>
      </c>
      <c r="G36" s="1752" t="s">
        <v>2902</v>
      </c>
      <c r="H36" s="1711">
        <f>SUMIF(108:108,G36,109:109)-SUMIF(108:108,C36,109:109)+100</f>
        <v>98</v>
      </c>
      <c r="I36" s="1752" t="s">
        <v>2900</v>
      </c>
      <c r="J36" s="1711">
        <f>SUMIF(108:108,I36,109:109)-SUMIF(108:108,C36,109:109)+100</f>
        <v>100</v>
      </c>
      <c r="K36" s="1992">
        <v>2</v>
      </c>
      <c r="L36" s="3001"/>
      <c r="M36" s="2997"/>
      <c r="N36" s="2997"/>
      <c r="O36" s="2997"/>
      <c r="P36" s="3843"/>
      <c r="Q36" s="2915" t="str">
        <f t="shared" si="11"/>
        <v>公共部分装修</v>
      </c>
      <c r="R36" s="1725" t="s">
        <v>25</v>
      </c>
      <c r="S36" s="1726">
        <f t="shared" si="12"/>
        <v>100</v>
      </c>
      <c r="T36" s="1725" t="s">
        <v>25</v>
      </c>
      <c r="U36" s="1726">
        <f t="shared" si="13"/>
        <v>98</v>
      </c>
      <c r="V36" s="1725" t="s">
        <v>25</v>
      </c>
      <c r="W36" s="1726">
        <f t="shared" si="14"/>
        <v>100</v>
      </c>
      <c r="X36" s="2074"/>
      <c r="Y36" s="3843"/>
      <c r="Z36" s="2078" t="str">
        <f t="shared" si="15"/>
        <v>公共部分装修</v>
      </c>
      <c r="AA36" s="2069">
        <f t="shared" si="3"/>
        <v>1</v>
      </c>
      <c r="AB36" s="2069">
        <f t="shared" si="4"/>
        <v>1.0204081632653061</v>
      </c>
      <c r="AC36" s="2069">
        <f t="shared" si="5"/>
        <v>1</v>
      </c>
    </row>
    <row r="37" spans="1:29" ht="15">
      <c r="A37" s="1772"/>
      <c r="B37" s="1695" t="s">
        <v>2363</v>
      </c>
      <c r="C37" s="1776">
        <f>'数据-取费表'!E20</f>
        <v>0.8</v>
      </c>
      <c r="D37" s="1711">
        <v>100</v>
      </c>
      <c r="E37" s="1776">
        <f>1-(2016-E51)/60</f>
        <v>0.83333333333333337</v>
      </c>
      <c r="F37" s="1754">
        <f>LOOKUP(E37,111:111,112:112)-LOOKUP(C37,111:111,112:112)+100</f>
        <v>100</v>
      </c>
      <c r="G37" s="1776">
        <f>1-(2016-G51)/60</f>
        <v>0.73333333333333339</v>
      </c>
      <c r="H37" s="1754">
        <f>LOOKUP(G37,111:111,112:112)-LOOKUP(C37,111:111,112:112)+100</f>
        <v>98</v>
      </c>
      <c r="I37" s="1776">
        <f>1-(2016-I51)/60</f>
        <v>0.75</v>
      </c>
      <c r="J37" s="1711">
        <f>LOOKUP(I37,111:111,112:112)-LOOKUP(C37,111:111,112:112)+100</f>
        <v>98</v>
      </c>
      <c r="K37" s="1992">
        <v>2</v>
      </c>
      <c r="L37" s="3001"/>
      <c r="M37" s="2997"/>
      <c r="N37" s="2997"/>
      <c r="O37" s="2997"/>
      <c r="P37" s="3843"/>
      <c r="Q37" s="2915" t="str">
        <f t="shared" si="11"/>
        <v>成新度</v>
      </c>
      <c r="R37" s="1725" t="s">
        <v>25</v>
      </c>
      <c r="S37" s="1726">
        <f t="shared" si="12"/>
        <v>100</v>
      </c>
      <c r="T37" s="1725" t="s">
        <v>25</v>
      </c>
      <c r="U37" s="1726">
        <f t="shared" si="13"/>
        <v>98</v>
      </c>
      <c r="V37" s="1725" t="s">
        <v>25</v>
      </c>
      <c r="W37" s="1726">
        <f t="shared" si="14"/>
        <v>98</v>
      </c>
      <c r="X37" s="2074"/>
      <c r="Y37" s="3843"/>
      <c r="Z37" s="2078" t="str">
        <f t="shared" si="15"/>
        <v>成新度</v>
      </c>
      <c r="AA37" s="2069">
        <f t="shared" si="3"/>
        <v>1</v>
      </c>
      <c r="AB37" s="2069">
        <f t="shared" si="4"/>
        <v>1.0204081632653061</v>
      </c>
      <c r="AC37" s="2069">
        <f t="shared" si="5"/>
        <v>1.0204081632653061</v>
      </c>
    </row>
    <row r="38" spans="1:29" s="1684" customFormat="1" ht="15">
      <c r="A38" s="1775"/>
      <c r="B38" s="1695" t="s">
        <v>2390</v>
      </c>
      <c r="C38" s="1752" t="s">
        <v>3550</v>
      </c>
      <c r="D38" s="1697">
        <v>100</v>
      </c>
      <c r="E38" s="1752" t="s">
        <v>3550</v>
      </c>
      <c r="F38" s="1754">
        <f>SUMIF(113:113,E38,114:114)-SUMIF(113:113,C38,114:114)+100</f>
        <v>100</v>
      </c>
      <c r="G38" s="1752" t="s">
        <v>3552</v>
      </c>
      <c r="H38" s="1711">
        <f>SUMIF(113:113,G38,114:114)-SUMIF(113:113,C38,114:114)+100</f>
        <v>98</v>
      </c>
      <c r="I38" s="1752" t="s">
        <v>3552</v>
      </c>
      <c r="J38" s="1711">
        <f>SUMIF(113:113,I38,114:114)-SUMIF(113:113,C38,114:114)+100</f>
        <v>98</v>
      </c>
      <c r="K38" s="1992">
        <v>2</v>
      </c>
      <c r="L38" s="2996"/>
      <c r="M38" s="2969"/>
      <c r="N38" s="2969"/>
      <c r="O38" s="2969"/>
      <c r="P38" s="3843"/>
      <c r="Q38" s="2914" t="str">
        <f t="shared" si="11"/>
        <v>写字楼等级</v>
      </c>
      <c r="R38" s="1680" t="s">
        <v>25</v>
      </c>
      <c r="S38" s="1681">
        <f t="shared" si="12"/>
        <v>100</v>
      </c>
      <c r="T38" s="1680" t="s">
        <v>25</v>
      </c>
      <c r="U38" s="1681">
        <f t="shared" si="13"/>
        <v>98</v>
      </c>
      <c r="V38" s="1680" t="s">
        <v>25</v>
      </c>
      <c r="W38" s="1681">
        <f t="shared" si="14"/>
        <v>98</v>
      </c>
      <c r="X38" s="1682"/>
      <c r="Y38" s="3843"/>
      <c r="Z38" s="1693" t="str">
        <f t="shared" si="15"/>
        <v>写字楼等级</v>
      </c>
      <c r="AA38" s="1683">
        <f t="shared" si="3"/>
        <v>1</v>
      </c>
      <c r="AB38" s="1683">
        <f t="shared" si="4"/>
        <v>1.0204081632653061</v>
      </c>
      <c r="AC38" s="1683">
        <f t="shared" si="5"/>
        <v>1.0204081632653061</v>
      </c>
    </row>
    <row r="39" spans="1:29" ht="15">
      <c r="A39" s="1772"/>
      <c r="B39" s="1695" t="s">
        <v>2391</v>
      </c>
      <c r="C39" s="1752" t="s">
        <v>3573</v>
      </c>
      <c r="D39" s="1711">
        <v>100</v>
      </c>
      <c r="E39" s="1752" t="s">
        <v>3573</v>
      </c>
      <c r="F39" s="1754">
        <f>SUMIF(115:115,E39,116:116)-SUMIF(115:115,C39,116:116)+100</f>
        <v>100</v>
      </c>
      <c r="G39" s="1752" t="s">
        <v>3573</v>
      </c>
      <c r="H39" s="1711">
        <f>SUMIF(115:115,G39,116:116)-SUMIF(115:115,C39,116:116)+100</f>
        <v>100</v>
      </c>
      <c r="I39" s="1752" t="s">
        <v>3573</v>
      </c>
      <c r="J39" s="1711">
        <f>SUMIF(115:115,I39,116:116)-SUMIF(115:115,C39,116:116)+100</f>
        <v>100</v>
      </c>
      <c r="K39" s="1992"/>
      <c r="L39" s="3001"/>
      <c r="M39" s="2997"/>
      <c r="N39" s="2997"/>
      <c r="O39" s="2997"/>
      <c r="P39" s="3843" t="s">
        <v>2275</v>
      </c>
      <c r="Q39" s="2915" t="str">
        <f t="shared" si="11"/>
        <v>物业管理</v>
      </c>
      <c r="R39" s="1725" t="s">
        <v>25</v>
      </c>
      <c r="S39" s="1726">
        <f t="shared" si="12"/>
        <v>100</v>
      </c>
      <c r="T39" s="1725" t="s">
        <v>25</v>
      </c>
      <c r="U39" s="1726">
        <f t="shared" si="13"/>
        <v>100</v>
      </c>
      <c r="V39" s="1725" t="s">
        <v>25</v>
      </c>
      <c r="W39" s="1726">
        <f t="shared" si="14"/>
        <v>100</v>
      </c>
      <c r="X39" s="2074"/>
      <c r="Y39" s="3843" t="s">
        <v>2275</v>
      </c>
      <c r="Z39" s="2078" t="str">
        <f t="shared" si="15"/>
        <v>物业管理</v>
      </c>
      <c r="AA39" s="2069">
        <f t="shared" si="3"/>
        <v>1</v>
      </c>
      <c r="AB39" s="2069">
        <f t="shared" si="4"/>
        <v>1</v>
      </c>
      <c r="AC39" s="2069">
        <f t="shared" si="5"/>
        <v>1</v>
      </c>
    </row>
    <row r="40" spans="1:29" ht="15">
      <c r="A40" s="1772"/>
      <c r="B40" s="1695" t="s">
        <v>2364</v>
      </c>
      <c r="C40" s="1752" t="s">
        <v>3574</v>
      </c>
      <c r="D40" s="1711">
        <v>100</v>
      </c>
      <c r="E40" s="1752" t="s">
        <v>3574</v>
      </c>
      <c r="F40" s="1754">
        <f>SUMIF(117:117,E40,118:118)-SUMIF(117:117,C40,118:118)+100</f>
        <v>100</v>
      </c>
      <c r="G40" s="1752" t="s">
        <v>3574</v>
      </c>
      <c r="H40" s="1711">
        <f>SUMIF(117:117,G40,118:118)-SUMIF(117:117,C40,118:118)+100</f>
        <v>100</v>
      </c>
      <c r="I40" s="1752" t="s">
        <v>3574</v>
      </c>
      <c r="J40" s="1711">
        <f>SUMIF(117:117,I40,118:118)-SUMIF(117:117,C40,118:118)+100</f>
        <v>100</v>
      </c>
      <c r="K40" s="1992"/>
      <c r="L40" s="3001"/>
      <c r="M40" s="2997"/>
      <c r="N40" s="2997"/>
      <c r="O40" s="2997"/>
      <c r="P40" s="3843"/>
      <c r="Q40" s="2915" t="str">
        <f t="shared" si="11"/>
        <v>市政基础设施</v>
      </c>
      <c r="R40" s="1725" t="s">
        <v>25</v>
      </c>
      <c r="S40" s="1726">
        <f t="shared" si="12"/>
        <v>100</v>
      </c>
      <c r="T40" s="1725" t="s">
        <v>25</v>
      </c>
      <c r="U40" s="1726">
        <f t="shared" si="13"/>
        <v>100</v>
      </c>
      <c r="V40" s="1725" t="s">
        <v>25</v>
      </c>
      <c r="W40" s="1726">
        <f t="shared" si="14"/>
        <v>100</v>
      </c>
      <c r="X40" s="2074"/>
      <c r="Y40" s="3843"/>
      <c r="Z40" s="2078" t="str">
        <f t="shared" si="15"/>
        <v>市政基础设施</v>
      </c>
      <c r="AA40" s="2069">
        <f t="shared" si="3"/>
        <v>1</v>
      </c>
      <c r="AB40" s="2069">
        <f t="shared" si="4"/>
        <v>1</v>
      </c>
      <c r="AC40" s="2069">
        <f t="shared" si="5"/>
        <v>1</v>
      </c>
    </row>
    <row r="41" spans="1:29" ht="15">
      <c r="A41" s="1772"/>
      <c r="B41" s="1695" t="s">
        <v>2366</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3001"/>
      <c r="M41" s="2997"/>
      <c r="N41" s="2997"/>
      <c r="O41" s="2997"/>
      <c r="P41" s="3843"/>
      <c r="Q41" s="2915" t="str">
        <f t="shared" si="11"/>
        <v>层高</v>
      </c>
      <c r="R41" s="1725" t="s">
        <v>25</v>
      </c>
      <c r="S41" s="1726">
        <f t="shared" si="12"/>
        <v>100</v>
      </c>
      <c r="T41" s="1725" t="s">
        <v>25</v>
      </c>
      <c r="U41" s="1726">
        <f t="shared" si="13"/>
        <v>100</v>
      </c>
      <c r="V41" s="1725" t="s">
        <v>25</v>
      </c>
      <c r="W41" s="1726">
        <f t="shared" si="14"/>
        <v>100</v>
      </c>
      <c r="X41" s="2074"/>
      <c r="Y41" s="3843"/>
      <c r="Z41" s="2078" t="str">
        <f t="shared" si="15"/>
        <v>层高</v>
      </c>
      <c r="AA41" s="2069">
        <f t="shared" si="3"/>
        <v>1</v>
      </c>
      <c r="AB41" s="2069">
        <f t="shared" si="4"/>
        <v>1</v>
      </c>
      <c r="AC41" s="2069">
        <f t="shared" si="5"/>
        <v>1</v>
      </c>
    </row>
    <row r="42" spans="1:29" s="1771" customFormat="1" ht="15">
      <c r="A42" s="1764"/>
      <c r="B42" s="2070" t="s">
        <v>2392</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0"/>
      <c r="M42" s="2059"/>
      <c r="N42" s="2059"/>
      <c r="O42" s="2059"/>
      <c r="P42" s="3843"/>
      <c r="Q42" s="1766" t="str">
        <f t="shared" si="11"/>
        <v>单套建筑面积</v>
      </c>
      <c r="R42" s="1767" t="s">
        <v>25</v>
      </c>
      <c r="S42" s="1768">
        <f t="shared" si="12"/>
        <v>100</v>
      </c>
      <c r="T42" s="1767" t="s">
        <v>25</v>
      </c>
      <c r="U42" s="1768">
        <f t="shared" si="13"/>
        <v>100</v>
      </c>
      <c r="V42" s="1767" t="s">
        <v>25</v>
      </c>
      <c r="W42" s="1768">
        <f t="shared" si="14"/>
        <v>100</v>
      </c>
      <c r="X42" s="1769"/>
      <c r="Y42" s="3843"/>
      <c r="Z42" s="1770" t="str">
        <f t="shared" si="15"/>
        <v>单套建筑面积</v>
      </c>
      <c r="AA42" s="2069">
        <f t="shared" si="3"/>
        <v>1</v>
      </c>
      <c r="AB42" s="2069">
        <f t="shared" si="4"/>
        <v>1</v>
      </c>
      <c r="AC42" s="2069">
        <f t="shared" si="5"/>
        <v>1</v>
      </c>
    </row>
    <row r="43" spans="1:29" ht="15">
      <c r="A43" s="1772"/>
      <c r="B43" s="1695" t="s">
        <v>2369</v>
      </c>
      <c r="C43" s="1752" t="s">
        <v>2902</v>
      </c>
      <c r="D43" s="1711">
        <v>100</v>
      </c>
      <c r="E43" s="1752" t="s">
        <v>2902</v>
      </c>
      <c r="F43" s="1754">
        <f>SUMIF(123:123,E43,124:124)-SUMIF(123:123,C43,124:124)+100</f>
        <v>100</v>
      </c>
      <c r="G43" s="1752" t="s">
        <v>2902</v>
      </c>
      <c r="H43" s="1711">
        <f>SUMIF(123:123,G43,124:124)-SUMIF(123:123,C43,124:124)+100</f>
        <v>100</v>
      </c>
      <c r="I43" s="1752" t="s">
        <v>2902</v>
      </c>
      <c r="J43" s="1711">
        <f>SUMIF(123:123,I43,124:124)-SUMIF(123:123,C43,124:124)+100</f>
        <v>100</v>
      </c>
      <c r="K43" s="1992">
        <v>2</v>
      </c>
      <c r="L43" s="3001"/>
      <c r="M43" s="2997"/>
      <c r="N43" s="2997"/>
      <c r="O43" s="2997"/>
      <c r="P43" s="3843"/>
      <c r="Q43" s="2915" t="str">
        <f t="shared" si="11"/>
        <v>内部装修</v>
      </c>
      <c r="R43" s="1725" t="s">
        <v>25</v>
      </c>
      <c r="S43" s="1726">
        <f t="shared" si="12"/>
        <v>100</v>
      </c>
      <c r="T43" s="1725" t="s">
        <v>25</v>
      </c>
      <c r="U43" s="1726">
        <f t="shared" si="13"/>
        <v>100</v>
      </c>
      <c r="V43" s="1725" t="s">
        <v>25</v>
      </c>
      <c r="W43" s="1726">
        <f t="shared" si="14"/>
        <v>100</v>
      </c>
      <c r="X43" s="2074"/>
      <c r="Y43" s="3843"/>
      <c r="Z43" s="2078" t="str">
        <f t="shared" si="15"/>
        <v>内部装修</v>
      </c>
      <c r="AA43" s="2069">
        <f t="shared" si="3"/>
        <v>1</v>
      </c>
      <c r="AB43" s="2069">
        <f t="shared" si="4"/>
        <v>1</v>
      </c>
      <c r="AC43" s="2069">
        <f t="shared" si="5"/>
        <v>1</v>
      </c>
    </row>
    <row r="44" spans="1:29" ht="15">
      <c r="A44" s="1772"/>
      <c r="B44" s="1695" t="s">
        <v>2286</v>
      </c>
      <c r="C44" s="1752" t="s">
        <v>30</v>
      </c>
      <c r="D44" s="1711">
        <v>100</v>
      </c>
      <c r="E44" s="1752" t="s">
        <v>30</v>
      </c>
      <c r="F44" s="1754">
        <f>SUMIF(125:125,E44,126:126)-SUMIF(125:125,C44,126:126)+100</f>
        <v>100</v>
      </c>
      <c r="G44" s="1752" t="s">
        <v>31</v>
      </c>
      <c r="H44" s="1711">
        <f>SUMIF(125:125,G44,126:126)-SUMIF(125:125,C44,126:126)+100</f>
        <v>95</v>
      </c>
      <c r="I44" s="1752" t="s">
        <v>30</v>
      </c>
      <c r="J44" s="1711">
        <f>SUMIF(125:125,I44,126:126)-SUMIF(125:125,C44,126:126)+100</f>
        <v>100</v>
      </c>
      <c r="K44" s="1992">
        <v>5</v>
      </c>
      <c r="L44" s="3001"/>
      <c r="M44" s="2997"/>
      <c r="N44" s="2997"/>
      <c r="O44" s="2997"/>
      <c r="P44" s="3843"/>
      <c r="Q44" s="2915" t="str">
        <f t="shared" si="11"/>
        <v>内部装修维护情况</v>
      </c>
      <c r="R44" s="1725" t="s">
        <v>25</v>
      </c>
      <c r="S44" s="1726">
        <f t="shared" si="12"/>
        <v>100</v>
      </c>
      <c r="T44" s="1725" t="s">
        <v>25</v>
      </c>
      <c r="U44" s="1726">
        <f t="shared" si="13"/>
        <v>95</v>
      </c>
      <c r="V44" s="1725" t="s">
        <v>25</v>
      </c>
      <c r="W44" s="1726">
        <f t="shared" si="14"/>
        <v>100</v>
      </c>
      <c r="X44" s="2074"/>
      <c r="Y44" s="3843"/>
      <c r="Z44" s="2078" t="str">
        <f t="shared" si="15"/>
        <v>内部装修维护情况</v>
      </c>
      <c r="AA44" s="2069">
        <f t="shared" si="3"/>
        <v>1</v>
      </c>
      <c r="AB44" s="2069">
        <f t="shared" si="4"/>
        <v>1.0526315789473684</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6"/>
      <c r="M45" s="2969"/>
      <c r="N45" s="2969"/>
      <c r="O45" s="2969"/>
      <c r="P45" s="3843"/>
      <c r="Q45" s="2914">
        <f t="shared" si="11"/>
        <v>111</v>
      </c>
      <c r="R45" s="1680" t="s">
        <v>25</v>
      </c>
      <c r="S45" s="1681">
        <f t="shared" si="12"/>
        <v>100</v>
      </c>
      <c r="T45" s="1680" t="s">
        <v>25</v>
      </c>
      <c r="U45" s="1681">
        <f t="shared" si="13"/>
        <v>100</v>
      </c>
      <c r="V45" s="1680" t="s">
        <v>25</v>
      </c>
      <c r="W45" s="1681">
        <f t="shared" si="14"/>
        <v>100</v>
      </c>
      <c r="X45" s="1682"/>
      <c r="Y45" s="3843"/>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1"/>
      <c r="M46" s="2997"/>
      <c r="N46" s="2997"/>
      <c r="O46" s="2997"/>
      <c r="P46" s="3843"/>
      <c r="Q46" s="2915">
        <f t="shared" si="11"/>
        <v>111</v>
      </c>
      <c r="R46" s="1725" t="s">
        <v>25</v>
      </c>
      <c r="S46" s="1726">
        <f t="shared" si="12"/>
        <v>100</v>
      </c>
      <c r="T46" s="1725" t="s">
        <v>25</v>
      </c>
      <c r="U46" s="1726">
        <f t="shared" si="13"/>
        <v>100</v>
      </c>
      <c r="V46" s="1725" t="s">
        <v>25</v>
      </c>
      <c r="W46" s="1726">
        <f t="shared" si="14"/>
        <v>100</v>
      </c>
      <c r="X46" s="2074"/>
      <c r="Y46" s="3843"/>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1"/>
      <c r="M47" s="2997"/>
      <c r="N47" s="2997"/>
      <c r="O47" s="2997"/>
      <c r="P47" s="3844"/>
      <c r="Q47" s="2915">
        <f t="shared" si="11"/>
        <v>111</v>
      </c>
      <c r="R47" s="1725" t="s">
        <v>25</v>
      </c>
      <c r="S47" s="1726">
        <f t="shared" si="12"/>
        <v>100</v>
      </c>
      <c r="T47" s="1725" t="s">
        <v>25</v>
      </c>
      <c r="U47" s="1726">
        <f t="shared" si="13"/>
        <v>100</v>
      </c>
      <c r="V47" s="1725" t="s">
        <v>25</v>
      </c>
      <c r="W47" s="1726">
        <f t="shared" si="14"/>
        <v>100</v>
      </c>
      <c r="X47" s="2074"/>
      <c r="Y47" s="3844"/>
      <c r="Z47" s="2078">
        <f t="shared" si="15"/>
        <v>111</v>
      </c>
      <c r="AA47" s="2069">
        <f t="shared" si="3"/>
        <v>1</v>
      </c>
      <c r="AB47" s="2069">
        <f t="shared" si="4"/>
        <v>1</v>
      </c>
      <c r="AC47" s="2069">
        <f t="shared" si="5"/>
        <v>1</v>
      </c>
    </row>
    <row r="48" spans="1:29" ht="15">
      <c r="A48" s="1781" t="s">
        <v>2287</v>
      </c>
      <c r="B48" s="1782"/>
      <c r="C48" s="1783" t="s">
        <v>1</v>
      </c>
      <c r="D48" s="1784"/>
      <c r="E48" s="1785">
        <v>5</v>
      </c>
      <c r="F48" s="1786"/>
      <c r="G48" s="1787">
        <v>4.8499999999999996</v>
      </c>
      <c r="H48" s="1788"/>
      <c r="I48" s="1785">
        <v>6.3</v>
      </c>
      <c r="J48" s="1788"/>
      <c r="K48" s="2013"/>
      <c r="L48" s="3002"/>
      <c r="M48" s="2997"/>
      <c r="N48" s="2997"/>
      <c r="O48" s="2997"/>
      <c r="P48" s="3837" t="str">
        <f>A48</f>
        <v>成交单价（元/平方米）</v>
      </c>
      <c r="Q48" s="3837"/>
      <c r="R48" s="3838">
        <f>E48</f>
        <v>5</v>
      </c>
      <c r="S48" s="3838"/>
      <c r="T48" s="3838">
        <f>G48</f>
        <v>4.8499999999999996</v>
      </c>
      <c r="U48" s="3838"/>
      <c r="V48" s="3838">
        <f>I48</f>
        <v>6.3</v>
      </c>
      <c r="W48" s="3838"/>
      <c r="X48" s="1791"/>
      <c r="Y48" s="2073"/>
      <c r="Z48" s="1791"/>
      <c r="AA48" s="1791"/>
      <c r="AB48" s="1791"/>
      <c r="AC48" s="1791"/>
    </row>
    <row r="49" spans="1:29" ht="15.75" thickBot="1">
      <c r="A49" s="1793" t="s">
        <v>2370</v>
      </c>
      <c r="B49" s="1794"/>
      <c r="C49" s="1795">
        <f>R50</f>
        <v>5.4</v>
      </c>
      <c r="D49" s="1796" t="s">
        <v>2741</v>
      </c>
      <c r="E49" s="1797">
        <f>R49</f>
        <v>4.9000000000000004</v>
      </c>
      <c r="F49" s="1798"/>
      <c r="G49" s="1795">
        <f>T49</f>
        <v>5.6</v>
      </c>
      <c r="H49" s="1798"/>
      <c r="I49" s="1797">
        <f>V49</f>
        <v>5.8</v>
      </c>
      <c r="J49" s="1798"/>
      <c r="K49" s="2510">
        <f>F49+H49+J49</f>
        <v>0</v>
      </c>
      <c r="L49" s="3002"/>
      <c r="M49" s="2997"/>
      <c r="N49" s="2997"/>
      <c r="O49" s="2997"/>
      <c r="P49" s="3837" t="str">
        <f>A49</f>
        <v>比较价值（元/平方米）</v>
      </c>
      <c r="Q49" s="3837"/>
      <c r="R49" s="3838">
        <f>IF(E1="售价",ROUND(PRODUCT(R48,AA7:AA47),0),ROUND(PRODUCT(R48,AA7:AA47),1))</f>
        <v>4.9000000000000004</v>
      </c>
      <c r="S49" s="3838"/>
      <c r="T49" s="3838">
        <f>IF(E1="售价",ROUND(PRODUCT(T48,AB7:AB47),0),ROUND(PRODUCT(T48,AB7:AB47),1))</f>
        <v>5.6</v>
      </c>
      <c r="U49" s="3838"/>
      <c r="V49" s="3838">
        <f>IF(E1="售价",ROUND(PRODUCT(V48,AC7:AC47),0),ROUND(PRODUCT(V48,AC7:AC47),1))</f>
        <v>5.8</v>
      </c>
      <c r="W49" s="3838"/>
      <c r="X49" s="1791"/>
      <c r="Y49" s="1791"/>
      <c r="Z49" s="1791"/>
      <c r="AA49" s="1791"/>
      <c r="AB49" s="1791"/>
      <c r="AC49" s="1791"/>
    </row>
    <row r="50" spans="1:29" ht="15.75" thickBot="1">
      <c r="A50" s="1799" t="s">
        <v>2393</v>
      </c>
      <c r="B50" s="1800"/>
      <c r="C50" s="1802">
        <f>R50</f>
        <v>5.4</v>
      </c>
      <c r="D50" s="1802"/>
      <c r="E50" s="1802"/>
      <c r="F50" s="1802"/>
      <c r="G50" s="1802"/>
      <c r="H50" s="1802"/>
      <c r="I50" s="1802"/>
      <c r="J50" s="1802"/>
      <c r="K50" s="2018"/>
      <c r="L50" s="3002"/>
      <c r="M50" s="2997"/>
      <c r="N50" s="2997"/>
      <c r="O50" s="2997"/>
      <c r="P50" s="3839" t="str">
        <f>A50</f>
        <v>估价对象XX用房的比较价值（楼面单价，元/平方米）</v>
      </c>
      <c r="Q50" s="3840"/>
      <c r="R50" s="3841">
        <f>IF(E1="售价",ROUND(IF(D49="简单平均",AVERAGE(R49:V49),R49*F49+T49*H49+V49*J49),0),ROUND(IF(D49="简单平均",AVERAGE(R49:V49),R49*F49+T49*H49+V49*J49),1))</f>
        <v>5.4</v>
      </c>
      <c r="S50" s="3841"/>
      <c r="T50" s="3841"/>
      <c r="U50" s="3841"/>
      <c r="V50" s="3841"/>
      <c r="W50" s="3841"/>
      <c r="X50" s="1791"/>
      <c r="Y50" s="1791"/>
      <c r="Z50" s="1791"/>
      <c r="AA50" s="1791"/>
      <c r="AB50" s="1791"/>
      <c r="AC50" s="1791"/>
    </row>
    <row r="51" spans="1:29">
      <c r="C51" s="1666">
        <v>2004</v>
      </c>
      <c r="E51" s="1666">
        <v>2006</v>
      </c>
      <c r="G51" s="3008">
        <v>2000</v>
      </c>
      <c r="I51" s="1666">
        <v>2001</v>
      </c>
    </row>
    <row r="53" spans="1:29" ht="13.5" customHeight="1">
      <c r="C53" s="383" t="s">
        <v>2372</v>
      </c>
      <c r="D53" s="1807"/>
      <c r="E53" s="1808">
        <f>IF(E48&lt;E49,E49/E48-1,E48/E49-1)</f>
        <v>2.0408163265306145E-2</v>
      </c>
      <c r="F53" s="1809" t="str">
        <f>IF(OR(E53&gt;=0.3,E53&lt;=-0.3),"超过30%","")</f>
        <v/>
      </c>
      <c r="G53" s="1808">
        <f>IF(G48&lt;G49,G49/G48-1,G48/G49-1)</f>
        <v>0.15463917525773208</v>
      </c>
      <c r="H53" s="1809" t="str">
        <f>IF(OR(G53&gt;=0.3,G53&lt;=-0.3),"超过30%","")</f>
        <v/>
      </c>
      <c r="I53" s="1808">
        <f>IF(I48&lt;I49,I49/I48-1,I48/I49-1)</f>
        <v>8.6206896551724199E-2</v>
      </c>
      <c r="J53" s="1809" t="str">
        <f>IF(OR(I53&gt;=0.3,I53&lt;=-0.3),"超过30%","")</f>
        <v/>
      </c>
    </row>
    <row r="54" spans="1:29" ht="13.5" customHeight="1">
      <c r="C54" s="383" t="s">
        <v>2373</v>
      </c>
      <c r="D54" s="1810"/>
      <c r="E54" s="1808">
        <f>IF(E49&lt;G49,G49/E49-1,E49/G49-1)</f>
        <v>0.14285714285714279</v>
      </c>
      <c r="F54" s="1809" t="str">
        <f>IF(OR(E54&gt;=0.2,E54&lt;=-0.2),"超过20%","")</f>
        <v/>
      </c>
      <c r="G54" s="1808">
        <f>IF(G49&lt;I49,I49/G49-1,G49/I49-1)</f>
        <v>3.5714285714285809E-2</v>
      </c>
      <c r="H54" s="1809" t="str">
        <f>IF(OR(G54&gt;=0.2,G54&lt;=-0.2),"超过20%","")</f>
        <v/>
      </c>
      <c r="I54" s="1808">
        <f>IF(I49&lt;E49,E49/I49-1,I49/E49-1)</f>
        <v>0.18367346938775508</v>
      </c>
      <c r="J54" s="1809" t="str">
        <f>IF(OR(I54&gt;=0.2,I54&lt;=-0.2),"超过20%","")</f>
        <v/>
      </c>
    </row>
    <row r="55" spans="1:29" s="1813" customFormat="1" ht="13.5" customHeight="1">
      <c r="C55" s="383" t="s">
        <v>2374</v>
      </c>
      <c r="D55" s="1810"/>
      <c r="E55" s="1808">
        <f>IF(E48&lt;G48,G48/E48-1,E48/G48-1)</f>
        <v>3.0927835051546504E-2</v>
      </c>
      <c r="F55" s="1809" t="str">
        <f>IF(OR(E55&gt;=0.3,E55&lt;=-0.3),"超过30%","")</f>
        <v/>
      </c>
      <c r="G55" s="1808">
        <f>IF(G48&lt;I48,I48/G48-1,G48/I48-1)</f>
        <v>0.2989690721649485</v>
      </c>
      <c r="H55" s="1809" t="str">
        <f>IF(OR(G55&gt;=0.3,G55&lt;=-0.3),"超过30%","")</f>
        <v/>
      </c>
      <c r="I55" s="1808">
        <f>IF(I48&lt;E48,E48/I48-1,I48/E48-1)</f>
        <v>0.26</v>
      </c>
      <c r="J55" s="1809" t="str">
        <f>IF(OR(I55&gt;=0.3,I55&lt;=-0.3),"超过30%","")</f>
        <v/>
      </c>
      <c r="K55" s="3009"/>
      <c r="L55" s="3003"/>
    </row>
    <row r="56" spans="1:29" s="1813" customFormat="1">
      <c r="B56" s="3007"/>
      <c r="C56" s="3008"/>
      <c r="K56" s="3009"/>
      <c r="L56" s="3003"/>
    </row>
    <row r="57" spans="1:29">
      <c r="B57" s="3007"/>
      <c r="C57" s="3008"/>
    </row>
    <row r="58" spans="1:29" ht="21.75" thickBot="1">
      <c r="A58" s="1816" t="s">
        <v>2375</v>
      </c>
      <c r="B58" s="1791"/>
      <c r="C58" s="1817"/>
      <c r="D58" s="1817"/>
      <c r="E58" s="1817"/>
      <c r="F58" s="1817"/>
      <c r="G58" s="1817"/>
      <c r="H58" s="1817"/>
      <c r="I58" s="1817"/>
      <c r="J58" s="1817"/>
      <c r="K58" s="1818"/>
      <c r="L58" s="1819"/>
      <c r="M58" s="1817"/>
      <c r="N58" s="3005"/>
      <c r="O58" s="3005"/>
      <c r="P58" s="2045"/>
      <c r="Q58" s="1821"/>
    </row>
    <row r="59" spans="1:29" s="1827" customFormat="1" ht="15">
      <c r="A59" s="1822" t="s">
        <v>2257</v>
      </c>
      <c r="B59" s="1823"/>
      <c r="C59" s="1824" t="str">
        <f>YEAR(C7)&amp;"-"&amp;MONTH(C7)</f>
        <v>2016-7</v>
      </c>
      <c r="D59" s="1825">
        <f>EDATE(C59,-1)</f>
        <v>42522</v>
      </c>
      <c r="E59" s="1825">
        <f t="shared" ref="E59:O59" si="16">EDATE(D59,-1)</f>
        <v>42491</v>
      </c>
      <c r="F59" s="1825">
        <f t="shared" si="16"/>
        <v>42461</v>
      </c>
      <c r="G59" s="1825">
        <f t="shared" si="16"/>
        <v>42430</v>
      </c>
      <c r="H59" s="1825">
        <f t="shared" si="16"/>
        <v>42401</v>
      </c>
      <c r="I59" s="1825">
        <f t="shared" si="16"/>
        <v>42370</v>
      </c>
      <c r="J59" s="1825">
        <f t="shared" si="16"/>
        <v>42339</v>
      </c>
      <c r="K59" s="1825">
        <f t="shared" si="16"/>
        <v>42309</v>
      </c>
      <c r="L59" s="1825">
        <f t="shared" si="16"/>
        <v>42278</v>
      </c>
      <c r="M59" s="1825">
        <f t="shared" si="16"/>
        <v>42248</v>
      </c>
      <c r="N59" s="1825">
        <f t="shared" si="16"/>
        <v>42217</v>
      </c>
      <c r="O59" s="1825">
        <f t="shared" si="16"/>
        <v>42186</v>
      </c>
      <c r="P59" s="2503"/>
    </row>
    <row r="60" spans="1:29" s="1684" customFormat="1" ht="15">
      <c r="A60" s="1828"/>
      <c r="B60" s="1829"/>
      <c r="C60" s="1830">
        <v>100</v>
      </c>
      <c r="D60" s="1831">
        <v>100</v>
      </c>
      <c r="E60" s="1831">
        <v>100</v>
      </c>
      <c r="F60" s="1831">
        <v>99.8</v>
      </c>
      <c r="G60" s="1831">
        <v>99.8</v>
      </c>
      <c r="H60" s="1831">
        <v>99.8</v>
      </c>
      <c r="I60" s="1831">
        <v>99.6</v>
      </c>
      <c r="J60" s="1831">
        <v>99.6</v>
      </c>
      <c r="K60" s="1831">
        <v>99.6</v>
      </c>
      <c r="L60" s="1831">
        <v>99.4</v>
      </c>
      <c r="M60" s="1832">
        <v>99.4</v>
      </c>
      <c r="N60" s="1831">
        <v>99.4</v>
      </c>
      <c r="O60" s="1845"/>
      <c r="P60" s="1821"/>
    </row>
    <row r="61" spans="1:29" s="1684" customFormat="1" ht="15.75" thickBot="1">
      <c r="A61" s="1834" t="s">
        <v>2295</v>
      </c>
      <c r="B61" s="1835"/>
      <c r="C61" s="1836"/>
      <c r="D61" s="1837"/>
      <c r="E61" s="1837"/>
      <c r="F61" s="1837"/>
      <c r="G61" s="1837"/>
      <c r="H61" s="1837"/>
      <c r="I61" s="1837"/>
      <c r="J61" s="1837"/>
      <c r="K61" s="1837"/>
      <c r="L61" s="1837"/>
      <c r="M61" s="1838"/>
      <c r="N61" s="1837"/>
      <c r="O61" s="2504"/>
      <c r="P61" s="1821"/>
      <c r="Q61" s="1821"/>
    </row>
    <row r="62" spans="1:29" s="1684" customFormat="1" ht="15">
      <c r="A62" s="1839" t="s">
        <v>2259</v>
      </c>
      <c r="B62" s="1829"/>
      <c r="C62" s="1840" t="s">
        <v>2260</v>
      </c>
      <c r="D62" s="409"/>
      <c r="E62" s="409"/>
      <c r="F62" s="409"/>
      <c r="G62" s="409"/>
      <c r="H62" s="409"/>
      <c r="I62" s="409"/>
      <c r="J62" s="409"/>
      <c r="K62" s="409"/>
      <c r="L62" s="409"/>
      <c r="M62" s="1841"/>
      <c r="N62" s="3014"/>
      <c r="O62" s="3014"/>
      <c r="P62" s="2056"/>
      <c r="Q62" s="1821"/>
    </row>
    <row r="63" spans="1:29" s="1684" customFormat="1" ht="15.75" thickBot="1">
      <c r="A63" s="1839"/>
      <c r="B63" s="1829"/>
      <c r="C63" s="1844">
        <v>100</v>
      </c>
      <c r="D63" s="1831"/>
      <c r="E63" s="1831"/>
      <c r="F63" s="1831"/>
      <c r="G63" s="1831"/>
      <c r="H63" s="1831"/>
      <c r="I63" s="1831"/>
      <c r="J63" s="1831"/>
      <c r="K63" s="1831"/>
      <c r="L63" s="1831"/>
      <c r="M63" s="1845"/>
      <c r="N63" s="3014"/>
      <c r="O63" s="3014"/>
      <c r="P63" s="1821"/>
      <c r="Q63" s="1821"/>
    </row>
    <row r="64" spans="1:29">
      <c r="A64" s="1846" t="s">
        <v>2298</v>
      </c>
      <c r="B64" s="1847" t="s">
        <v>2263</v>
      </c>
      <c r="C64" s="1848" t="str">
        <f>C9</f>
        <v>办公</v>
      </c>
      <c r="D64" s="1849"/>
      <c r="E64" s="1849"/>
      <c r="F64" s="1849"/>
      <c r="G64" s="1849"/>
      <c r="H64" s="1849"/>
      <c r="I64" s="1849"/>
      <c r="J64" s="1849"/>
      <c r="K64" s="417"/>
      <c r="L64" s="417"/>
      <c r="M64" s="1850"/>
      <c r="N64" s="3015"/>
      <c r="O64" s="3015"/>
      <c r="P64" s="2057"/>
      <c r="Q64" s="1821"/>
    </row>
    <row r="65" spans="1:17" ht="15.75" thickBot="1">
      <c r="A65" s="1853"/>
      <c r="B65" s="1854"/>
      <c r="C65" s="1855">
        <v>100</v>
      </c>
      <c r="D65" s="1855"/>
      <c r="E65" s="1855"/>
      <c r="F65" s="1855"/>
      <c r="G65" s="1855"/>
      <c r="H65" s="1855"/>
      <c r="I65" s="1855"/>
      <c r="J65" s="1855"/>
      <c r="K65" s="1855"/>
      <c r="L65" s="1855"/>
      <c r="M65" s="1856"/>
      <c r="N65" s="3016"/>
      <c r="O65" s="3016"/>
      <c r="P65" s="2057"/>
      <c r="Q65" s="1821"/>
    </row>
    <row r="66" spans="1:17" ht="27.75" thickTop="1">
      <c r="A66" s="1853"/>
      <c r="B66" s="1858" t="s">
        <v>2266</v>
      </c>
      <c r="C66" s="1859" t="s">
        <v>2299</v>
      </c>
      <c r="D66" s="1859" t="s">
        <v>2300</v>
      </c>
      <c r="E66" s="1859" t="s">
        <v>2301</v>
      </c>
      <c r="F66" s="1859" t="s">
        <v>2302</v>
      </c>
      <c r="G66" s="1859" t="s">
        <v>2303</v>
      </c>
      <c r="H66" s="1859" t="s">
        <v>2304</v>
      </c>
      <c r="I66" s="1859" t="s">
        <v>2305</v>
      </c>
      <c r="J66" s="1859"/>
      <c r="K66" s="428"/>
      <c r="L66" s="428"/>
      <c r="M66" s="1860"/>
      <c r="N66" s="3015"/>
      <c r="O66" s="3015"/>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6"/>
      <c r="O67" s="3016"/>
      <c r="P67" s="2057"/>
      <c r="Q67" s="1821"/>
    </row>
    <row r="68" spans="1:17" ht="15.75" thickTop="1">
      <c r="A68" s="1853"/>
      <c r="B68" s="1864" t="s">
        <v>2267</v>
      </c>
      <c r="C68" s="1865" t="str">
        <f>C69&amp;"（含）"&amp;"-"&amp;D69</f>
        <v>0（含）-1</v>
      </c>
      <c r="D68" s="1865" t="str">
        <f t="shared" ref="D68:L68" si="17">D69&amp;"（含）"&amp;"-"&amp;E69</f>
        <v>1（含）-2</v>
      </c>
      <c r="E68" s="1865" t="str">
        <f t="shared" si="17"/>
        <v>2（含）-3</v>
      </c>
      <c r="F68" s="1865" t="str">
        <f t="shared" si="17"/>
        <v>3（含）-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6"/>
      <c r="O68" s="3016"/>
      <c r="P68" s="2057"/>
      <c r="Q68" s="1821"/>
    </row>
    <row r="69" spans="1:17" ht="15">
      <c r="A69" s="1853"/>
      <c r="B69" s="1866"/>
      <c r="C69" s="1867">
        <v>0</v>
      </c>
      <c r="D69" s="1867">
        <v>1</v>
      </c>
      <c r="E69" s="1867">
        <v>2</v>
      </c>
      <c r="F69" s="1867">
        <v>3</v>
      </c>
      <c r="G69" s="1867"/>
      <c r="H69" s="1867"/>
      <c r="I69" s="1867"/>
      <c r="J69" s="1867"/>
      <c r="K69" s="438"/>
      <c r="L69" s="438"/>
      <c r="M69" s="1868"/>
      <c r="N69" s="3015"/>
      <c r="O69" s="301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6"/>
      <c r="O70" s="3016"/>
      <c r="P70" s="2057"/>
      <c r="Q70" s="1821"/>
    </row>
    <row r="71" spans="1:17" s="1771" customFormat="1" ht="15.75" thickTop="1">
      <c r="A71" s="1869"/>
      <c r="B71" s="1858">
        <f>B12</f>
        <v>111</v>
      </c>
      <c r="C71" s="468"/>
      <c r="D71" s="468"/>
      <c r="E71" s="468"/>
      <c r="F71" s="468"/>
      <c r="G71" s="468"/>
      <c r="H71" s="443"/>
      <c r="I71" s="443"/>
      <c r="J71" s="443"/>
      <c r="K71" s="443"/>
      <c r="L71" s="443"/>
      <c r="M71" s="1870"/>
      <c r="N71" s="3017"/>
      <c r="O71" s="3017"/>
      <c r="P71" s="2058"/>
      <c r="Q71" s="1873"/>
    </row>
    <row r="72" spans="1:17" s="1771" customFormat="1" ht="15.75" thickBot="1">
      <c r="A72" s="1869"/>
      <c r="B72" s="1861"/>
      <c r="C72" s="1874"/>
      <c r="D72" s="1855"/>
      <c r="E72" s="1855"/>
      <c r="F72" s="1855"/>
      <c r="G72" s="1855"/>
      <c r="H72" s="1855"/>
      <c r="I72" s="1855"/>
      <c r="J72" s="1855"/>
      <c r="K72" s="1855"/>
      <c r="L72" s="1855"/>
      <c r="M72" s="1856"/>
      <c r="N72" s="3016"/>
      <c r="O72" s="3016"/>
      <c r="P72" s="2058"/>
      <c r="Q72" s="1873"/>
    </row>
    <row r="73" spans="1:17" s="1771" customFormat="1" ht="15.75" thickTop="1">
      <c r="A73" s="1869"/>
      <c r="B73" s="1858">
        <f>B13</f>
        <v>111</v>
      </c>
      <c r="C73" s="468"/>
      <c r="D73" s="468"/>
      <c r="E73" s="468"/>
      <c r="F73" s="468"/>
      <c r="G73" s="468"/>
      <c r="H73" s="443"/>
      <c r="I73" s="443"/>
      <c r="J73" s="443"/>
      <c r="K73" s="443"/>
      <c r="L73" s="443"/>
      <c r="M73" s="1870"/>
      <c r="N73" s="3017"/>
      <c r="O73" s="3017"/>
      <c r="P73" s="2059"/>
      <c r="Q73" s="1876"/>
    </row>
    <row r="74" spans="1:17" s="1771" customFormat="1" ht="15.75" thickBot="1">
      <c r="A74" s="1869"/>
      <c r="B74" s="1861"/>
      <c r="C74" s="1874"/>
      <c r="D74" s="1874"/>
      <c r="E74" s="1874"/>
      <c r="F74" s="1874"/>
      <c r="G74" s="1874"/>
      <c r="H74" s="1877"/>
      <c r="I74" s="1877"/>
      <c r="J74" s="1877"/>
      <c r="K74" s="1877"/>
      <c r="L74" s="1877"/>
      <c r="M74" s="1878"/>
      <c r="N74" s="3017"/>
      <c r="O74" s="3017"/>
      <c r="P74" s="2058"/>
      <c r="Q74" s="1873"/>
    </row>
    <row r="75" spans="1:17" s="1771" customFormat="1" ht="15.75" thickTop="1">
      <c r="A75" s="1869"/>
      <c r="B75" s="1864">
        <f>B14</f>
        <v>111</v>
      </c>
      <c r="C75" s="409"/>
      <c r="D75" s="409"/>
      <c r="E75" s="409"/>
      <c r="F75" s="409"/>
      <c r="G75" s="409"/>
      <c r="H75" s="453"/>
      <c r="I75" s="453"/>
      <c r="J75" s="453"/>
      <c r="K75" s="453"/>
      <c r="L75" s="453"/>
      <c r="M75" s="1879"/>
      <c r="N75" s="3017"/>
      <c r="O75" s="3017"/>
      <c r="P75" s="2058"/>
      <c r="Q75" s="1873"/>
    </row>
    <row r="76" spans="1:17" s="1771" customFormat="1" ht="15.75" thickBot="1">
      <c r="A76" s="1880"/>
      <c r="B76" s="1881"/>
      <c r="C76" s="1882"/>
      <c r="D76" s="1882"/>
      <c r="E76" s="1882"/>
      <c r="F76" s="1882"/>
      <c r="G76" s="1882"/>
      <c r="H76" s="1883"/>
      <c r="I76" s="1883"/>
      <c r="J76" s="1883"/>
      <c r="K76" s="1883"/>
      <c r="L76" s="1883"/>
      <c r="M76" s="1884"/>
      <c r="N76" s="3017"/>
      <c r="O76" s="3017"/>
      <c r="P76" s="2058"/>
      <c r="Q76" s="1873"/>
    </row>
    <row r="77" spans="1:17">
      <c r="A77" s="1846" t="s">
        <v>2268</v>
      </c>
      <c r="B77" s="1847" t="s">
        <v>2394</v>
      </c>
      <c r="C77" s="1885" t="s">
        <v>2307</v>
      </c>
      <c r="D77" s="1885" t="s">
        <v>2308</v>
      </c>
      <c r="E77" s="1885" t="s">
        <v>2309</v>
      </c>
      <c r="F77" s="1885" t="s">
        <v>2310</v>
      </c>
      <c r="G77" s="1885" t="s">
        <v>2311</v>
      </c>
      <c r="H77" s="1848"/>
      <c r="I77" s="1848"/>
      <c r="J77" s="1848"/>
      <c r="K77" s="463"/>
      <c r="L77" s="463"/>
      <c r="M77" s="1886"/>
      <c r="N77" s="3015"/>
      <c r="O77" s="3015"/>
      <c r="P77" s="2057"/>
      <c r="Q77" s="1821"/>
    </row>
    <row r="78" spans="1:17" ht="15.75" thickBot="1">
      <c r="A78" s="1853"/>
      <c r="B78" s="1861"/>
      <c r="C78" s="1862">
        <v>100</v>
      </c>
      <c r="D78" s="1862">
        <f>C78-$K15</f>
        <v>95</v>
      </c>
      <c r="E78" s="1862">
        <f>D78-$K15</f>
        <v>90</v>
      </c>
      <c r="F78" s="1862">
        <f>E78-$K15</f>
        <v>85</v>
      </c>
      <c r="G78" s="1862">
        <f>F78-$K15</f>
        <v>80</v>
      </c>
      <c r="H78" s="1862"/>
      <c r="I78" s="1862"/>
      <c r="J78" s="1862"/>
      <c r="K78" s="1862"/>
      <c r="L78" s="1862"/>
      <c r="M78" s="1863"/>
      <c r="N78" s="3016"/>
      <c r="O78" s="3016"/>
      <c r="P78" s="2057"/>
      <c r="Q78" s="1821"/>
    </row>
    <row r="79" spans="1:17" ht="15.75" thickTop="1">
      <c r="A79" s="1853"/>
      <c r="B79" s="1858" t="s">
        <v>2312</v>
      </c>
      <c r="C79" s="579" t="s">
        <v>2307</v>
      </c>
      <c r="D79" s="579" t="s">
        <v>2308</v>
      </c>
      <c r="E79" s="579" t="s">
        <v>2309</v>
      </c>
      <c r="F79" s="579" t="s">
        <v>2310</v>
      </c>
      <c r="G79" s="579" t="s">
        <v>2311</v>
      </c>
      <c r="H79" s="1859"/>
      <c r="I79" s="1859"/>
      <c r="J79" s="1859"/>
      <c r="K79" s="428"/>
      <c r="L79" s="428"/>
      <c r="M79" s="1860"/>
      <c r="N79" s="3015"/>
      <c r="O79" s="3015"/>
      <c r="P79" s="2057"/>
      <c r="Q79" s="1821"/>
    </row>
    <row r="80" spans="1:17" ht="15.75" thickBot="1">
      <c r="A80" s="1853"/>
      <c r="B80" s="1861"/>
      <c r="C80" s="1862">
        <v>100</v>
      </c>
      <c r="D80" s="1862">
        <f>C80-$K17</f>
        <v>97</v>
      </c>
      <c r="E80" s="1862">
        <f>D80-$K17</f>
        <v>94</v>
      </c>
      <c r="F80" s="1862">
        <f>E80-$K17</f>
        <v>91</v>
      </c>
      <c r="G80" s="1862">
        <f>F80-$K17</f>
        <v>88</v>
      </c>
      <c r="H80" s="1862"/>
      <c r="I80" s="1862"/>
      <c r="J80" s="1862"/>
      <c r="K80" s="1862"/>
      <c r="L80" s="1862"/>
      <c r="M80" s="1863"/>
      <c r="N80" s="3016"/>
      <c r="O80" s="3016"/>
      <c r="P80" s="2057"/>
      <c r="Q80" s="1821"/>
    </row>
    <row r="81" spans="1:17" ht="15.75" thickTop="1">
      <c r="A81" s="1853"/>
      <c r="B81" s="1858" t="s">
        <v>2313</v>
      </c>
      <c r="C81" s="579" t="s">
        <v>2307</v>
      </c>
      <c r="D81" s="579" t="s">
        <v>2308</v>
      </c>
      <c r="E81" s="579" t="s">
        <v>2309</v>
      </c>
      <c r="F81" s="579" t="s">
        <v>2310</v>
      </c>
      <c r="G81" s="579" t="s">
        <v>2311</v>
      </c>
      <c r="H81" s="1859"/>
      <c r="I81" s="1859"/>
      <c r="J81" s="1859"/>
      <c r="K81" s="428"/>
      <c r="L81" s="428"/>
      <c r="M81" s="1860"/>
      <c r="N81" s="3015"/>
      <c r="O81" s="3015"/>
      <c r="P81" s="2057"/>
      <c r="Q81" s="1821"/>
    </row>
    <row r="82" spans="1:17" ht="15.75" thickBot="1">
      <c r="A82" s="1853"/>
      <c r="B82" s="1861"/>
      <c r="C82" s="1862">
        <v>100</v>
      </c>
      <c r="D82" s="1862">
        <f>C82-$K19</f>
        <v>95</v>
      </c>
      <c r="E82" s="1862">
        <f>D82-$K19</f>
        <v>90</v>
      </c>
      <c r="F82" s="1862">
        <f>E82-$K19</f>
        <v>85</v>
      </c>
      <c r="G82" s="1862">
        <f>F82-$K19</f>
        <v>80</v>
      </c>
      <c r="H82" s="1862"/>
      <c r="I82" s="1862"/>
      <c r="J82" s="1862"/>
      <c r="K82" s="1862"/>
      <c r="L82" s="1862"/>
      <c r="M82" s="1863"/>
      <c r="N82" s="3016"/>
      <c r="O82" s="3016"/>
      <c r="P82" s="2057"/>
      <c r="Q82" s="1821"/>
    </row>
    <row r="83" spans="1:17" ht="15.75" thickTop="1">
      <c r="A83" s="1853"/>
      <c r="B83" s="1864" t="s">
        <v>2356</v>
      </c>
      <c r="C83" s="1859" t="s">
        <v>2314</v>
      </c>
      <c r="D83" s="1859" t="s">
        <v>2315</v>
      </c>
      <c r="E83" s="1859" t="s">
        <v>2316</v>
      </c>
      <c r="F83" s="1859" t="s">
        <v>2317</v>
      </c>
      <c r="G83" s="1859" t="s">
        <v>2318</v>
      </c>
      <c r="H83" s="1859"/>
      <c r="I83" s="1859"/>
      <c r="J83" s="1859"/>
      <c r="K83" s="1859"/>
      <c r="L83" s="1859"/>
      <c r="M83" s="1887"/>
      <c r="N83" s="3016"/>
      <c r="O83" s="3016"/>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6"/>
      <c r="O84" s="3016"/>
      <c r="P84" s="2057"/>
      <c r="Q84" s="1821"/>
    </row>
    <row r="85" spans="1:17" ht="15.75" thickTop="1">
      <c r="A85" s="1853"/>
      <c r="B85" s="1858" t="s">
        <v>2395</v>
      </c>
      <c r="C85" s="579" t="s">
        <v>2307</v>
      </c>
      <c r="D85" s="579" t="s">
        <v>2308</v>
      </c>
      <c r="E85" s="579" t="s">
        <v>2309</v>
      </c>
      <c r="F85" s="579" t="s">
        <v>2310</v>
      </c>
      <c r="G85" s="579" t="s">
        <v>2311</v>
      </c>
      <c r="H85" s="1859"/>
      <c r="I85" s="1859"/>
      <c r="J85" s="1859"/>
      <c r="K85" s="428"/>
      <c r="L85" s="428"/>
      <c r="M85" s="1860"/>
      <c r="N85" s="3015"/>
      <c r="O85" s="3015"/>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6"/>
      <c r="O86" s="3016"/>
      <c r="P86" s="2057"/>
      <c r="Q86" s="1821"/>
    </row>
    <row r="87" spans="1:17" s="1684" customFormat="1" ht="27.75" thickTop="1">
      <c r="A87" s="1889"/>
      <c r="B87" s="1858" t="s">
        <v>2396</v>
      </c>
      <c r="C87" s="3459" t="s">
        <v>3379</v>
      </c>
      <c r="D87" s="3159" t="s">
        <v>3380</v>
      </c>
      <c r="E87" s="3159" t="s">
        <v>3381</v>
      </c>
      <c r="F87" s="468"/>
      <c r="G87" s="468"/>
      <c r="H87" s="468"/>
      <c r="I87" s="468"/>
      <c r="J87" s="468"/>
      <c r="K87" s="468"/>
      <c r="L87" s="468"/>
      <c r="M87" s="1890"/>
      <c r="N87" s="3014"/>
      <c r="O87" s="3014"/>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6"/>
      <c r="O88" s="3016"/>
      <c r="P88" s="2057"/>
      <c r="Q88" s="1821"/>
    </row>
    <row r="89" spans="1:17" s="1684" customFormat="1" ht="15.75" thickTop="1">
      <c r="A89" s="1889"/>
      <c r="B89" s="1858" t="str">
        <f>B27</f>
        <v>楼层</v>
      </c>
      <c r="C89" s="3159" t="s">
        <v>2913</v>
      </c>
      <c r="D89" s="3159" t="s">
        <v>2915</v>
      </c>
      <c r="E89" s="3159" t="s">
        <v>2916</v>
      </c>
      <c r="F89" s="1892"/>
      <c r="G89" s="468"/>
      <c r="H89" s="468"/>
      <c r="I89" s="468"/>
      <c r="J89" s="468"/>
      <c r="K89" s="468"/>
      <c r="L89" s="468"/>
      <c r="M89" s="1890"/>
      <c r="N89" s="3014"/>
      <c r="O89" s="3014"/>
      <c r="P89" s="2057"/>
      <c r="Q89" s="1821"/>
    </row>
    <row r="90" spans="1:17" s="1684" customFormat="1" ht="15.75"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6"/>
      <c r="O90" s="3016"/>
      <c r="P90" s="2057"/>
      <c r="Q90" s="1821"/>
    </row>
    <row r="91" spans="1:17" s="1771" customFormat="1" ht="15.75" thickTop="1">
      <c r="A91" s="1869"/>
      <c r="B91" s="1858" t="str">
        <f>B28</f>
        <v>朝向</v>
      </c>
      <c r="C91" s="3159" t="s">
        <v>2906</v>
      </c>
      <c r="D91" s="3159" t="s">
        <v>2907</v>
      </c>
      <c r="E91" s="3159" t="s">
        <v>2908</v>
      </c>
      <c r="F91" s="3159" t="s">
        <v>2909</v>
      </c>
      <c r="G91" s="3159" t="s">
        <v>2910</v>
      </c>
      <c r="H91" s="443"/>
      <c r="I91" s="443"/>
      <c r="J91" s="443"/>
      <c r="K91" s="443"/>
      <c r="L91" s="443"/>
      <c r="M91" s="1870"/>
      <c r="N91" s="3017"/>
      <c r="O91" s="301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7"/>
      <c r="O92" s="3017"/>
      <c r="P92" s="2058"/>
      <c r="Q92" s="1873"/>
    </row>
    <row r="93" spans="1:17" ht="15.75" thickTop="1">
      <c r="A93" s="1853"/>
      <c r="B93" s="1858">
        <f>B29</f>
        <v>111</v>
      </c>
      <c r="C93" s="468"/>
      <c r="D93" s="468"/>
      <c r="E93" s="468"/>
      <c r="F93" s="468"/>
      <c r="G93" s="468"/>
      <c r="H93" s="468"/>
      <c r="I93" s="468"/>
      <c r="J93" s="468"/>
      <c r="K93" s="468"/>
      <c r="L93" s="468"/>
      <c r="M93" s="1890"/>
      <c r="N93" s="3015"/>
      <c r="O93" s="3015"/>
      <c r="P93" s="2057"/>
      <c r="Q93" s="1821"/>
    </row>
    <row r="94" spans="1:17" ht="15.75" thickBot="1">
      <c r="A94" s="1853"/>
      <c r="B94" s="1861"/>
      <c r="C94" s="1874"/>
      <c r="D94" s="1855"/>
      <c r="E94" s="1855"/>
      <c r="F94" s="1855"/>
      <c r="G94" s="1855"/>
      <c r="H94" s="1855"/>
      <c r="I94" s="1855"/>
      <c r="J94" s="1855"/>
      <c r="K94" s="1855"/>
      <c r="L94" s="1855"/>
      <c r="M94" s="1856"/>
      <c r="N94" s="3016"/>
      <c r="O94" s="3016"/>
      <c r="P94" s="2057"/>
      <c r="Q94" s="1821"/>
    </row>
    <row r="95" spans="1:17" ht="15.75" thickTop="1">
      <c r="A95" s="1853"/>
      <c r="B95" s="1858">
        <f>B30</f>
        <v>111</v>
      </c>
      <c r="C95" s="468"/>
      <c r="D95" s="468"/>
      <c r="E95" s="468"/>
      <c r="F95" s="468"/>
      <c r="G95" s="1578"/>
      <c r="H95" s="1578"/>
      <c r="I95" s="1578"/>
      <c r="J95" s="1578"/>
      <c r="K95" s="473"/>
      <c r="L95" s="473"/>
      <c r="M95" s="1893"/>
      <c r="N95" s="3015"/>
      <c r="O95" s="3015"/>
      <c r="P95" s="2057"/>
      <c r="Q95" s="1821"/>
    </row>
    <row r="96" spans="1:17" ht="15.75" thickBot="1">
      <c r="A96" s="1853"/>
      <c r="B96" s="1861"/>
      <c r="C96" s="1874"/>
      <c r="D96" s="1874"/>
      <c r="E96" s="1874"/>
      <c r="F96" s="1874"/>
      <c r="G96" s="1855"/>
      <c r="H96" s="1855"/>
      <c r="I96" s="1855"/>
      <c r="J96" s="1855"/>
      <c r="K96" s="1855"/>
      <c r="L96" s="1855"/>
      <c r="M96" s="1856"/>
      <c r="N96" s="3016"/>
      <c r="O96" s="3016"/>
      <c r="P96" s="2057"/>
      <c r="Q96" s="1821"/>
    </row>
    <row r="97" spans="1:17" ht="15.75" thickTop="1">
      <c r="A97" s="1853"/>
      <c r="B97" s="1858">
        <f>B31</f>
        <v>111</v>
      </c>
      <c r="C97" s="468"/>
      <c r="D97" s="468"/>
      <c r="E97" s="468"/>
      <c r="F97" s="468"/>
      <c r="G97" s="1578"/>
      <c r="H97" s="1578"/>
      <c r="I97" s="1578"/>
      <c r="J97" s="1578"/>
      <c r="K97" s="473"/>
      <c r="L97" s="473"/>
      <c r="M97" s="1893"/>
      <c r="N97" s="3015"/>
      <c r="O97" s="3015"/>
      <c r="P97" s="2057"/>
      <c r="Q97" s="1821"/>
    </row>
    <row r="98" spans="1:17" ht="15.75" thickBot="1">
      <c r="A98" s="1853"/>
      <c r="B98" s="1861"/>
      <c r="C98" s="1874"/>
      <c r="D98" s="1855"/>
      <c r="E98" s="1855"/>
      <c r="F98" s="1855"/>
      <c r="G98" s="1855"/>
      <c r="H98" s="1855"/>
      <c r="I98" s="1855"/>
      <c r="J98" s="1855"/>
      <c r="K98" s="1855"/>
      <c r="L98" s="1855"/>
      <c r="M98" s="1856"/>
      <c r="N98" s="3016"/>
      <c r="O98" s="3016"/>
      <c r="P98" s="2057"/>
      <c r="Q98" s="1821"/>
    </row>
    <row r="99" spans="1:17" ht="15.75" thickTop="1">
      <c r="A99" s="1853"/>
      <c r="B99" s="1864">
        <f>B32</f>
        <v>111</v>
      </c>
      <c r="C99" s="409"/>
      <c r="D99" s="409"/>
      <c r="E99" s="409"/>
      <c r="F99" s="409"/>
      <c r="G99" s="1894"/>
      <c r="H99" s="1894"/>
      <c r="I99" s="1894"/>
      <c r="J99" s="1894"/>
      <c r="K99" s="477"/>
      <c r="L99" s="477"/>
      <c r="M99" s="1895"/>
      <c r="N99" s="3015"/>
      <c r="O99" s="3015"/>
      <c r="P99" s="2057"/>
      <c r="Q99" s="1821"/>
    </row>
    <row r="100" spans="1:17" ht="15.75" thickBot="1">
      <c r="A100" s="1896"/>
      <c r="B100" s="1881"/>
      <c r="C100" s="1882"/>
      <c r="D100" s="1882"/>
      <c r="E100" s="1882"/>
      <c r="F100" s="1882"/>
      <c r="G100" s="1897"/>
      <c r="H100" s="1897"/>
      <c r="I100" s="1897"/>
      <c r="J100" s="1897"/>
      <c r="K100" s="1897"/>
      <c r="L100" s="1897"/>
      <c r="M100" s="1898"/>
      <c r="N100" s="3016"/>
      <c r="O100" s="3016"/>
      <c r="P100" s="2057"/>
      <c r="Q100" s="1821"/>
    </row>
    <row r="101" spans="1:17">
      <c r="A101" s="1846" t="s">
        <v>2273</v>
      </c>
      <c r="B101" s="1847" t="s">
        <v>2322</v>
      </c>
      <c r="C101" s="3458" t="s">
        <v>3376</v>
      </c>
      <c r="D101" s="3458" t="s">
        <v>3377</v>
      </c>
      <c r="E101" s="3458" t="s">
        <v>3557</v>
      </c>
      <c r="F101" s="1849"/>
      <c r="G101" s="1849"/>
      <c r="H101" s="1849"/>
      <c r="I101" s="1849"/>
      <c r="J101" s="1849"/>
      <c r="K101" s="417"/>
      <c r="L101" s="417"/>
      <c r="M101" s="1850"/>
      <c r="N101" s="3015"/>
      <c r="O101" s="3015"/>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6"/>
      <c r="O102" s="3016"/>
      <c r="P102" s="2057"/>
      <c r="Q102" s="1821"/>
    </row>
    <row r="103" spans="1:17" ht="15.75" thickTop="1">
      <c r="A103" s="1853"/>
      <c r="B103" s="1858" t="s">
        <v>2323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4"/>
      <c r="O103" s="3014"/>
      <c r="P103" s="2057"/>
      <c r="Q103" s="1821"/>
    </row>
    <row r="104" spans="1:17" s="1771" customFormat="1">
      <c r="A104" s="1899"/>
      <c r="B104" s="1900"/>
      <c r="C104" s="1901">
        <v>0</v>
      </c>
      <c r="D104" s="1901">
        <v>300</v>
      </c>
      <c r="E104" s="1901">
        <v>500</v>
      </c>
      <c r="F104" s="1901">
        <v>1000</v>
      </c>
      <c r="G104" s="1901"/>
      <c r="H104" s="1901"/>
      <c r="I104" s="1901"/>
      <c r="J104" s="485"/>
      <c r="K104" s="485"/>
      <c r="L104" s="485"/>
      <c r="M104" s="1902"/>
      <c r="N104" s="3017"/>
      <c r="O104" s="3017"/>
      <c r="P104" s="2058"/>
      <c r="Q104" s="1873"/>
    </row>
    <row r="105" spans="1:17" s="1771" customFormat="1" ht="15.75" thickBot="1">
      <c r="A105" s="1869"/>
      <c r="B105" s="1861"/>
      <c r="C105" s="1874">
        <v>100</v>
      </c>
      <c r="D105" s="1855">
        <v>98</v>
      </c>
      <c r="E105" s="1855">
        <v>96</v>
      </c>
      <c r="F105" s="1855">
        <v>94</v>
      </c>
      <c r="G105" s="1855"/>
      <c r="H105" s="1855"/>
      <c r="I105" s="1855"/>
      <c r="J105" s="1855"/>
      <c r="K105" s="1855"/>
      <c r="L105" s="1855"/>
      <c r="M105" s="1856"/>
      <c r="N105" s="3016"/>
      <c r="O105" s="3016"/>
      <c r="P105" s="2058"/>
      <c r="Q105" s="1873"/>
    </row>
    <row r="106" spans="1:17" ht="15" thickTop="1">
      <c r="A106" s="1903"/>
      <c r="B106" s="1858" t="s">
        <v>2324</v>
      </c>
      <c r="C106" s="3159" t="s">
        <v>3378</v>
      </c>
      <c r="D106" s="468"/>
      <c r="E106" s="1578"/>
      <c r="F106" s="1578"/>
      <c r="G106" s="1578"/>
      <c r="H106" s="1578"/>
      <c r="I106" s="1578"/>
      <c r="J106" s="1578"/>
      <c r="K106" s="473"/>
      <c r="L106" s="473"/>
      <c r="M106" s="1893"/>
      <c r="N106" s="3015"/>
      <c r="O106" s="3015"/>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6"/>
      <c r="O107" s="3016"/>
      <c r="P107" s="2057"/>
      <c r="Q107" s="1821"/>
    </row>
    <row r="108" spans="1:17" ht="15" thickTop="1">
      <c r="A108" s="1903"/>
      <c r="B108" s="1858" t="s">
        <v>2326</v>
      </c>
      <c r="C108" s="3159" t="s">
        <v>3548</v>
      </c>
      <c r="D108" s="3159" t="s">
        <v>3549</v>
      </c>
      <c r="E108" s="468"/>
      <c r="F108" s="1578"/>
      <c r="G108" s="1578"/>
      <c r="H108" s="1578"/>
      <c r="I108" s="1578"/>
      <c r="J108" s="1578"/>
      <c r="K108" s="473"/>
      <c r="L108" s="473"/>
      <c r="M108" s="1893"/>
      <c r="N108" s="3015"/>
      <c r="O108" s="3015"/>
      <c r="P108" s="2057"/>
      <c r="Q108" s="1821"/>
    </row>
    <row r="109" spans="1:17" ht="15.75" thickBot="1">
      <c r="A109" s="1853"/>
      <c r="B109" s="1861"/>
      <c r="C109" s="1862">
        <v>100</v>
      </c>
      <c r="D109" s="1862">
        <f t="shared" ref="D109:M109" si="25">C109-$K36</f>
        <v>98</v>
      </c>
      <c r="E109" s="1862">
        <f t="shared" si="25"/>
        <v>96</v>
      </c>
      <c r="F109" s="1862">
        <f t="shared" si="25"/>
        <v>94</v>
      </c>
      <c r="G109" s="1862">
        <f t="shared" si="25"/>
        <v>92</v>
      </c>
      <c r="H109" s="1862">
        <f t="shared" si="25"/>
        <v>90</v>
      </c>
      <c r="I109" s="1862">
        <f t="shared" si="25"/>
        <v>88</v>
      </c>
      <c r="J109" s="1862">
        <f t="shared" si="25"/>
        <v>86</v>
      </c>
      <c r="K109" s="1862">
        <f t="shared" si="25"/>
        <v>84</v>
      </c>
      <c r="L109" s="1862">
        <f t="shared" si="25"/>
        <v>82</v>
      </c>
      <c r="M109" s="1863">
        <f t="shared" si="25"/>
        <v>80</v>
      </c>
      <c r="N109" s="3016"/>
      <c r="O109" s="3016"/>
      <c r="P109" s="2057"/>
      <c r="Q109" s="1821"/>
    </row>
    <row r="110" spans="1:17" ht="15" thickTop="1">
      <c r="A110" s="1903"/>
      <c r="B110" s="1858"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5"/>
      <c r="O110" s="301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5"/>
      <c r="O111" s="3015"/>
      <c r="P111" s="2057"/>
      <c r="Q111" s="1821"/>
    </row>
    <row r="112" spans="1:17" ht="15.75" thickBot="1">
      <c r="A112" s="1853"/>
      <c r="B112" s="1861"/>
      <c r="C112" s="1891">
        <v>100</v>
      </c>
      <c r="D112" s="1862">
        <f>C112+$K37</f>
        <v>102</v>
      </c>
      <c r="E112" s="1862">
        <f t="shared" ref="E112:M112" si="26">D112+$K37</f>
        <v>104</v>
      </c>
      <c r="F112" s="1862">
        <f t="shared" si="26"/>
        <v>106</v>
      </c>
      <c r="G112" s="1862">
        <f t="shared" si="26"/>
        <v>108</v>
      </c>
      <c r="H112" s="1862">
        <f t="shared" si="26"/>
        <v>110</v>
      </c>
      <c r="I112" s="1862">
        <f t="shared" si="26"/>
        <v>112</v>
      </c>
      <c r="J112" s="1862">
        <f t="shared" si="26"/>
        <v>114</v>
      </c>
      <c r="K112" s="1862">
        <f t="shared" si="26"/>
        <v>116</v>
      </c>
      <c r="L112" s="1862">
        <f t="shared" si="26"/>
        <v>118</v>
      </c>
      <c r="M112" s="1862">
        <f t="shared" si="26"/>
        <v>120</v>
      </c>
      <c r="N112" s="3016"/>
      <c r="O112" s="3016"/>
      <c r="P112" s="2057"/>
      <c r="Q112" s="1821"/>
    </row>
    <row r="113" spans="1:17" s="1771" customFormat="1" ht="15" thickTop="1">
      <c r="A113" s="1899"/>
      <c r="B113" s="1858" t="s">
        <v>2397</v>
      </c>
      <c r="C113" s="3159" t="s">
        <v>3551</v>
      </c>
      <c r="D113" s="3159" t="s">
        <v>3553</v>
      </c>
      <c r="E113" s="468"/>
      <c r="F113" s="468"/>
      <c r="G113" s="468"/>
      <c r="H113" s="1578"/>
      <c r="I113" s="1578"/>
      <c r="J113" s="1578"/>
      <c r="K113" s="473"/>
      <c r="L113" s="473"/>
      <c r="M113" s="1893"/>
      <c r="N113" s="3017"/>
      <c r="O113" s="3017"/>
      <c r="P113" s="2058"/>
      <c r="Q113" s="1873"/>
    </row>
    <row r="114" spans="1:17" s="1771" customFormat="1" ht="15.75" thickBot="1">
      <c r="A114" s="1869"/>
      <c r="B114" s="1861"/>
      <c r="C114" s="1862">
        <v>100</v>
      </c>
      <c r="D114" s="1862">
        <f>C114-$K38</f>
        <v>98</v>
      </c>
      <c r="E114" s="1862">
        <f t="shared" ref="E114:M114" si="27">D114-$K38</f>
        <v>96</v>
      </c>
      <c r="F114" s="1862">
        <f t="shared" si="27"/>
        <v>94</v>
      </c>
      <c r="G114" s="1862">
        <f t="shared" si="27"/>
        <v>92</v>
      </c>
      <c r="H114" s="1862">
        <f t="shared" si="27"/>
        <v>90</v>
      </c>
      <c r="I114" s="1862">
        <f t="shared" si="27"/>
        <v>88</v>
      </c>
      <c r="J114" s="1862">
        <f t="shared" si="27"/>
        <v>86</v>
      </c>
      <c r="K114" s="1862">
        <f t="shared" si="27"/>
        <v>84</v>
      </c>
      <c r="L114" s="1862">
        <f t="shared" si="27"/>
        <v>82</v>
      </c>
      <c r="M114" s="1862">
        <f t="shared" si="27"/>
        <v>80</v>
      </c>
      <c r="N114" s="3017"/>
      <c r="O114" s="3017"/>
      <c r="P114" s="2058"/>
      <c r="Q114" s="1873"/>
    </row>
    <row r="115" spans="1:17" ht="15" thickTop="1">
      <c r="A115" s="1903"/>
      <c r="B115" s="1858" t="s">
        <v>2328</v>
      </c>
      <c r="C115" s="3159" t="s">
        <v>3554</v>
      </c>
      <c r="D115" s="468"/>
      <c r="E115" s="1578"/>
      <c r="F115" s="1578"/>
      <c r="G115" s="1578"/>
      <c r="H115" s="1578"/>
      <c r="I115" s="1578"/>
      <c r="J115" s="1578"/>
      <c r="K115" s="473"/>
      <c r="L115" s="473"/>
      <c r="M115" s="1893"/>
      <c r="N115" s="3015"/>
      <c r="O115" s="3015"/>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6"/>
      <c r="O116" s="3016"/>
      <c r="P116" s="2057"/>
      <c r="Q116" s="1821"/>
    </row>
    <row r="117" spans="1:17" ht="15" thickTop="1">
      <c r="A117" s="1903"/>
      <c r="B117" s="1858" t="s">
        <v>2329</v>
      </c>
      <c r="C117" s="3159" t="s">
        <v>3555</v>
      </c>
      <c r="D117" s="468"/>
      <c r="E117" s="468"/>
      <c r="F117" s="468"/>
      <c r="G117" s="468"/>
      <c r="H117" s="1578"/>
      <c r="I117" s="1578"/>
      <c r="J117" s="1578"/>
      <c r="K117" s="473"/>
      <c r="L117" s="473"/>
      <c r="M117" s="1893"/>
      <c r="N117" s="3015"/>
      <c r="O117" s="3015"/>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6"/>
      <c r="O118" s="3016"/>
      <c r="P118" s="2057"/>
      <c r="Q118" s="1821"/>
    </row>
    <row r="119" spans="1:17" ht="15" thickTop="1">
      <c r="A119" s="1903"/>
      <c r="B119" s="2505" t="s">
        <v>2398</v>
      </c>
      <c r="C119" s="1578"/>
      <c r="D119" s="1578"/>
      <c r="E119" s="1578"/>
      <c r="F119" s="1578"/>
      <c r="G119" s="1578"/>
      <c r="H119" s="1578"/>
      <c r="I119" s="1578"/>
      <c r="J119" s="1578"/>
      <c r="K119" s="1578"/>
      <c r="L119" s="1578"/>
      <c r="M119" s="2506"/>
      <c r="N119" s="3016"/>
      <c r="O119" s="3016"/>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6"/>
      <c r="O120" s="3016"/>
      <c r="P120" s="2057"/>
      <c r="Q120" s="1821"/>
    </row>
    <row r="121" spans="1:17" s="1771" customFormat="1" ht="15" thickTop="1">
      <c r="A121" s="1899"/>
      <c r="B121" s="1858" t="s">
        <v>2380</v>
      </c>
      <c r="C121" s="468"/>
      <c r="D121" s="468"/>
      <c r="E121" s="468"/>
      <c r="F121" s="1578"/>
      <c r="G121" s="443"/>
      <c r="H121" s="443"/>
      <c r="I121" s="443"/>
      <c r="J121" s="443"/>
      <c r="K121" s="443"/>
      <c r="L121" s="443"/>
      <c r="M121" s="1870"/>
      <c r="N121" s="3017"/>
      <c r="O121" s="301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7"/>
      <c r="O122" s="3017"/>
      <c r="P122" s="2058"/>
      <c r="Q122" s="1873"/>
    </row>
    <row r="123" spans="1:17" ht="15" thickTop="1">
      <c r="A123" s="1903"/>
      <c r="B123" s="1858" t="s">
        <v>2331</v>
      </c>
      <c r="C123" s="3159" t="s">
        <v>2901</v>
      </c>
      <c r="D123" s="3159" t="s">
        <v>2903</v>
      </c>
      <c r="E123" s="3159" t="s">
        <v>2904</v>
      </c>
      <c r="F123" s="3160" t="s">
        <v>2905</v>
      </c>
      <c r="G123" s="1578"/>
      <c r="H123" s="1578"/>
      <c r="I123" s="1578"/>
      <c r="J123" s="1578"/>
      <c r="K123" s="473"/>
      <c r="L123" s="473"/>
      <c r="M123" s="1893"/>
      <c r="N123" s="3015"/>
      <c r="O123" s="3015"/>
      <c r="P123" s="2057"/>
      <c r="Q123" s="1821"/>
    </row>
    <row r="124" spans="1:17" ht="15.7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6"/>
      <c r="O124" s="3016"/>
      <c r="P124" s="2057"/>
      <c r="Q124" s="1821"/>
    </row>
    <row r="125" spans="1:17" ht="15" thickTop="1">
      <c r="A125" s="1903"/>
      <c r="B125" s="1858" t="s">
        <v>2332</v>
      </c>
      <c r="C125" s="579" t="s">
        <v>2307</v>
      </c>
      <c r="D125" s="579" t="s">
        <v>2308</v>
      </c>
      <c r="E125" s="579" t="s">
        <v>2309</v>
      </c>
      <c r="F125" s="579" t="s">
        <v>2310</v>
      </c>
      <c r="G125" s="579" t="s">
        <v>2311</v>
      </c>
      <c r="H125" s="1859"/>
      <c r="I125" s="1859"/>
      <c r="J125" s="1859"/>
      <c r="K125" s="428"/>
      <c r="L125" s="428"/>
      <c r="M125" s="1860"/>
      <c r="N125" s="3015"/>
      <c r="O125" s="3015"/>
      <c r="P125" s="2058"/>
      <c r="Q125" s="1821"/>
    </row>
    <row r="126" spans="1:17" ht="15.75" thickBot="1">
      <c r="A126" s="1853"/>
      <c r="B126" s="1861"/>
      <c r="C126" s="1862">
        <v>100</v>
      </c>
      <c r="D126" s="1862">
        <f>C126-$K44</f>
        <v>95</v>
      </c>
      <c r="E126" s="1862">
        <f>D126-$K44</f>
        <v>90</v>
      </c>
      <c r="F126" s="1862">
        <f>E126-$K44</f>
        <v>85</v>
      </c>
      <c r="G126" s="1862">
        <f>F126-$K44</f>
        <v>80</v>
      </c>
      <c r="H126" s="1862"/>
      <c r="I126" s="1862"/>
      <c r="J126" s="1862"/>
      <c r="K126" s="1862"/>
      <c r="L126" s="1862"/>
      <c r="M126" s="1863"/>
      <c r="N126" s="3016"/>
      <c r="O126" s="301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7"/>
      <c r="O127" s="301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7"/>
      <c r="O128" s="3017"/>
      <c r="P128" s="2058"/>
      <c r="Q128" s="1873"/>
    </row>
    <row r="129" spans="1:17" ht="15" thickTop="1">
      <c r="A129" s="1903"/>
      <c r="B129" s="1858">
        <f>B46</f>
        <v>111</v>
      </c>
      <c r="C129" s="468"/>
      <c r="D129" s="468"/>
      <c r="E129" s="468"/>
      <c r="F129" s="468"/>
      <c r="G129" s="1578"/>
      <c r="H129" s="1578"/>
      <c r="I129" s="1578"/>
      <c r="J129" s="1578"/>
      <c r="K129" s="473"/>
      <c r="L129" s="473"/>
      <c r="M129" s="1893"/>
      <c r="N129" s="3015"/>
      <c r="O129" s="3015"/>
      <c r="P129" s="2057"/>
      <c r="Q129" s="1821"/>
    </row>
    <row r="130" spans="1:17" ht="15.75" thickBot="1">
      <c r="A130" s="1853"/>
      <c r="B130" s="1861"/>
      <c r="C130" s="1874"/>
      <c r="D130" s="1874"/>
      <c r="E130" s="1874"/>
      <c r="F130" s="1874"/>
      <c r="G130" s="1855"/>
      <c r="H130" s="1855"/>
      <c r="I130" s="1855"/>
      <c r="J130" s="1855"/>
      <c r="K130" s="1855"/>
      <c r="L130" s="1855"/>
      <c r="M130" s="1856"/>
      <c r="N130" s="3016"/>
      <c r="O130" s="3016"/>
      <c r="P130" s="2057"/>
      <c r="Q130" s="1821"/>
    </row>
    <row r="131" spans="1:17" ht="15" thickTop="1">
      <c r="A131" s="1903"/>
      <c r="B131" s="1864">
        <f>B47</f>
        <v>111</v>
      </c>
      <c r="C131" s="409"/>
      <c r="D131" s="409"/>
      <c r="E131" s="409"/>
      <c r="F131" s="409"/>
      <c r="G131" s="1894"/>
      <c r="H131" s="1894"/>
      <c r="I131" s="1894"/>
      <c r="J131" s="1894"/>
      <c r="K131" s="409"/>
      <c r="L131" s="409"/>
      <c r="M131" s="1895"/>
      <c r="N131" s="3015"/>
      <c r="O131" s="3015"/>
      <c r="P131" s="2057"/>
      <c r="Q131" s="1821"/>
    </row>
    <row r="132" spans="1:17" ht="15.75" thickBot="1">
      <c r="A132" s="2509"/>
      <c r="B132" s="1881"/>
      <c r="C132" s="1882"/>
      <c r="D132" s="1882"/>
      <c r="E132" s="1882"/>
      <c r="F132" s="1882"/>
      <c r="G132" s="1897"/>
      <c r="H132" s="1897"/>
      <c r="I132" s="1897"/>
      <c r="J132" s="1897"/>
      <c r="K132" s="1897"/>
      <c r="L132" s="1897"/>
      <c r="M132" s="1898"/>
      <c r="N132" s="3016"/>
      <c r="O132" s="3016"/>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8" type="noConversion"/>
  <conditionalFormatting sqref="F53 H53">
    <cfRule type="containsText" dxfId="183" priority="20" stopIfTrue="1" operator="containsText" text="超过">
      <formula>NOT(ISERROR(SEARCH("超过",F53)))</formula>
    </cfRule>
  </conditionalFormatting>
  <conditionalFormatting sqref="H55">
    <cfRule type="containsText" dxfId="182" priority="19" stopIfTrue="1" operator="containsText" text="超过">
      <formula>NOT(ISERROR(SEARCH("超过",H55)))</formula>
    </cfRule>
  </conditionalFormatting>
  <conditionalFormatting sqref="F55">
    <cfRule type="containsText" dxfId="181" priority="18" stopIfTrue="1" operator="containsText" text="超过">
      <formula>NOT(ISERROR(SEARCH("超过",F55)))</formula>
    </cfRule>
  </conditionalFormatting>
  <conditionalFormatting sqref="F54 H54">
    <cfRule type="containsText" dxfId="180" priority="17" stopIfTrue="1" operator="containsText" text="超过">
      <formula>NOT(ISERROR(SEARCH("超过",F54)))</formula>
    </cfRule>
  </conditionalFormatting>
  <conditionalFormatting sqref="E53">
    <cfRule type="expression" dxfId="179" priority="16" stopIfTrue="1">
      <formula>$F$53="超过30%"</formula>
    </cfRule>
  </conditionalFormatting>
  <conditionalFormatting sqref="E54">
    <cfRule type="expression" dxfId="178" priority="15" stopIfTrue="1">
      <formula>$F$54="超过20%"</formula>
    </cfRule>
  </conditionalFormatting>
  <conditionalFormatting sqref="E55">
    <cfRule type="expression" dxfId="177" priority="14" stopIfTrue="1">
      <formula>$F$55="超过30%"</formula>
    </cfRule>
  </conditionalFormatting>
  <conditionalFormatting sqref="G55">
    <cfRule type="expression" dxfId="176" priority="13" stopIfTrue="1">
      <formula>$H$55="超过30%"</formula>
    </cfRule>
  </conditionalFormatting>
  <conditionalFormatting sqref="G53">
    <cfRule type="expression" dxfId="175" priority="12" stopIfTrue="1">
      <formula>$H$53="超过30%"</formula>
    </cfRule>
  </conditionalFormatting>
  <conditionalFormatting sqref="G54">
    <cfRule type="expression" dxfId="174" priority="11" stopIfTrue="1">
      <formula>$H$54="超过20%"</formula>
    </cfRule>
  </conditionalFormatting>
  <conditionalFormatting sqref="J53">
    <cfRule type="containsText" dxfId="173" priority="10" stopIfTrue="1" operator="containsText" text="超过">
      <formula>NOT(ISERROR(SEARCH("超过",J53)))</formula>
    </cfRule>
  </conditionalFormatting>
  <conditionalFormatting sqref="J55">
    <cfRule type="containsText" dxfId="172" priority="9" stopIfTrue="1" operator="containsText" text="超过">
      <formula>NOT(ISERROR(SEARCH("超过",J55)))</formula>
    </cfRule>
  </conditionalFormatting>
  <conditionalFormatting sqref="J54">
    <cfRule type="containsText" dxfId="171" priority="8" stopIfTrue="1" operator="containsText" text="超过">
      <formula>NOT(ISERROR(SEARCH("超过",J54)))</formula>
    </cfRule>
  </conditionalFormatting>
  <conditionalFormatting sqref="I53">
    <cfRule type="expression" dxfId="170" priority="7" stopIfTrue="1">
      <formula>$J$53="超过30%"</formula>
    </cfRule>
  </conditionalFormatting>
  <conditionalFormatting sqref="I54">
    <cfRule type="expression" dxfId="169" priority="6" stopIfTrue="1">
      <formula>$J$53+$J$54="超过20%"</formula>
    </cfRule>
  </conditionalFormatting>
  <conditionalFormatting sqref="I55">
    <cfRule type="expression" dxfId="168" priority="5" stopIfTrue="1">
      <formula>$J$55="超过30%"</formula>
    </cfRule>
  </conditionalFormatting>
  <conditionalFormatting sqref="F49">
    <cfRule type="expression" dxfId="167" priority="4">
      <formula>$D$49="简单平均"</formula>
    </cfRule>
  </conditionalFormatting>
  <conditionalFormatting sqref="H49">
    <cfRule type="expression" dxfId="166" priority="3">
      <formula>$D$49="简单平均"</formula>
    </cfRule>
  </conditionalFormatting>
  <conditionalFormatting sqref="J49">
    <cfRule type="expression" dxfId="165" priority="2">
      <formula>$D$49="简单平均"</formula>
    </cfRule>
  </conditionalFormatting>
  <conditionalFormatting sqref="F7:F47 H7:H47 J7:J47">
    <cfRule type="cellIs" dxfId="164"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C779-2CBD-4218-BDFB-ABE03511C26D}">
  <sheetPr codeName="Sheet30"/>
  <dimension ref="A1:S45"/>
  <sheetViews>
    <sheetView tabSelected="1" zoomScale="90" zoomScaleNormal="90" workbookViewId="0">
      <selection activeCell="H34" sqref="H34"/>
    </sheetView>
  </sheetViews>
  <sheetFormatPr defaultRowHeight="13.5"/>
  <cols>
    <col min="1" max="1" width="6.375" style="3170" customWidth="1"/>
    <col min="2" max="2" width="19.375" style="3224" customWidth="1"/>
    <col min="3" max="3" width="7" style="3170" customWidth="1"/>
    <col min="4" max="4" width="3.25" style="3170" customWidth="1"/>
    <col min="5" max="5" width="7.375" style="3170" customWidth="1"/>
    <col min="6" max="6" width="3.5" style="3170" customWidth="1"/>
    <col min="7" max="7" width="19.375" style="3169" customWidth="1"/>
    <col min="8" max="8" width="19.5" style="3170" customWidth="1"/>
    <col min="9" max="9" width="8.625" style="3170" customWidth="1"/>
    <col min="10" max="10" width="10.5" style="3172" customWidth="1"/>
    <col min="11" max="11" width="4.875" style="3172" customWidth="1"/>
    <col min="12" max="12" width="20.125" style="3172" customWidth="1"/>
    <col min="13" max="17" width="9.5" style="3170" bestFit="1" customWidth="1"/>
    <col min="18" max="18" width="11.625" style="3170" bestFit="1" customWidth="1"/>
    <col min="19" max="19" width="17.25" style="3170" bestFit="1" customWidth="1"/>
    <col min="20" max="256" width="9" style="3170"/>
    <col min="257" max="257" width="6.375" style="3170" customWidth="1"/>
    <col min="258" max="258" width="19.375" style="3170" customWidth="1"/>
    <col min="259" max="259" width="7" style="3170" customWidth="1"/>
    <col min="260" max="260" width="3.25" style="3170" customWidth="1"/>
    <col min="261" max="261" width="7.375" style="3170" customWidth="1"/>
    <col min="262" max="262" width="3.5" style="3170" customWidth="1"/>
    <col min="263" max="263" width="19.375" style="3170" customWidth="1"/>
    <col min="264" max="264" width="19.5" style="3170" customWidth="1"/>
    <col min="265" max="265" width="8.625" style="3170" customWidth="1"/>
    <col min="266" max="266" width="10.5" style="3170" customWidth="1"/>
    <col min="267" max="267" width="4.875" style="3170" customWidth="1"/>
    <col min="268" max="268" width="16.375" style="3170" customWidth="1"/>
    <col min="269" max="272" width="8.125" style="3170" customWidth="1"/>
    <col min="273" max="512" width="9" style="3170"/>
    <col min="513" max="513" width="6.375" style="3170" customWidth="1"/>
    <col min="514" max="514" width="19.375" style="3170" customWidth="1"/>
    <col min="515" max="515" width="7" style="3170" customWidth="1"/>
    <col min="516" max="516" width="3.25" style="3170" customWidth="1"/>
    <col min="517" max="517" width="7.375" style="3170" customWidth="1"/>
    <col min="518" max="518" width="3.5" style="3170" customWidth="1"/>
    <col min="519" max="519" width="19.375" style="3170" customWidth="1"/>
    <col min="520" max="520" width="19.5" style="3170" customWidth="1"/>
    <col min="521" max="521" width="8.625" style="3170" customWidth="1"/>
    <col min="522" max="522" width="10.5" style="3170" customWidth="1"/>
    <col min="523" max="523" width="4.875" style="3170" customWidth="1"/>
    <col min="524" max="524" width="16.375" style="3170" customWidth="1"/>
    <col min="525" max="528" width="8.125" style="3170" customWidth="1"/>
    <col min="529" max="768" width="9" style="3170"/>
    <col min="769" max="769" width="6.375" style="3170" customWidth="1"/>
    <col min="770" max="770" width="19.375" style="3170" customWidth="1"/>
    <col min="771" max="771" width="7" style="3170" customWidth="1"/>
    <col min="772" max="772" width="3.25" style="3170" customWidth="1"/>
    <col min="773" max="773" width="7.375" style="3170" customWidth="1"/>
    <col min="774" max="774" width="3.5" style="3170" customWidth="1"/>
    <col min="775" max="775" width="19.375" style="3170" customWidth="1"/>
    <col min="776" max="776" width="19.5" style="3170" customWidth="1"/>
    <col min="777" max="777" width="8.625" style="3170" customWidth="1"/>
    <col min="778" max="778" width="10.5" style="3170" customWidth="1"/>
    <col min="779" max="779" width="4.875" style="3170" customWidth="1"/>
    <col min="780" max="780" width="16.375" style="3170" customWidth="1"/>
    <col min="781" max="784" width="8.125" style="3170" customWidth="1"/>
    <col min="785" max="1024" width="9" style="3170"/>
    <col min="1025" max="1025" width="6.375" style="3170" customWidth="1"/>
    <col min="1026" max="1026" width="19.375" style="3170" customWidth="1"/>
    <col min="1027" max="1027" width="7" style="3170" customWidth="1"/>
    <col min="1028" max="1028" width="3.25" style="3170" customWidth="1"/>
    <col min="1029" max="1029" width="7.375" style="3170" customWidth="1"/>
    <col min="1030" max="1030" width="3.5" style="3170" customWidth="1"/>
    <col min="1031" max="1031" width="19.375" style="3170" customWidth="1"/>
    <col min="1032" max="1032" width="19.5" style="3170" customWidth="1"/>
    <col min="1033" max="1033" width="8.625" style="3170" customWidth="1"/>
    <col min="1034" max="1034" width="10.5" style="3170" customWidth="1"/>
    <col min="1035" max="1035" width="4.875" style="3170" customWidth="1"/>
    <col min="1036" max="1036" width="16.375" style="3170" customWidth="1"/>
    <col min="1037" max="1040" width="8.125" style="3170" customWidth="1"/>
    <col min="1041" max="1280" width="9" style="3170"/>
    <col min="1281" max="1281" width="6.375" style="3170" customWidth="1"/>
    <col min="1282" max="1282" width="19.375" style="3170" customWidth="1"/>
    <col min="1283" max="1283" width="7" style="3170" customWidth="1"/>
    <col min="1284" max="1284" width="3.25" style="3170" customWidth="1"/>
    <col min="1285" max="1285" width="7.375" style="3170" customWidth="1"/>
    <col min="1286" max="1286" width="3.5" style="3170" customWidth="1"/>
    <col min="1287" max="1287" width="19.375" style="3170" customWidth="1"/>
    <col min="1288" max="1288" width="19.5" style="3170" customWidth="1"/>
    <col min="1289" max="1289" width="8.625" style="3170" customWidth="1"/>
    <col min="1290" max="1290" width="10.5" style="3170" customWidth="1"/>
    <col min="1291" max="1291" width="4.875" style="3170" customWidth="1"/>
    <col min="1292" max="1292" width="16.375" style="3170" customWidth="1"/>
    <col min="1293" max="1296" width="8.125" style="3170" customWidth="1"/>
    <col min="1297" max="1536" width="9" style="3170"/>
    <col min="1537" max="1537" width="6.375" style="3170" customWidth="1"/>
    <col min="1538" max="1538" width="19.375" style="3170" customWidth="1"/>
    <col min="1539" max="1539" width="7" style="3170" customWidth="1"/>
    <col min="1540" max="1540" width="3.25" style="3170" customWidth="1"/>
    <col min="1541" max="1541" width="7.375" style="3170" customWidth="1"/>
    <col min="1542" max="1542" width="3.5" style="3170" customWidth="1"/>
    <col min="1543" max="1543" width="19.375" style="3170" customWidth="1"/>
    <col min="1544" max="1544" width="19.5" style="3170" customWidth="1"/>
    <col min="1545" max="1545" width="8.625" style="3170" customWidth="1"/>
    <col min="1546" max="1546" width="10.5" style="3170" customWidth="1"/>
    <col min="1547" max="1547" width="4.875" style="3170" customWidth="1"/>
    <col min="1548" max="1548" width="16.375" style="3170" customWidth="1"/>
    <col min="1549" max="1552" width="8.125" style="3170" customWidth="1"/>
    <col min="1553" max="1792" width="9" style="3170"/>
    <col min="1793" max="1793" width="6.375" style="3170" customWidth="1"/>
    <col min="1794" max="1794" width="19.375" style="3170" customWidth="1"/>
    <col min="1795" max="1795" width="7" style="3170" customWidth="1"/>
    <col min="1796" max="1796" width="3.25" style="3170" customWidth="1"/>
    <col min="1797" max="1797" width="7.375" style="3170" customWidth="1"/>
    <col min="1798" max="1798" width="3.5" style="3170" customWidth="1"/>
    <col min="1799" max="1799" width="19.375" style="3170" customWidth="1"/>
    <col min="1800" max="1800" width="19.5" style="3170" customWidth="1"/>
    <col min="1801" max="1801" width="8.625" style="3170" customWidth="1"/>
    <col min="1802" max="1802" width="10.5" style="3170" customWidth="1"/>
    <col min="1803" max="1803" width="4.875" style="3170" customWidth="1"/>
    <col min="1804" max="1804" width="16.375" style="3170" customWidth="1"/>
    <col min="1805" max="1808" width="8.125" style="3170" customWidth="1"/>
    <col min="1809" max="2048" width="9" style="3170"/>
    <col min="2049" max="2049" width="6.375" style="3170" customWidth="1"/>
    <col min="2050" max="2050" width="19.375" style="3170" customWidth="1"/>
    <col min="2051" max="2051" width="7" style="3170" customWidth="1"/>
    <col min="2052" max="2052" width="3.25" style="3170" customWidth="1"/>
    <col min="2053" max="2053" width="7.375" style="3170" customWidth="1"/>
    <col min="2054" max="2054" width="3.5" style="3170" customWidth="1"/>
    <col min="2055" max="2055" width="19.375" style="3170" customWidth="1"/>
    <col min="2056" max="2056" width="19.5" style="3170" customWidth="1"/>
    <col min="2057" max="2057" width="8.625" style="3170" customWidth="1"/>
    <col min="2058" max="2058" width="10.5" style="3170" customWidth="1"/>
    <col min="2059" max="2059" width="4.875" style="3170" customWidth="1"/>
    <col min="2060" max="2060" width="16.375" style="3170" customWidth="1"/>
    <col min="2061" max="2064" width="8.125" style="3170" customWidth="1"/>
    <col min="2065" max="2304" width="9" style="3170"/>
    <col min="2305" max="2305" width="6.375" style="3170" customWidth="1"/>
    <col min="2306" max="2306" width="19.375" style="3170" customWidth="1"/>
    <col min="2307" max="2307" width="7" style="3170" customWidth="1"/>
    <col min="2308" max="2308" width="3.25" style="3170" customWidth="1"/>
    <col min="2309" max="2309" width="7.375" style="3170" customWidth="1"/>
    <col min="2310" max="2310" width="3.5" style="3170" customWidth="1"/>
    <col min="2311" max="2311" width="19.375" style="3170" customWidth="1"/>
    <col min="2312" max="2312" width="19.5" style="3170" customWidth="1"/>
    <col min="2313" max="2313" width="8.625" style="3170" customWidth="1"/>
    <col min="2314" max="2314" width="10.5" style="3170" customWidth="1"/>
    <col min="2315" max="2315" width="4.875" style="3170" customWidth="1"/>
    <col min="2316" max="2316" width="16.375" style="3170" customWidth="1"/>
    <col min="2317" max="2320" width="8.125" style="3170" customWidth="1"/>
    <col min="2321" max="2560" width="9" style="3170"/>
    <col min="2561" max="2561" width="6.375" style="3170" customWidth="1"/>
    <col min="2562" max="2562" width="19.375" style="3170" customWidth="1"/>
    <col min="2563" max="2563" width="7" style="3170" customWidth="1"/>
    <col min="2564" max="2564" width="3.25" style="3170" customWidth="1"/>
    <col min="2565" max="2565" width="7.375" style="3170" customWidth="1"/>
    <col min="2566" max="2566" width="3.5" style="3170" customWidth="1"/>
    <col min="2567" max="2567" width="19.375" style="3170" customWidth="1"/>
    <col min="2568" max="2568" width="19.5" style="3170" customWidth="1"/>
    <col min="2569" max="2569" width="8.625" style="3170" customWidth="1"/>
    <col min="2570" max="2570" width="10.5" style="3170" customWidth="1"/>
    <col min="2571" max="2571" width="4.875" style="3170" customWidth="1"/>
    <col min="2572" max="2572" width="16.375" style="3170" customWidth="1"/>
    <col min="2573" max="2576" width="8.125" style="3170" customWidth="1"/>
    <col min="2577" max="2816" width="9" style="3170"/>
    <col min="2817" max="2817" width="6.375" style="3170" customWidth="1"/>
    <col min="2818" max="2818" width="19.375" style="3170" customWidth="1"/>
    <col min="2819" max="2819" width="7" style="3170" customWidth="1"/>
    <col min="2820" max="2820" width="3.25" style="3170" customWidth="1"/>
    <col min="2821" max="2821" width="7.375" style="3170" customWidth="1"/>
    <col min="2822" max="2822" width="3.5" style="3170" customWidth="1"/>
    <col min="2823" max="2823" width="19.375" style="3170" customWidth="1"/>
    <col min="2824" max="2824" width="19.5" style="3170" customWidth="1"/>
    <col min="2825" max="2825" width="8.625" style="3170" customWidth="1"/>
    <col min="2826" max="2826" width="10.5" style="3170" customWidth="1"/>
    <col min="2827" max="2827" width="4.875" style="3170" customWidth="1"/>
    <col min="2828" max="2828" width="16.375" style="3170" customWidth="1"/>
    <col min="2829" max="2832" width="8.125" style="3170" customWidth="1"/>
    <col min="2833" max="3072" width="9" style="3170"/>
    <col min="3073" max="3073" width="6.375" style="3170" customWidth="1"/>
    <col min="3074" max="3074" width="19.375" style="3170" customWidth="1"/>
    <col min="3075" max="3075" width="7" style="3170" customWidth="1"/>
    <col min="3076" max="3076" width="3.25" style="3170" customWidth="1"/>
    <col min="3077" max="3077" width="7.375" style="3170" customWidth="1"/>
    <col min="3078" max="3078" width="3.5" style="3170" customWidth="1"/>
    <col min="3079" max="3079" width="19.375" style="3170" customWidth="1"/>
    <col min="3080" max="3080" width="19.5" style="3170" customWidth="1"/>
    <col min="3081" max="3081" width="8.625" style="3170" customWidth="1"/>
    <col min="3082" max="3082" width="10.5" style="3170" customWidth="1"/>
    <col min="3083" max="3083" width="4.875" style="3170" customWidth="1"/>
    <col min="3084" max="3084" width="16.375" style="3170" customWidth="1"/>
    <col min="3085" max="3088" width="8.125" style="3170" customWidth="1"/>
    <col min="3089" max="3328" width="9" style="3170"/>
    <col min="3329" max="3329" width="6.375" style="3170" customWidth="1"/>
    <col min="3330" max="3330" width="19.375" style="3170" customWidth="1"/>
    <col min="3331" max="3331" width="7" style="3170" customWidth="1"/>
    <col min="3332" max="3332" width="3.25" style="3170" customWidth="1"/>
    <col min="3333" max="3333" width="7.375" style="3170" customWidth="1"/>
    <col min="3334" max="3334" width="3.5" style="3170" customWidth="1"/>
    <col min="3335" max="3335" width="19.375" style="3170" customWidth="1"/>
    <col min="3336" max="3336" width="19.5" style="3170" customWidth="1"/>
    <col min="3337" max="3337" width="8.625" style="3170" customWidth="1"/>
    <col min="3338" max="3338" width="10.5" style="3170" customWidth="1"/>
    <col min="3339" max="3339" width="4.875" style="3170" customWidth="1"/>
    <col min="3340" max="3340" width="16.375" style="3170" customWidth="1"/>
    <col min="3341" max="3344" width="8.125" style="3170" customWidth="1"/>
    <col min="3345" max="3584" width="9" style="3170"/>
    <col min="3585" max="3585" width="6.375" style="3170" customWidth="1"/>
    <col min="3586" max="3586" width="19.375" style="3170" customWidth="1"/>
    <col min="3587" max="3587" width="7" style="3170" customWidth="1"/>
    <col min="3588" max="3588" width="3.25" style="3170" customWidth="1"/>
    <col min="3589" max="3589" width="7.375" style="3170" customWidth="1"/>
    <col min="3590" max="3590" width="3.5" style="3170" customWidth="1"/>
    <col min="3591" max="3591" width="19.375" style="3170" customWidth="1"/>
    <col min="3592" max="3592" width="19.5" style="3170" customWidth="1"/>
    <col min="3593" max="3593" width="8.625" style="3170" customWidth="1"/>
    <col min="3594" max="3594" width="10.5" style="3170" customWidth="1"/>
    <col min="3595" max="3595" width="4.875" style="3170" customWidth="1"/>
    <col min="3596" max="3596" width="16.375" style="3170" customWidth="1"/>
    <col min="3597" max="3600" width="8.125" style="3170" customWidth="1"/>
    <col min="3601" max="3840" width="9" style="3170"/>
    <col min="3841" max="3841" width="6.375" style="3170" customWidth="1"/>
    <col min="3842" max="3842" width="19.375" style="3170" customWidth="1"/>
    <col min="3843" max="3843" width="7" style="3170" customWidth="1"/>
    <col min="3844" max="3844" width="3.25" style="3170" customWidth="1"/>
    <col min="3845" max="3845" width="7.375" style="3170" customWidth="1"/>
    <col min="3846" max="3846" width="3.5" style="3170" customWidth="1"/>
    <col min="3847" max="3847" width="19.375" style="3170" customWidth="1"/>
    <col min="3848" max="3848" width="19.5" style="3170" customWidth="1"/>
    <col min="3849" max="3849" width="8.625" style="3170" customWidth="1"/>
    <col min="3850" max="3850" width="10.5" style="3170" customWidth="1"/>
    <col min="3851" max="3851" width="4.875" style="3170" customWidth="1"/>
    <col min="3852" max="3852" width="16.375" style="3170" customWidth="1"/>
    <col min="3853" max="3856" width="8.125" style="3170" customWidth="1"/>
    <col min="3857" max="4096" width="9" style="3170"/>
    <col min="4097" max="4097" width="6.375" style="3170" customWidth="1"/>
    <col min="4098" max="4098" width="19.375" style="3170" customWidth="1"/>
    <col min="4099" max="4099" width="7" style="3170" customWidth="1"/>
    <col min="4100" max="4100" width="3.25" style="3170" customWidth="1"/>
    <col min="4101" max="4101" width="7.375" style="3170" customWidth="1"/>
    <col min="4102" max="4102" width="3.5" style="3170" customWidth="1"/>
    <col min="4103" max="4103" width="19.375" style="3170" customWidth="1"/>
    <col min="4104" max="4104" width="19.5" style="3170" customWidth="1"/>
    <col min="4105" max="4105" width="8.625" style="3170" customWidth="1"/>
    <col min="4106" max="4106" width="10.5" style="3170" customWidth="1"/>
    <col min="4107" max="4107" width="4.875" style="3170" customWidth="1"/>
    <col min="4108" max="4108" width="16.375" style="3170" customWidth="1"/>
    <col min="4109" max="4112" width="8.125" style="3170" customWidth="1"/>
    <col min="4113" max="4352" width="9" style="3170"/>
    <col min="4353" max="4353" width="6.375" style="3170" customWidth="1"/>
    <col min="4354" max="4354" width="19.375" style="3170" customWidth="1"/>
    <col min="4355" max="4355" width="7" style="3170" customWidth="1"/>
    <col min="4356" max="4356" width="3.25" style="3170" customWidth="1"/>
    <col min="4357" max="4357" width="7.375" style="3170" customWidth="1"/>
    <col min="4358" max="4358" width="3.5" style="3170" customWidth="1"/>
    <col min="4359" max="4359" width="19.375" style="3170" customWidth="1"/>
    <col min="4360" max="4360" width="19.5" style="3170" customWidth="1"/>
    <col min="4361" max="4361" width="8.625" style="3170" customWidth="1"/>
    <col min="4362" max="4362" width="10.5" style="3170" customWidth="1"/>
    <col min="4363" max="4363" width="4.875" style="3170" customWidth="1"/>
    <col min="4364" max="4364" width="16.375" style="3170" customWidth="1"/>
    <col min="4365" max="4368" width="8.125" style="3170" customWidth="1"/>
    <col min="4369" max="4608" width="9" style="3170"/>
    <col min="4609" max="4609" width="6.375" style="3170" customWidth="1"/>
    <col min="4610" max="4610" width="19.375" style="3170" customWidth="1"/>
    <col min="4611" max="4611" width="7" style="3170" customWidth="1"/>
    <col min="4612" max="4612" width="3.25" style="3170" customWidth="1"/>
    <col min="4613" max="4613" width="7.375" style="3170" customWidth="1"/>
    <col min="4614" max="4614" width="3.5" style="3170" customWidth="1"/>
    <col min="4615" max="4615" width="19.375" style="3170" customWidth="1"/>
    <col min="4616" max="4616" width="19.5" style="3170" customWidth="1"/>
    <col min="4617" max="4617" width="8.625" style="3170" customWidth="1"/>
    <col min="4618" max="4618" width="10.5" style="3170" customWidth="1"/>
    <col min="4619" max="4619" width="4.875" style="3170" customWidth="1"/>
    <col min="4620" max="4620" width="16.375" style="3170" customWidth="1"/>
    <col min="4621" max="4624" width="8.125" style="3170" customWidth="1"/>
    <col min="4625" max="4864" width="9" style="3170"/>
    <col min="4865" max="4865" width="6.375" style="3170" customWidth="1"/>
    <col min="4866" max="4866" width="19.375" style="3170" customWidth="1"/>
    <col min="4867" max="4867" width="7" style="3170" customWidth="1"/>
    <col min="4868" max="4868" width="3.25" style="3170" customWidth="1"/>
    <col min="4869" max="4869" width="7.375" style="3170" customWidth="1"/>
    <col min="4870" max="4870" width="3.5" style="3170" customWidth="1"/>
    <col min="4871" max="4871" width="19.375" style="3170" customWidth="1"/>
    <col min="4872" max="4872" width="19.5" style="3170" customWidth="1"/>
    <col min="4873" max="4873" width="8.625" style="3170" customWidth="1"/>
    <col min="4874" max="4874" width="10.5" style="3170" customWidth="1"/>
    <col min="4875" max="4875" width="4.875" style="3170" customWidth="1"/>
    <col min="4876" max="4876" width="16.375" style="3170" customWidth="1"/>
    <col min="4877" max="4880" width="8.125" style="3170" customWidth="1"/>
    <col min="4881" max="5120" width="9" style="3170"/>
    <col min="5121" max="5121" width="6.375" style="3170" customWidth="1"/>
    <col min="5122" max="5122" width="19.375" style="3170" customWidth="1"/>
    <col min="5123" max="5123" width="7" style="3170" customWidth="1"/>
    <col min="5124" max="5124" width="3.25" style="3170" customWidth="1"/>
    <col min="5125" max="5125" width="7.375" style="3170" customWidth="1"/>
    <col min="5126" max="5126" width="3.5" style="3170" customWidth="1"/>
    <col min="5127" max="5127" width="19.375" style="3170" customWidth="1"/>
    <col min="5128" max="5128" width="19.5" style="3170" customWidth="1"/>
    <col min="5129" max="5129" width="8.625" style="3170" customWidth="1"/>
    <col min="5130" max="5130" width="10.5" style="3170" customWidth="1"/>
    <col min="5131" max="5131" width="4.875" style="3170" customWidth="1"/>
    <col min="5132" max="5132" width="16.375" style="3170" customWidth="1"/>
    <col min="5133" max="5136" width="8.125" style="3170" customWidth="1"/>
    <col min="5137" max="5376" width="9" style="3170"/>
    <col min="5377" max="5377" width="6.375" style="3170" customWidth="1"/>
    <col min="5378" max="5378" width="19.375" style="3170" customWidth="1"/>
    <col min="5379" max="5379" width="7" style="3170" customWidth="1"/>
    <col min="5380" max="5380" width="3.25" style="3170" customWidth="1"/>
    <col min="5381" max="5381" width="7.375" style="3170" customWidth="1"/>
    <col min="5382" max="5382" width="3.5" style="3170" customWidth="1"/>
    <col min="5383" max="5383" width="19.375" style="3170" customWidth="1"/>
    <col min="5384" max="5384" width="19.5" style="3170" customWidth="1"/>
    <col min="5385" max="5385" width="8.625" style="3170" customWidth="1"/>
    <col min="5386" max="5386" width="10.5" style="3170" customWidth="1"/>
    <col min="5387" max="5387" width="4.875" style="3170" customWidth="1"/>
    <col min="5388" max="5388" width="16.375" style="3170" customWidth="1"/>
    <col min="5389" max="5392" width="8.125" style="3170" customWidth="1"/>
    <col min="5393" max="5632" width="9" style="3170"/>
    <col min="5633" max="5633" width="6.375" style="3170" customWidth="1"/>
    <col min="5634" max="5634" width="19.375" style="3170" customWidth="1"/>
    <col min="5635" max="5635" width="7" style="3170" customWidth="1"/>
    <col min="5636" max="5636" width="3.25" style="3170" customWidth="1"/>
    <col min="5637" max="5637" width="7.375" style="3170" customWidth="1"/>
    <col min="5638" max="5638" width="3.5" style="3170" customWidth="1"/>
    <col min="5639" max="5639" width="19.375" style="3170" customWidth="1"/>
    <col min="5640" max="5640" width="19.5" style="3170" customWidth="1"/>
    <col min="5641" max="5641" width="8.625" style="3170" customWidth="1"/>
    <col min="5642" max="5642" width="10.5" style="3170" customWidth="1"/>
    <col min="5643" max="5643" width="4.875" style="3170" customWidth="1"/>
    <col min="5644" max="5644" width="16.375" style="3170" customWidth="1"/>
    <col min="5645" max="5648" width="8.125" style="3170" customWidth="1"/>
    <col min="5649" max="5888" width="9" style="3170"/>
    <col min="5889" max="5889" width="6.375" style="3170" customWidth="1"/>
    <col min="5890" max="5890" width="19.375" style="3170" customWidth="1"/>
    <col min="5891" max="5891" width="7" style="3170" customWidth="1"/>
    <col min="5892" max="5892" width="3.25" style="3170" customWidth="1"/>
    <col min="5893" max="5893" width="7.375" style="3170" customWidth="1"/>
    <col min="5894" max="5894" width="3.5" style="3170" customWidth="1"/>
    <col min="5895" max="5895" width="19.375" style="3170" customWidth="1"/>
    <col min="5896" max="5896" width="19.5" style="3170" customWidth="1"/>
    <col min="5897" max="5897" width="8.625" style="3170" customWidth="1"/>
    <col min="5898" max="5898" width="10.5" style="3170" customWidth="1"/>
    <col min="5899" max="5899" width="4.875" style="3170" customWidth="1"/>
    <col min="5900" max="5900" width="16.375" style="3170" customWidth="1"/>
    <col min="5901" max="5904" width="8.125" style="3170" customWidth="1"/>
    <col min="5905" max="6144" width="9" style="3170"/>
    <col min="6145" max="6145" width="6.375" style="3170" customWidth="1"/>
    <col min="6146" max="6146" width="19.375" style="3170" customWidth="1"/>
    <col min="6147" max="6147" width="7" style="3170" customWidth="1"/>
    <col min="6148" max="6148" width="3.25" style="3170" customWidth="1"/>
    <col min="6149" max="6149" width="7.375" style="3170" customWidth="1"/>
    <col min="6150" max="6150" width="3.5" style="3170" customWidth="1"/>
    <col min="6151" max="6151" width="19.375" style="3170" customWidth="1"/>
    <col min="6152" max="6152" width="19.5" style="3170" customWidth="1"/>
    <col min="6153" max="6153" width="8.625" style="3170" customWidth="1"/>
    <col min="6154" max="6154" width="10.5" style="3170" customWidth="1"/>
    <col min="6155" max="6155" width="4.875" style="3170" customWidth="1"/>
    <col min="6156" max="6156" width="16.375" style="3170" customWidth="1"/>
    <col min="6157" max="6160" width="8.125" style="3170" customWidth="1"/>
    <col min="6161" max="6400" width="9" style="3170"/>
    <col min="6401" max="6401" width="6.375" style="3170" customWidth="1"/>
    <col min="6402" max="6402" width="19.375" style="3170" customWidth="1"/>
    <col min="6403" max="6403" width="7" style="3170" customWidth="1"/>
    <col min="6404" max="6404" width="3.25" style="3170" customWidth="1"/>
    <col min="6405" max="6405" width="7.375" style="3170" customWidth="1"/>
    <col min="6406" max="6406" width="3.5" style="3170" customWidth="1"/>
    <col min="6407" max="6407" width="19.375" style="3170" customWidth="1"/>
    <col min="6408" max="6408" width="19.5" style="3170" customWidth="1"/>
    <col min="6409" max="6409" width="8.625" style="3170" customWidth="1"/>
    <col min="6410" max="6410" width="10.5" style="3170" customWidth="1"/>
    <col min="6411" max="6411" width="4.875" style="3170" customWidth="1"/>
    <col min="6412" max="6412" width="16.375" style="3170" customWidth="1"/>
    <col min="6413" max="6416" width="8.125" style="3170" customWidth="1"/>
    <col min="6417" max="6656" width="9" style="3170"/>
    <col min="6657" max="6657" width="6.375" style="3170" customWidth="1"/>
    <col min="6658" max="6658" width="19.375" style="3170" customWidth="1"/>
    <col min="6659" max="6659" width="7" style="3170" customWidth="1"/>
    <col min="6660" max="6660" width="3.25" style="3170" customWidth="1"/>
    <col min="6661" max="6661" width="7.375" style="3170" customWidth="1"/>
    <col min="6662" max="6662" width="3.5" style="3170" customWidth="1"/>
    <col min="6663" max="6663" width="19.375" style="3170" customWidth="1"/>
    <col min="6664" max="6664" width="19.5" style="3170" customWidth="1"/>
    <col min="6665" max="6665" width="8.625" style="3170" customWidth="1"/>
    <col min="6666" max="6666" width="10.5" style="3170" customWidth="1"/>
    <col min="6667" max="6667" width="4.875" style="3170" customWidth="1"/>
    <col min="6668" max="6668" width="16.375" style="3170" customWidth="1"/>
    <col min="6669" max="6672" width="8.125" style="3170" customWidth="1"/>
    <col min="6673" max="6912" width="9" style="3170"/>
    <col min="6913" max="6913" width="6.375" style="3170" customWidth="1"/>
    <col min="6914" max="6914" width="19.375" style="3170" customWidth="1"/>
    <col min="6915" max="6915" width="7" style="3170" customWidth="1"/>
    <col min="6916" max="6916" width="3.25" style="3170" customWidth="1"/>
    <col min="6917" max="6917" width="7.375" style="3170" customWidth="1"/>
    <col min="6918" max="6918" width="3.5" style="3170" customWidth="1"/>
    <col min="6919" max="6919" width="19.375" style="3170" customWidth="1"/>
    <col min="6920" max="6920" width="19.5" style="3170" customWidth="1"/>
    <col min="6921" max="6921" width="8.625" style="3170" customWidth="1"/>
    <col min="6922" max="6922" width="10.5" style="3170" customWidth="1"/>
    <col min="6923" max="6923" width="4.875" style="3170" customWidth="1"/>
    <col min="6924" max="6924" width="16.375" style="3170" customWidth="1"/>
    <col min="6925" max="6928" width="8.125" style="3170" customWidth="1"/>
    <col min="6929" max="7168" width="9" style="3170"/>
    <col min="7169" max="7169" width="6.375" style="3170" customWidth="1"/>
    <col min="7170" max="7170" width="19.375" style="3170" customWidth="1"/>
    <col min="7171" max="7171" width="7" style="3170" customWidth="1"/>
    <col min="7172" max="7172" width="3.25" style="3170" customWidth="1"/>
    <col min="7173" max="7173" width="7.375" style="3170" customWidth="1"/>
    <col min="7174" max="7174" width="3.5" style="3170" customWidth="1"/>
    <col min="7175" max="7175" width="19.375" style="3170" customWidth="1"/>
    <col min="7176" max="7176" width="19.5" style="3170" customWidth="1"/>
    <col min="7177" max="7177" width="8.625" style="3170" customWidth="1"/>
    <col min="7178" max="7178" width="10.5" style="3170" customWidth="1"/>
    <col min="7179" max="7179" width="4.875" style="3170" customWidth="1"/>
    <col min="7180" max="7180" width="16.375" style="3170" customWidth="1"/>
    <col min="7181" max="7184" width="8.125" style="3170" customWidth="1"/>
    <col min="7185" max="7424" width="9" style="3170"/>
    <col min="7425" max="7425" width="6.375" style="3170" customWidth="1"/>
    <col min="7426" max="7426" width="19.375" style="3170" customWidth="1"/>
    <col min="7427" max="7427" width="7" style="3170" customWidth="1"/>
    <col min="7428" max="7428" width="3.25" style="3170" customWidth="1"/>
    <col min="7429" max="7429" width="7.375" style="3170" customWidth="1"/>
    <col min="7430" max="7430" width="3.5" style="3170" customWidth="1"/>
    <col min="7431" max="7431" width="19.375" style="3170" customWidth="1"/>
    <col min="7432" max="7432" width="19.5" style="3170" customWidth="1"/>
    <col min="7433" max="7433" width="8.625" style="3170" customWidth="1"/>
    <col min="7434" max="7434" width="10.5" style="3170" customWidth="1"/>
    <col min="7435" max="7435" width="4.875" style="3170" customWidth="1"/>
    <col min="7436" max="7436" width="16.375" style="3170" customWidth="1"/>
    <col min="7437" max="7440" width="8.125" style="3170" customWidth="1"/>
    <col min="7441" max="7680" width="9" style="3170"/>
    <col min="7681" max="7681" width="6.375" style="3170" customWidth="1"/>
    <col min="7682" max="7682" width="19.375" style="3170" customWidth="1"/>
    <col min="7683" max="7683" width="7" style="3170" customWidth="1"/>
    <col min="7684" max="7684" width="3.25" style="3170" customWidth="1"/>
    <col min="7685" max="7685" width="7.375" style="3170" customWidth="1"/>
    <col min="7686" max="7686" width="3.5" style="3170" customWidth="1"/>
    <col min="7687" max="7687" width="19.375" style="3170" customWidth="1"/>
    <col min="7688" max="7688" width="19.5" style="3170" customWidth="1"/>
    <col min="7689" max="7689" width="8.625" style="3170" customWidth="1"/>
    <col min="7690" max="7690" width="10.5" style="3170" customWidth="1"/>
    <col min="7691" max="7691" width="4.875" style="3170" customWidth="1"/>
    <col min="7692" max="7692" width="16.375" style="3170" customWidth="1"/>
    <col min="7693" max="7696" width="8.125" style="3170" customWidth="1"/>
    <col min="7697" max="7936" width="9" style="3170"/>
    <col min="7937" max="7937" width="6.375" style="3170" customWidth="1"/>
    <col min="7938" max="7938" width="19.375" style="3170" customWidth="1"/>
    <col min="7939" max="7939" width="7" style="3170" customWidth="1"/>
    <col min="7940" max="7940" width="3.25" style="3170" customWidth="1"/>
    <col min="7941" max="7941" width="7.375" style="3170" customWidth="1"/>
    <col min="7942" max="7942" width="3.5" style="3170" customWidth="1"/>
    <col min="7943" max="7943" width="19.375" style="3170" customWidth="1"/>
    <col min="7944" max="7944" width="19.5" style="3170" customWidth="1"/>
    <col min="7945" max="7945" width="8.625" style="3170" customWidth="1"/>
    <col min="7946" max="7946" width="10.5" style="3170" customWidth="1"/>
    <col min="7947" max="7947" width="4.875" style="3170" customWidth="1"/>
    <col min="7948" max="7948" width="16.375" style="3170" customWidth="1"/>
    <col min="7949" max="7952" width="8.125" style="3170" customWidth="1"/>
    <col min="7953" max="8192" width="9" style="3170"/>
    <col min="8193" max="8193" width="6.375" style="3170" customWidth="1"/>
    <col min="8194" max="8194" width="19.375" style="3170" customWidth="1"/>
    <col min="8195" max="8195" width="7" style="3170" customWidth="1"/>
    <col min="8196" max="8196" width="3.25" style="3170" customWidth="1"/>
    <col min="8197" max="8197" width="7.375" style="3170" customWidth="1"/>
    <col min="8198" max="8198" width="3.5" style="3170" customWidth="1"/>
    <col min="8199" max="8199" width="19.375" style="3170" customWidth="1"/>
    <col min="8200" max="8200" width="19.5" style="3170" customWidth="1"/>
    <col min="8201" max="8201" width="8.625" style="3170" customWidth="1"/>
    <col min="8202" max="8202" width="10.5" style="3170" customWidth="1"/>
    <col min="8203" max="8203" width="4.875" style="3170" customWidth="1"/>
    <col min="8204" max="8204" width="16.375" style="3170" customWidth="1"/>
    <col min="8205" max="8208" width="8.125" style="3170" customWidth="1"/>
    <col min="8209" max="8448" width="9" style="3170"/>
    <col min="8449" max="8449" width="6.375" style="3170" customWidth="1"/>
    <col min="8450" max="8450" width="19.375" style="3170" customWidth="1"/>
    <col min="8451" max="8451" width="7" style="3170" customWidth="1"/>
    <col min="8452" max="8452" width="3.25" style="3170" customWidth="1"/>
    <col min="8453" max="8453" width="7.375" style="3170" customWidth="1"/>
    <col min="8454" max="8454" width="3.5" style="3170" customWidth="1"/>
    <col min="8455" max="8455" width="19.375" style="3170" customWidth="1"/>
    <col min="8456" max="8456" width="19.5" style="3170" customWidth="1"/>
    <col min="8457" max="8457" width="8.625" style="3170" customWidth="1"/>
    <col min="8458" max="8458" width="10.5" style="3170" customWidth="1"/>
    <col min="8459" max="8459" width="4.875" style="3170" customWidth="1"/>
    <col min="8460" max="8460" width="16.375" style="3170" customWidth="1"/>
    <col min="8461" max="8464" width="8.125" style="3170" customWidth="1"/>
    <col min="8465" max="8704" width="9" style="3170"/>
    <col min="8705" max="8705" width="6.375" style="3170" customWidth="1"/>
    <col min="8706" max="8706" width="19.375" style="3170" customWidth="1"/>
    <col min="8707" max="8707" width="7" style="3170" customWidth="1"/>
    <col min="8708" max="8708" width="3.25" style="3170" customWidth="1"/>
    <col min="8709" max="8709" width="7.375" style="3170" customWidth="1"/>
    <col min="8710" max="8710" width="3.5" style="3170" customWidth="1"/>
    <col min="8711" max="8711" width="19.375" style="3170" customWidth="1"/>
    <col min="8712" max="8712" width="19.5" style="3170" customWidth="1"/>
    <col min="8713" max="8713" width="8.625" style="3170" customWidth="1"/>
    <col min="8714" max="8714" width="10.5" style="3170" customWidth="1"/>
    <col min="8715" max="8715" width="4.875" style="3170" customWidth="1"/>
    <col min="8716" max="8716" width="16.375" style="3170" customWidth="1"/>
    <col min="8717" max="8720" width="8.125" style="3170" customWidth="1"/>
    <col min="8721" max="8960" width="9" style="3170"/>
    <col min="8961" max="8961" width="6.375" style="3170" customWidth="1"/>
    <col min="8962" max="8962" width="19.375" style="3170" customWidth="1"/>
    <col min="8963" max="8963" width="7" style="3170" customWidth="1"/>
    <col min="8964" max="8964" width="3.25" style="3170" customWidth="1"/>
    <col min="8965" max="8965" width="7.375" style="3170" customWidth="1"/>
    <col min="8966" max="8966" width="3.5" style="3170" customWidth="1"/>
    <col min="8967" max="8967" width="19.375" style="3170" customWidth="1"/>
    <col min="8968" max="8968" width="19.5" style="3170" customWidth="1"/>
    <col min="8969" max="8969" width="8.625" style="3170" customWidth="1"/>
    <col min="8970" max="8970" width="10.5" style="3170" customWidth="1"/>
    <col min="8971" max="8971" width="4.875" style="3170" customWidth="1"/>
    <col min="8972" max="8972" width="16.375" style="3170" customWidth="1"/>
    <col min="8973" max="8976" width="8.125" style="3170" customWidth="1"/>
    <col min="8977" max="9216" width="9" style="3170"/>
    <col min="9217" max="9217" width="6.375" style="3170" customWidth="1"/>
    <col min="9218" max="9218" width="19.375" style="3170" customWidth="1"/>
    <col min="9219" max="9219" width="7" style="3170" customWidth="1"/>
    <col min="9220" max="9220" width="3.25" style="3170" customWidth="1"/>
    <col min="9221" max="9221" width="7.375" style="3170" customWidth="1"/>
    <col min="9222" max="9222" width="3.5" style="3170" customWidth="1"/>
    <col min="9223" max="9223" width="19.375" style="3170" customWidth="1"/>
    <col min="9224" max="9224" width="19.5" style="3170" customWidth="1"/>
    <col min="9225" max="9225" width="8.625" style="3170" customWidth="1"/>
    <col min="9226" max="9226" width="10.5" style="3170" customWidth="1"/>
    <col min="9227" max="9227" width="4.875" style="3170" customWidth="1"/>
    <col min="9228" max="9228" width="16.375" style="3170" customWidth="1"/>
    <col min="9229" max="9232" width="8.125" style="3170" customWidth="1"/>
    <col min="9233" max="9472" width="9" style="3170"/>
    <col min="9473" max="9473" width="6.375" style="3170" customWidth="1"/>
    <col min="9474" max="9474" width="19.375" style="3170" customWidth="1"/>
    <col min="9475" max="9475" width="7" style="3170" customWidth="1"/>
    <col min="9476" max="9476" width="3.25" style="3170" customWidth="1"/>
    <col min="9477" max="9477" width="7.375" style="3170" customWidth="1"/>
    <col min="9478" max="9478" width="3.5" style="3170" customWidth="1"/>
    <col min="9479" max="9479" width="19.375" style="3170" customWidth="1"/>
    <col min="9480" max="9480" width="19.5" style="3170" customWidth="1"/>
    <col min="9481" max="9481" width="8.625" style="3170" customWidth="1"/>
    <col min="9482" max="9482" width="10.5" style="3170" customWidth="1"/>
    <col min="9483" max="9483" width="4.875" style="3170" customWidth="1"/>
    <col min="9484" max="9484" width="16.375" style="3170" customWidth="1"/>
    <col min="9485" max="9488" width="8.125" style="3170" customWidth="1"/>
    <col min="9489" max="9728" width="9" style="3170"/>
    <col min="9729" max="9729" width="6.375" style="3170" customWidth="1"/>
    <col min="9730" max="9730" width="19.375" style="3170" customWidth="1"/>
    <col min="9731" max="9731" width="7" style="3170" customWidth="1"/>
    <col min="9732" max="9732" width="3.25" style="3170" customWidth="1"/>
    <col min="9733" max="9733" width="7.375" style="3170" customWidth="1"/>
    <col min="9734" max="9734" width="3.5" style="3170" customWidth="1"/>
    <col min="9735" max="9735" width="19.375" style="3170" customWidth="1"/>
    <col min="9736" max="9736" width="19.5" style="3170" customWidth="1"/>
    <col min="9737" max="9737" width="8.625" style="3170" customWidth="1"/>
    <col min="9738" max="9738" width="10.5" style="3170" customWidth="1"/>
    <col min="9739" max="9739" width="4.875" style="3170" customWidth="1"/>
    <col min="9740" max="9740" width="16.375" style="3170" customWidth="1"/>
    <col min="9741" max="9744" width="8.125" style="3170" customWidth="1"/>
    <col min="9745" max="9984" width="9" style="3170"/>
    <col min="9985" max="9985" width="6.375" style="3170" customWidth="1"/>
    <col min="9986" max="9986" width="19.375" style="3170" customWidth="1"/>
    <col min="9987" max="9987" width="7" style="3170" customWidth="1"/>
    <col min="9988" max="9988" width="3.25" style="3170" customWidth="1"/>
    <col min="9989" max="9989" width="7.375" style="3170" customWidth="1"/>
    <col min="9990" max="9990" width="3.5" style="3170" customWidth="1"/>
    <col min="9991" max="9991" width="19.375" style="3170" customWidth="1"/>
    <col min="9992" max="9992" width="19.5" style="3170" customWidth="1"/>
    <col min="9993" max="9993" width="8.625" style="3170" customWidth="1"/>
    <col min="9994" max="9994" width="10.5" style="3170" customWidth="1"/>
    <col min="9995" max="9995" width="4.875" style="3170" customWidth="1"/>
    <col min="9996" max="9996" width="16.375" style="3170" customWidth="1"/>
    <col min="9997" max="10000" width="8.125" style="3170" customWidth="1"/>
    <col min="10001" max="10240" width="9" style="3170"/>
    <col min="10241" max="10241" width="6.375" style="3170" customWidth="1"/>
    <col min="10242" max="10242" width="19.375" style="3170" customWidth="1"/>
    <col min="10243" max="10243" width="7" style="3170" customWidth="1"/>
    <col min="10244" max="10244" width="3.25" style="3170" customWidth="1"/>
    <col min="10245" max="10245" width="7.375" style="3170" customWidth="1"/>
    <col min="10246" max="10246" width="3.5" style="3170" customWidth="1"/>
    <col min="10247" max="10247" width="19.375" style="3170" customWidth="1"/>
    <col min="10248" max="10248" width="19.5" style="3170" customWidth="1"/>
    <col min="10249" max="10249" width="8.625" style="3170" customWidth="1"/>
    <col min="10250" max="10250" width="10.5" style="3170" customWidth="1"/>
    <col min="10251" max="10251" width="4.875" style="3170" customWidth="1"/>
    <col min="10252" max="10252" width="16.375" style="3170" customWidth="1"/>
    <col min="10253" max="10256" width="8.125" style="3170" customWidth="1"/>
    <col min="10257" max="10496" width="9" style="3170"/>
    <col min="10497" max="10497" width="6.375" style="3170" customWidth="1"/>
    <col min="10498" max="10498" width="19.375" style="3170" customWidth="1"/>
    <col min="10499" max="10499" width="7" style="3170" customWidth="1"/>
    <col min="10500" max="10500" width="3.25" style="3170" customWidth="1"/>
    <col min="10501" max="10501" width="7.375" style="3170" customWidth="1"/>
    <col min="10502" max="10502" width="3.5" style="3170" customWidth="1"/>
    <col min="10503" max="10503" width="19.375" style="3170" customWidth="1"/>
    <col min="10504" max="10504" width="19.5" style="3170" customWidth="1"/>
    <col min="10505" max="10505" width="8.625" style="3170" customWidth="1"/>
    <col min="10506" max="10506" width="10.5" style="3170" customWidth="1"/>
    <col min="10507" max="10507" width="4.875" style="3170" customWidth="1"/>
    <col min="10508" max="10508" width="16.375" style="3170" customWidth="1"/>
    <col min="10509" max="10512" width="8.125" style="3170" customWidth="1"/>
    <col min="10513" max="10752" width="9" style="3170"/>
    <col min="10753" max="10753" width="6.375" style="3170" customWidth="1"/>
    <col min="10754" max="10754" width="19.375" style="3170" customWidth="1"/>
    <col min="10755" max="10755" width="7" style="3170" customWidth="1"/>
    <col min="10756" max="10756" width="3.25" style="3170" customWidth="1"/>
    <col min="10757" max="10757" width="7.375" style="3170" customWidth="1"/>
    <col min="10758" max="10758" width="3.5" style="3170" customWidth="1"/>
    <col min="10759" max="10759" width="19.375" style="3170" customWidth="1"/>
    <col min="10760" max="10760" width="19.5" style="3170" customWidth="1"/>
    <col min="10761" max="10761" width="8.625" style="3170" customWidth="1"/>
    <col min="10762" max="10762" width="10.5" style="3170" customWidth="1"/>
    <col min="10763" max="10763" width="4.875" style="3170" customWidth="1"/>
    <col min="10764" max="10764" width="16.375" style="3170" customWidth="1"/>
    <col min="10765" max="10768" width="8.125" style="3170" customWidth="1"/>
    <col min="10769" max="11008" width="9" style="3170"/>
    <col min="11009" max="11009" width="6.375" style="3170" customWidth="1"/>
    <col min="11010" max="11010" width="19.375" style="3170" customWidth="1"/>
    <col min="11011" max="11011" width="7" style="3170" customWidth="1"/>
    <col min="11012" max="11012" width="3.25" style="3170" customWidth="1"/>
    <col min="11013" max="11013" width="7.375" style="3170" customWidth="1"/>
    <col min="11014" max="11014" width="3.5" style="3170" customWidth="1"/>
    <col min="11015" max="11015" width="19.375" style="3170" customWidth="1"/>
    <col min="11016" max="11016" width="19.5" style="3170" customWidth="1"/>
    <col min="11017" max="11017" width="8.625" style="3170" customWidth="1"/>
    <col min="11018" max="11018" width="10.5" style="3170" customWidth="1"/>
    <col min="11019" max="11019" width="4.875" style="3170" customWidth="1"/>
    <col min="11020" max="11020" width="16.375" style="3170" customWidth="1"/>
    <col min="11021" max="11024" width="8.125" style="3170" customWidth="1"/>
    <col min="11025" max="11264" width="9" style="3170"/>
    <col min="11265" max="11265" width="6.375" style="3170" customWidth="1"/>
    <col min="11266" max="11266" width="19.375" style="3170" customWidth="1"/>
    <col min="11267" max="11267" width="7" style="3170" customWidth="1"/>
    <col min="11268" max="11268" width="3.25" style="3170" customWidth="1"/>
    <col min="11269" max="11269" width="7.375" style="3170" customWidth="1"/>
    <col min="11270" max="11270" width="3.5" style="3170" customWidth="1"/>
    <col min="11271" max="11271" width="19.375" style="3170" customWidth="1"/>
    <col min="11272" max="11272" width="19.5" style="3170" customWidth="1"/>
    <col min="11273" max="11273" width="8.625" style="3170" customWidth="1"/>
    <col min="11274" max="11274" width="10.5" style="3170" customWidth="1"/>
    <col min="11275" max="11275" width="4.875" style="3170" customWidth="1"/>
    <col min="11276" max="11276" width="16.375" style="3170" customWidth="1"/>
    <col min="11277" max="11280" width="8.125" style="3170" customWidth="1"/>
    <col min="11281" max="11520" width="9" style="3170"/>
    <col min="11521" max="11521" width="6.375" style="3170" customWidth="1"/>
    <col min="11522" max="11522" width="19.375" style="3170" customWidth="1"/>
    <col min="11523" max="11523" width="7" style="3170" customWidth="1"/>
    <col min="11524" max="11524" width="3.25" style="3170" customWidth="1"/>
    <col min="11525" max="11525" width="7.375" style="3170" customWidth="1"/>
    <col min="11526" max="11526" width="3.5" style="3170" customWidth="1"/>
    <col min="11527" max="11527" width="19.375" style="3170" customWidth="1"/>
    <col min="11528" max="11528" width="19.5" style="3170" customWidth="1"/>
    <col min="11529" max="11529" width="8.625" style="3170" customWidth="1"/>
    <col min="11530" max="11530" width="10.5" style="3170" customWidth="1"/>
    <col min="11531" max="11531" width="4.875" style="3170" customWidth="1"/>
    <col min="11532" max="11532" width="16.375" style="3170" customWidth="1"/>
    <col min="11533" max="11536" width="8.125" style="3170" customWidth="1"/>
    <col min="11537" max="11776" width="9" style="3170"/>
    <col min="11777" max="11777" width="6.375" style="3170" customWidth="1"/>
    <col min="11778" max="11778" width="19.375" style="3170" customWidth="1"/>
    <col min="11779" max="11779" width="7" style="3170" customWidth="1"/>
    <col min="11780" max="11780" width="3.25" style="3170" customWidth="1"/>
    <col min="11781" max="11781" width="7.375" style="3170" customWidth="1"/>
    <col min="11782" max="11782" width="3.5" style="3170" customWidth="1"/>
    <col min="11783" max="11783" width="19.375" style="3170" customWidth="1"/>
    <col min="11784" max="11784" width="19.5" style="3170" customWidth="1"/>
    <col min="11785" max="11785" width="8.625" style="3170" customWidth="1"/>
    <col min="11786" max="11786" width="10.5" style="3170" customWidth="1"/>
    <col min="11787" max="11787" width="4.875" style="3170" customWidth="1"/>
    <col min="11788" max="11788" width="16.375" style="3170" customWidth="1"/>
    <col min="11789" max="11792" width="8.125" style="3170" customWidth="1"/>
    <col min="11793" max="12032" width="9" style="3170"/>
    <col min="12033" max="12033" width="6.375" style="3170" customWidth="1"/>
    <col min="12034" max="12034" width="19.375" style="3170" customWidth="1"/>
    <col min="12035" max="12035" width="7" style="3170" customWidth="1"/>
    <col min="12036" max="12036" width="3.25" style="3170" customWidth="1"/>
    <col min="12037" max="12037" width="7.375" style="3170" customWidth="1"/>
    <col min="12038" max="12038" width="3.5" style="3170" customWidth="1"/>
    <col min="12039" max="12039" width="19.375" style="3170" customWidth="1"/>
    <col min="12040" max="12040" width="19.5" style="3170" customWidth="1"/>
    <col min="12041" max="12041" width="8.625" style="3170" customWidth="1"/>
    <col min="12042" max="12042" width="10.5" style="3170" customWidth="1"/>
    <col min="12043" max="12043" width="4.875" style="3170" customWidth="1"/>
    <col min="12044" max="12044" width="16.375" style="3170" customWidth="1"/>
    <col min="12045" max="12048" width="8.125" style="3170" customWidth="1"/>
    <col min="12049" max="12288" width="9" style="3170"/>
    <col min="12289" max="12289" width="6.375" style="3170" customWidth="1"/>
    <col min="12290" max="12290" width="19.375" style="3170" customWidth="1"/>
    <col min="12291" max="12291" width="7" style="3170" customWidth="1"/>
    <col min="12292" max="12292" width="3.25" style="3170" customWidth="1"/>
    <col min="12293" max="12293" width="7.375" style="3170" customWidth="1"/>
    <col min="12294" max="12294" width="3.5" style="3170" customWidth="1"/>
    <col min="12295" max="12295" width="19.375" style="3170" customWidth="1"/>
    <col min="12296" max="12296" width="19.5" style="3170" customWidth="1"/>
    <col min="12297" max="12297" width="8.625" style="3170" customWidth="1"/>
    <col min="12298" max="12298" width="10.5" style="3170" customWidth="1"/>
    <col min="12299" max="12299" width="4.875" style="3170" customWidth="1"/>
    <col min="12300" max="12300" width="16.375" style="3170" customWidth="1"/>
    <col min="12301" max="12304" width="8.125" style="3170" customWidth="1"/>
    <col min="12305" max="12544" width="9" style="3170"/>
    <col min="12545" max="12545" width="6.375" style="3170" customWidth="1"/>
    <col min="12546" max="12546" width="19.375" style="3170" customWidth="1"/>
    <col min="12547" max="12547" width="7" style="3170" customWidth="1"/>
    <col min="12548" max="12548" width="3.25" style="3170" customWidth="1"/>
    <col min="12549" max="12549" width="7.375" style="3170" customWidth="1"/>
    <col min="12550" max="12550" width="3.5" style="3170" customWidth="1"/>
    <col min="12551" max="12551" width="19.375" style="3170" customWidth="1"/>
    <col min="12552" max="12552" width="19.5" style="3170" customWidth="1"/>
    <col min="12553" max="12553" width="8.625" style="3170" customWidth="1"/>
    <col min="12554" max="12554" width="10.5" style="3170" customWidth="1"/>
    <col min="12555" max="12555" width="4.875" style="3170" customWidth="1"/>
    <col min="12556" max="12556" width="16.375" style="3170" customWidth="1"/>
    <col min="12557" max="12560" width="8.125" style="3170" customWidth="1"/>
    <col min="12561" max="12800" width="9" style="3170"/>
    <col min="12801" max="12801" width="6.375" style="3170" customWidth="1"/>
    <col min="12802" max="12802" width="19.375" style="3170" customWidth="1"/>
    <col min="12803" max="12803" width="7" style="3170" customWidth="1"/>
    <col min="12804" max="12804" width="3.25" style="3170" customWidth="1"/>
    <col min="12805" max="12805" width="7.375" style="3170" customWidth="1"/>
    <col min="12806" max="12806" width="3.5" style="3170" customWidth="1"/>
    <col min="12807" max="12807" width="19.375" style="3170" customWidth="1"/>
    <col min="12808" max="12808" width="19.5" style="3170" customWidth="1"/>
    <col min="12809" max="12809" width="8.625" style="3170" customWidth="1"/>
    <col min="12810" max="12810" width="10.5" style="3170" customWidth="1"/>
    <col min="12811" max="12811" width="4.875" style="3170" customWidth="1"/>
    <col min="12812" max="12812" width="16.375" style="3170" customWidth="1"/>
    <col min="12813" max="12816" width="8.125" style="3170" customWidth="1"/>
    <col min="12817" max="13056" width="9" style="3170"/>
    <col min="13057" max="13057" width="6.375" style="3170" customWidth="1"/>
    <col min="13058" max="13058" width="19.375" style="3170" customWidth="1"/>
    <col min="13059" max="13059" width="7" style="3170" customWidth="1"/>
    <col min="13060" max="13060" width="3.25" style="3170" customWidth="1"/>
    <col min="13061" max="13061" width="7.375" style="3170" customWidth="1"/>
    <col min="13062" max="13062" width="3.5" style="3170" customWidth="1"/>
    <col min="13063" max="13063" width="19.375" style="3170" customWidth="1"/>
    <col min="13064" max="13064" width="19.5" style="3170" customWidth="1"/>
    <col min="13065" max="13065" width="8.625" style="3170" customWidth="1"/>
    <col min="13066" max="13066" width="10.5" style="3170" customWidth="1"/>
    <col min="13067" max="13067" width="4.875" style="3170" customWidth="1"/>
    <col min="13068" max="13068" width="16.375" style="3170" customWidth="1"/>
    <col min="13069" max="13072" width="8.125" style="3170" customWidth="1"/>
    <col min="13073" max="13312" width="9" style="3170"/>
    <col min="13313" max="13313" width="6.375" style="3170" customWidth="1"/>
    <col min="13314" max="13314" width="19.375" style="3170" customWidth="1"/>
    <col min="13315" max="13315" width="7" style="3170" customWidth="1"/>
    <col min="13316" max="13316" width="3.25" style="3170" customWidth="1"/>
    <col min="13317" max="13317" width="7.375" style="3170" customWidth="1"/>
    <col min="13318" max="13318" width="3.5" style="3170" customWidth="1"/>
    <col min="13319" max="13319" width="19.375" style="3170" customWidth="1"/>
    <col min="13320" max="13320" width="19.5" style="3170" customWidth="1"/>
    <col min="13321" max="13321" width="8.625" style="3170" customWidth="1"/>
    <col min="13322" max="13322" width="10.5" style="3170" customWidth="1"/>
    <col min="13323" max="13323" width="4.875" style="3170" customWidth="1"/>
    <col min="13324" max="13324" width="16.375" style="3170" customWidth="1"/>
    <col min="13325" max="13328" width="8.125" style="3170" customWidth="1"/>
    <col min="13329" max="13568" width="9" style="3170"/>
    <col min="13569" max="13569" width="6.375" style="3170" customWidth="1"/>
    <col min="13570" max="13570" width="19.375" style="3170" customWidth="1"/>
    <col min="13571" max="13571" width="7" style="3170" customWidth="1"/>
    <col min="13572" max="13572" width="3.25" style="3170" customWidth="1"/>
    <col min="13573" max="13573" width="7.375" style="3170" customWidth="1"/>
    <col min="13574" max="13574" width="3.5" style="3170" customWidth="1"/>
    <col min="13575" max="13575" width="19.375" style="3170" customWidth="1"/>
    <col min="13576" max="13576" width="19.5" style="3170" customWidth="1"/>
    <col min="13577" max="13577" width="8.625" style="3170" customWidth="1"/>
    <col min="13578" max="13578" width="10.5" style="3170" customWidth="1"/>
    <col min="13579" max="13579" width="4.875" style="3170" customWidth="1"/>
    <col min="13580" max="13580" width="16.375" style="3170" customWidth="1"/>
    <col min="13581" max="13584" width="8.125" style="3170" customWidth="1"/>
    <col min="13585" max="13824" width="9" style="3170"/>
    <col min="13825" max="13825" width="6.375" style="3170" customWidth="1"/>
    <col min="13826" max="13826" width="19.375" style="3170" customWidth="1"/>
    <col min="13827" max="13827" width="7" style="3170" customWidth="1"/>
    <col min="13828" max="13828" width="3.25" style="3170" customWidth="1"/>
    <col min="13829" max="13829" width="7.375" style="3170" customWidth="1"/>
    <col min="13830" max="13830" width="3.5" style="3170" customWidth="1"/>
    <col min="13831" max="13831" width="19.375" style="3170" customWidth="1"/>
    <col min="13832" max="13832" width="19.5" style="3170" customWidth="1"/>
    <col min="13833" max="13833" width="8.625" style="3170" customWidth="1"/>
    <col min="13834" max="13834" width="10.5" style="3170" customWidth="1"/>
    <col min="13835" max="13835" width="4.875" style="3170" customWidth="1"/>
    <col min="13836" max="13836" width="16.375" style="3170" customWidth="1"/>
    <col min="13837" max="13840" width="8.125" style="3170" customWidth="1"/>
    <col min="13841" max="14080" width="9" style="3170"/>
    <col min="14081" max="14081" width="6.375" style="3170" customWidth="1"/>
    <col min="14082" max="14082" width="19.375" style="3170" customWidth="1"/>
    <col min="14083" max="14083" width="7" style="3170" customWidth="1"/>
    <col min="14084" max="14084" width="3.25" style="3170" customWidth="1"/>
    <col min="14085" max="14085" width="7.375" style="3170" customWidth="1"/>
    <col min="14086" max="14086" width="3.5" style="3170" customWidth="1"/>
    <col min="14087" max="14087" width="19.375" style="3170" customWidth="1"/>
    <col min="14088" max="14088" width="19.5" style="3170" customWidth="1"/>
    <col min="14089" max="14089" width="8.625" style="3170" customWidth="1"/>
    <col min="14090" max="14090" width="10.5" style="3170" customWidth="1"/>
    <col min="14091" max="14091" width="4.875" style="3170" customWidth="1"/>
    <col min="14092" max="14092" width="16.375" style="3170" customWidth="1"/>
    <col min="14093" max="14096" width="8.125" style="3170" customWidth="1"/>
    <col min="14097" max="14336" width="9" style="3170"/>
    <col min="14337" max="14337" width="6.375" style="3170" customWidth="1"/>
    <col min="14338" max="14338" width="19.375" style="3170" customWidth="1"/>
    <col min="14339" max="14339" width="7" style="3170" customWidth="1"/>
    <col min="14340" max="14340" width="3.25" style="3170" customWidth="1"/>
    <col min="14341" max="14341" width="7.375" style="3170" customWidth="1"/>
    <col min="14342" max="14342" width="3.5" style="3170" customWidth="1"/>
    <col min="14343" max="14343" width="19.375" style="3170" customWidth="1"/>
    <col min="14344" max="14344" width="19.5" style="3170" customWidth="1"/>
    <col min="14345" max="14345" width="8.625" style="3170" customWidth="1"/>
    <col min="14346" max="14346" width="10.5" style="3170" customWidth="1"/>
    <col min="14347" max="14347" width="4.875" style="3170" customWidth="1"/>
    <col min="14348" max="14348" width="16.375" style="3170" customWidth="1"/>
    <col min="14349" max="14352" width="8.125" style="3170" customWidth="1"/>
    <col min="14353" max="14592" width="9" style="3170"/>
    <col min="14593" max="14593" width="6.375" style="3170" customWidth="1"/>
    <col min="14594" max="14594" width="19.375" style="3170" customWidth="1"/>
    <col min="14595" max="14595" width="7" style="3170" customWidth="1"/>
    <col min="14596" max="14596" width="3.25" style="3170" customWidth="1"/>
    <col min="14597" max="14597" width="7.375" style="3170" customWidth="1"/>
    <col min="14598" max="14598" width="3.5" style="3170" customWidth="1"/>
    <col min="14599" max="14599" width="19.375" style="3170" customWidth="1"/>
    <col min="14600" max="14600" width="19.5" style="3170" customWidth="1"/>
    <col min="14601" max="14601" width="8.625" style="3170" customWidth="1"/>
    <col min="14602" max="14602" width="10.5" style="3170" customWidth="1"/>
    <col min="14603" max="14603" width="4.875" style="3170" customWidth="1"/>
    <col min="14604" max="14604" width="16.375" style="3170" customWidth="1"/>
    <col min="14605" max="14608" width="8.125" style="3170" customWidth="1"/>
    <col min="14609" max="14848" width="9" style="3170"/>
    <col min="14849" max="14849" width="6.375" style="3170" customWidth="1"/>
    <col min="14850" max="14850" width="19.375" style="3170" customWidth="1"/>
    <col min="14851" max="14851" width="7" style="3170" customWidth="1"/>
    <col min="14852" max="14852" width="3.25" style="3170" customWidth="1"/>
    <col min="14853" max="14853" width="7.375" style="3170" customWidth="1"/>
    <col min="14854" max="14854" width="3.5" style="3170" customWidth="1"/>
    <col min="14855" max="14855" width="19.375" style="3170" customWidth="1"/>
    <col min="14856" max="14856" width="19.5" style="3170" customWidth="1"/>
    <col min="14857" max="14857" width="8.625" style="3170" customWidth="1"/>
    <col min="14858" max="14858" width="10.5" style="3170" customWidth="1"/>
    <col min="14859" max="14859" width="4.875" style="3170" customWidth="1"/>
    <col min="14860" max="14860" width="16.375" style="3170" customWidth="1"/>
    <col min="14861" max="14864" width="8.125" style="3170" customWidth="1"/>
    <col min="14865" max="15104" width="9" style="3170"/>
    <col min="15105" max="15105" width="6.375" style="3170" customWidth="1"/>
    <col min="15106" max="15106" width="19.375" style="3170" customWidth="1"/>
    <col min="15107" max="15107" width="7" style="3170" customWidth="1"/>
    <col min="15108" max="15108" width="3.25" style="3170" customWidth="1"/>
    <col min="15109" max="15109" width="7.375" style="3170" customWidth="1"/>
    <col min="15110" max="15110" width="3.5" style="3170" customWidth="1"/>
    <col min="15111" max="15111" width="19.375" style="3170" customWidth="1"/>
    <col min="15112" max="15112" width="19.5" style="3170" customWidth="1"/>
    <col min="15113" max="15113" width="8.625" style="3170" customWidth="1"/>
    <col min="15114" max="15114" width="10.5" style="3170" customWidth="1"/>
    <col min="15115" max="15115" width="4.875" style="3170" customWidth="1"/>
    <col min="15116" max="15116" width="16.375" style="3170" customWidth="1"/>
    <col min="15117" max="15120" width="8.125" style="3170" customWidth="1"/>
    <col min="15121" max="15360" width="9" style="3170"/>
    <col min="15361" max="15361" width="6.375" style="3170" customWidth="1"/>
    <col min="15362" max="15362" width="19.375" style="3170" customWidth="1"/>
    <col min="15363" max="15363" width="7" style="3170" customWidth="1"/>
    <col min="15364" max="15364" width="3.25" style="3170" customWidth="1"/>
    <col min="15365" max="15365" width="7.375" style="3170" customWidth="1"/>
    <col min="15366" max="15366" width="3.5" style="3170" customWidth="1"/>
    <col min="15367" max="15367" width="19.375" style="3170" customWidth="1"/>
    <col min="15368" max="15368" width="19.5" style="3170" customWidth="1"/>
    <col min="15369" max="15369" width="8.625" style="3170" customWidth="1"/>
    <col min="15370" max="15370" width="10.5" style="3170" customWidth="1"/>
    <col min="15371" max="15371" width="4.875" style="3170" customWidth="1"/>
    <col min="15372" max="15372" width="16.375" style="3170" customWidth="1"/>
    <col min="15373" max="15376" width="8.125" style="3170" customWidth="1"/>
    <col min="15377" max="15616" width="9" style="3170"/>
    <col min="15617" max="15617" width="6.375" style="3170" customWidth="1"/>
    <col min="15618" max="15618" width="19.375" style="3170" customWidth="1"/>
    <col min="15619" max="15619" width="7" style="3170" customWidth="1"/>
    <col min="15620" max="15620" width="3.25" style="3170" customWidth="1"/>
    <col min="15621" max="15621" width="7.375" style="3170" customWidth="1"/>
    <col min="15622" max="15622" width="3.5" style="3170" customWidth="1"/>
    <col min="15623" max="15623" width="19.375" style="3170" customWidth="1"/>
    <col min="15624" max="15624" width="19.5" style="3170" customWidth="1"/>
    <col min="15625" max="15625" width="8.625" style="3170" customWidth="1"/>
    <col min="15626" max="15626" width="10.5" style="3170" customWidth="1"/>
    <col min="15627" max="15627" width="4.875" style="3170" customWidth="1"/>
    <col min="15628" max="15628" width="16.375" style="3170" customWidth="1"/>
    <col min="15629" max="15632" width="8.125" style="3170" customWidth="1"/>
    <col min="15633" max="15872" width="9" style="3170"/>
    <col min="15873" max="15873" width="6.375" style="3170" customWidth="1"/>
    <col min="15874" max="15874" width="19.375" style="3170" customWidth="1"/>
    <col min="15875" max="15875" width="7" style="3170" customWidth="1"/>
    <col min="15876" max="15876" width="3.25" style="3170" customWidth="1"/>
    <col min="15877" max="15877" width="7.375" style="3170" customWidth="1"/>
    <col min="15878" max="15878" width="3.5" style="3170" customWidth="1"/>
    <col min="15879" max="15879" width="19.375" style="3170" customWidth="1"/>
    <col min="15880" max="15880" width="19.5" style="3170" customWidth="1"/>
    <col min="15881" max="15881" width="8.625" style="3170" customWidth="1"/>
    <col min="15882" max="15882" width="10.5" style="3170" customWidth="1"/>
    <col min="15883" max="15883" width="4.875" style="3170" customWidth="1"/>
    <col min="15884" max="15884" width="16.375" style="3170" customWidth="1"/>
    <col min="15885" max="15888" width="8.125" style="3170" customWidth="1"/>
    <col min="15889" max="16128" width="9" style="3170"/>
    <col min="16129" max="16129" width="6.375" style="3170" customWidth="1"/>
    <col min="16130" max="16130" width="19.375" style="3170" customWidth="1"/>
    <col min="16131" max="16131" width="7" style="3170" customWidth="1"/>
    <col min="16132" max="16132" width="3.25" style="3170" customWidth="1"/>
    <col min="16133" max="16133" width="7.375" style="3170" customWidth="1"/>
    <col min="16134" max="16134" width="3.5" style="3170" customWidth="1"/>
    <col min="16135" max="16135" width="19.375" style="3170" customWidth="1"/>
    <col min="16136" max="16136" width="19.5" style="3170" customWidth="1"/>
    <col min="16137" max="16137" width="8.625" style="3170" customWidth="1"/>
    <col min="16138" max="16138" width="10.5" style="3170" customWidth="1"/>
    <col min="16139" max="16139" width="4.875" style="3170" customWidth="1"/>
    <col min="16140" max="16140" width="16.375" style="3170" customWidth="1"/>
    <col min="16141" max="16144" width="8.125" style="3170" customWidth="1"/>
    <col min="16145" max="16384" width="9" style="3170"/>
  </cols>
  <sheetData>
    <row r="1" spans="1:16">
      <c r="A1" s="3908" t="s">
        <v>2953</v>
      </c>
      <c r="B1" s="3908"/>
      <c r="C1" s="3908"/>
      <c r="D1" s="3908"/>
      <c r="E1" s="3908"/>
      <c r="F1" s="3908"/>
      <c r="G1" s="3908"/>
      <c r="H1" s="3908"/>
      <c r="I1" s="3908"/>
      <c r="K1" s="3909" t="s">
        <v>2954</v>
      </c>
      <c r="L1" s="3178" t="s">
        <v>2955</v>
      </c>
      <c r="M1" s="3179">
        <v>0</v>
      </c>
      <c r="N1" s="3180">
        <v>2016</v>
      </c>
      <c r="O1" s="3180"/>
    </row>
    <row r="2" spans="1:16" ht="15.75" customHeight="1">
      <c r="A2" s="3181" t="s">
        <v>565</v>
      </c>
      <c r="B2" s="3182" t="s">
        <v>2956</v>
      </c>
      <c r="C2" s="3881" t="s">
        <v>2957</v>
      </c>
      <c r="D2" s="3882"/>
      <c r="E2" s="3882"/>
      <c r="F2" s="3883"/>
      <c r="G2" s="3183" t="s">
        <v>2958</v>
      </c>
      <c r="H2" s="3884" t="s">
        <v>965</v>
      </c>
      <c r="I2" s="3884"/>
      <c r="K2" s="3909"/>
      <c r="L2" s="3178" t="s">
        <v>2959</v>
      </c>
      <c r="M2" s="3184">
        <f>N1-N2</f>
        <v>12</v>
      </c>
      <c r="N2" s="3185">
        <v>2004</v>
      </c>
      <c r="O2" s="3185"/>
    </row>
    <row r="3" spans="1:16">
      <c r="A3" s="3183" t="s">
        <v>2960</v>
      </c>
      <c r="B3" s="3186" t="s">
        <v>2961</v>
      </c>
      <c r="C3" s="3881">
        <f ca="1">成本法!B2</f>
        <v>16303008</v>
      </c>
      <c r="D3" s="3882"/>
      <c r="E3" s="3882"/>
      <c r="F3" s="3883"/>
      <c r="G3" s="3183" t="s">
        <v>2962</v>
      </c>
      <c r="H3" s="3186" t="s">
        <v>2963</v>
      </c>
      <c r="I3" s="3187">
        <f>'数据-取费表'!B5</f>
        <v>459.68</v>
      </c>
      <c r="K3" s="3909"/>
      <c r="L3" s="3178" t="s">
        <v>2964</v>
      </c>
      <c r="M3" s="3188" t="s">
        <v>2965</v>
      </c>
      <c r="N3" s="3185"/>
      <c r="O3" s="3185"/>
    </row>
    <row r="4" spans="1:16">
      <c r="A4" s="3884" t="s">
        <v>2966</v>
      </c>
      <c r="B4" s="3888" t="s">
        <v>2967</v>
      </c>
      <c r="C4" s="3910">
        <f ca="1">ROUND(C3*(I4-I6)/(1-((1+I6)/(1+I4))^I5),0)</f>
        <v>604332</v>
      </c>
      <c r="D4" s="3911"/>
      <c r="E4" s="3911"/>
      <c r="F4" s="3912"/>
      <c r="G4" s="3884" t="s">
        <v>2968</v>
      </c>
      <c r="H4" s="3189" t="s">
        <v>2969</v>
      </c>
      <c r="I4" s="3190">
        <v>4.4999999999999998E-2</v>
      </c>
      <c r="K4" s="3909"/>
      <c r="L4" s="3178" t="s">
        <v>966</v>
      </c>
      <c r="M4" s="3191">
        <f>ROUND(1-(1-M1)*M2/M3,2)</f>
        <v>0.8</v>
      </c>
      <c r="N4" s="3185"/>
      <c r="O4" s="3185"/>
    </row>
    <row r="5" spans="1:16" s="3195" customFormat="1" ht="18" customHeight="1">
      <c r="A5" s="3884"/>
      <c r="B5" s="3888"/>
      <c r="C5" s="3913"/>
      <c r="D5" s="3914"/>
      <c r="E5" s="3914"/>
      <c r="F5" s="3915"/>
      <c r="G5" s="3884"/>
      <c r="H5" s="3186" t="s">
        <v>2970</v>
      </c>
      <c r="I5" s="3192">
        <f>'数据-取费表'!B13</f>
        <v>35.869999999999997</v>
      </c>
      <c r="J5" s="3193"/>
      <c r="K5" s="3909"/>
      <c r="L5" s="3178" t="s">
        <v>2971</v>
      </c>
      <c r="M5" s="3194">
        <v>0.5</v>
      </c>
      <c r="N5" s="3185"/>
      <c r="O5" s="3185"/>
    </row>
    <row r="6" spans="1:16" s="3195" customFormat="1" ht="18" customHeight="1">
      <c r="A6" s="3884"/>
      <c r="B6" s="3888"/>
      <c r="C6" s="3916"/>
      <c r="D6" s="3917"/>
      <c r="E6" s="3917"/>
      <c r="F6" s="3918"/>
      <c r="G6" s="3884"/>
      <c r="H6" s="3186" t="s">
        <v>2972</v>
      </c>
      <c r="I6" s="3190">
        <f>'数据-取费表'!B32</f>
        <v>0.03</v>
      </c>
      <c r="J6" s="3196"/>
      <c r="K6" s="3919" t="s">
        <v>2973</v>
      </c>
      <c r="L6" s="3197" t="s">
        <v>2974</v>
      </c>
      <c r="M6" s="3198" t="s">
        <v>2975</v>
      </c>
      <c r="N6" s="3198" t="s">
        <v>2976</v>
      </c>
      <c r="O6" s="3198" t="s">
        <v>2977</v>
      </c>
      <c r="P6" s="3198" t="s">
        <v>2978</v>
      </c>
    </row>
    <row r="7" spans="1:16" s="3195" customFormat="1" ht="18" customHeight="1">
      <c r="A7" s="3183" t="s">
        <v>2979</v>
      </c>
      <c r="B7" s="3186" t="s">
        <v>2980</v>
      </c>
      <c r="C7" s="3881">
        <f ca="1">成本法!C51</f>
        <v>3149467</v>
      </c>
      <c r="D7" s="3882"/>
      <c r="E7" s="3882"/>
      <c r="F7" s="3883"/>
      <c r="G7" s="3183" t="s">
        <v>2981</v>
      </c>
      <c r="H7" s="3186" t="s">
        <v>2982</v>
      </c>
      <c r="I7" s="3199">
        <f>'数据-取费表'!E20</f>
        <v>0.8</v>
      </c>
      <c r="K7" s="3919"/>
      <c r="L7" s="3197" t="s">
        <v>2983</v>
      </c>
      <c r="M7" s="3198">
        <v>100</v>
      </c>
      <c r="N7" s="3198" t="s">
        <v>2984</v>
      </c>
      <c r="O7" s="3198">
        <v>90</v>
      </c>
      <c r="P7" s="3200">
        <v>0.3</v>
      </c>
    </row>
    <row r="8" spans="1:16" s="3195" customFormat="1" ht="18" hidden="1" customHeight="1">
      <c r="A8" s="3181" t="s">
        <v>2985</v>
      </c>
      <c r="B8" s="3186" t="s">
        <v>2986</v>
      </c>
      <c r="C8" s="3881">
        <f>ROUND(I8*I3,0)</f>
        <v>2528240</v>
      </c>
      <c r="D8" s="3882"/>
      <c r="E8" s="3882"/>
      <c r="F8" s="3883"/>
      <c r="G8" s="3183" t="s">
        <v>2987</v>
      </c>
      <c r="H8" s="3186" t="s">
        <v>2988</v>
      </c>
      <c r="I8" s="3183">
        <f>'数据-取费表（市场）'!L6</f>
        <v>5500</v>
      </c>
      <c r="J8" s="3201">
        <f>D35</f>
        <v>5.4</v>
      </c>
      <c r="K8" s="3919"/>
      <c r="L8" s="3197" t="s">
        <v>2989</v>
      </c>
      <c r="M8" s="3198">
        <v>100</v>
      </c>
      <c r="N8" s="3198" t="s">
        <v>2984</v>
      </c>
      <c r="O8" s="3198">
        <v>90</v>
      </c>
      <c r="P8" s="3200">
        <v>0.5</v>
      </c>
    </row>
    <row r="9" spans="1:16" s="3195" customFormat="1" ht="18" hidden="1" customHeight="1">
      <c r="A9" s="3181" t="s">
        <v>2990</v>
      </c>
      <c r="B9" s="3186" t="s">
        <v>2991</v>
      </c>
      <c r="C9" s="3881">
        <f>ROUND(C8*H9,0)</f>
        <v>126412</v>
      </c>
      <c r="D9" s="3882"/>
      <c r="E9" s="3882"/>
      <c r="F9" s="3883"/>
      <c r="G9" s="3183" t="s">
        <v>2992</v>
      </c>
      <c r="H9" s="3905">
        <f>'数据-取费表（市场）'!B33</f>
        <v>0.05</v>
      </c>
      <c r="I9" s="3905"/>
      <c r="J9" s="3201">
        <f ca="1">D36</f>
        <v>5.09</v>
      </c>
      <c r="K9" s="3919"/>
      <c r="L9" s="3197" t="s">
        <v>2993</v>
      </c>
      <c r="M9" s="3198">
        <v>100</v>
      </c>
      <c r="N9" s="3198" t="s">
        <v>2984</v>
      </c>
      <c r="O9" s="3198">
        <v>90</v>
      </c>
      <c r="P9" s="3200">
        <f>1-P7-P8</f>
        <v>0.19999999999999996</v>
      </c>
    </row>
    <row r="10" spans="1:16" s="3195" customFormat="1" ht="18" hidden="1" customHeight="1">
      <c r="A10" s="3181" t="s">
        <v>2994</v>
      </c>
      <c r="B10" s="3186" t="s">
        <v>2995</v>
      </c>
      <c r="C10" s="3881">
        <f>ROUND(C8*H10,0)</f>
        <v>0</v>
      </c>
      <c r="D10" s="3882"/>
      <c r="E10" s="3882"/>
      <c r="F10" s="3883"/>
      <c r="G10" s="3183" t="s">
        <v>2992</v>
      </c>
      <c r="H10" s="3905">
        <f>'[1]数据-取费表'!B34</f>
        <v>0</v>
      </c>
      <c r="I10" s="3905"/>
      <c r="J10" s="3201">
        <f ca="1">D37</f>
        <v>5.28</v>
      </c>
      <c r="K10" s="3919"/>
      <c r="L10" s="3202" t="s">
        <v>2971</v>
      </c>
      <c r="M10" s="3203">
        <f>1-M5</f>
        <v>0.5</v>
      </c>
      <c r="N10" s="3198" t="s">
        <v>966</v>
      </c>
      <c r="O10" s="3204">
        <f>ROUND((O7*P7+O8*P8+O9*P9)/100,2)</f>
        <v>0.9</v>
      </c>
      <c r="P10" s="3205"/>
    </row>
    <row r="11" spans="1:16" s="3195" customFormat="1" ht="29.25" hidden="1" customHeight="1">
      <c r="A11" s="3181" t="s">
        <v>2996</v>
      </c>
      <c r="B11" s="3186" t="s">
        <v>2997</v>
      </c>
      <c r="C11" s="3881">
        <f>ROUND(I11*I3,0)</f>
        <v>137904</v>
      </c>
      <c r="D11" s="3882"/>
      <c r="E11" s="3882"/>
      <c r="F11" s="3883"/>
      <c r="G11" s="3183" t="s">
        <v>2998</v>
      </c>
      <c r="H11" s="3186" t="s">
        <v>2999</v>
      </c>
      <c r="I11" s="3183">
        <f>'数据-取费表（市场）'!B35</f>
        <v>300</v>
      </c>
      <c r="J11" s="3193"/>
      <c r="K11" s="3172"/>
      <c r="L11" s="3172"/>
    </row>
    <row r="12" spans="1:16" s="3195" customFormat="1" ht="18" hidden="1" customHeight="1">
      <c r="A12" s="3181" t="s">
        <v>3000</v>
      </c>
      <c r="B12" s="3186" t="s">
        <v>3001</v>
      </c>
      <c r="C12" s="3881">
        <f>ROUND(C8*H12,0)</f>
        <v>37924</v>
      </c>
      <c r="D12" s="3882"/>
      <c r="E12" s="3882"/>
      <c r="F12" s="3883"/>
      <c r="G12" s="3183" t="s">
        <v>2992</v>
      </c>
      <c r="H12" s="3905">
        <f>'数据-取费表（市场）'!B36</f>
        <v>1.4999999999999999E-2</v>
      </c>
      <c r="I12" s="3905"/>
      <c r="J12" s="3206" t="s">
        <v>3002</v>
      </c>
      <c r="L12" s="3207"/>
    </row>
    <row r="13" spans="1:16" s="3195" customFormat="1" ht="18" hidden="1" customHeight="1">
      <c r="A13" s="3181" t="s">
        <v>1019</v>
      </c>
      <c r="B13" s="3186" t="s">
        <v>3003</v>
      </c>
      <c r="C13" s="3881">
        <f>SUM(C8:F12)</f>
        <v>2830480</v>
      </c>
      <c r="D13" s="3882"/>
      <c r="E13" s="3882"/>
      <c r="F13" s="3883"/>
      <c r="G13" s="3884" t="s">
        <v>3004</v>
      </c>
      <c r="H13" s="3884"/>
      <c r="I13" s="3884"/>
      <c r="J13" s="3206" t="s">
        <v>3005</v>
      </c>
      <c r="L13" s="3207"/>
      <c r="N13" s="3195">
        <v>2011</v>
      </c>
    </row>
    <row r="14" spans="1:16" s="3195" customFormat="1" ht="18" hidden="1" customHeight="1">
      <c r="A14" s="3181" t="s">
        <v>3006</v>
      </c>
      <c r="B14" s="3186" t="s">
        <v>3007</v>
      </c>
      <c r="C14" s="3881">
        <f>ROUND(C13*H14,0)</f>
        <v>84914</v>
      </c>
      <c r="D14" s="3882"/>
      <c r="E14" s="3882"/>
      <c r="F14" s="3883"/>
      <c r="G14" s="3183" t="s">
        <v>3008</v>
      </c>
      <c r="H14" s="3905">
        <f>'数据-取费表（市场）'!B37</f>
        <v>0.03</v>
      </c>
      <c r="I14" s="3905"/>
      <c r="J14" s="3193"/>
      <c r="L14" s="3207"/>
    </row>
    <row r="15" spans="1:16" s="3195" customFormat="1" ht="18" hidden="1" customHeight="1">
      <c r="A15" s="3181" t="s">
        <v>14</v>
      </c>
      <c r="B15" s="3186" t="s">
        <v>3009</v>
      </c>
      <c r="C15" s="3895">
        <f>H15</f>
        <v>0.05</v>
      </c>
      <c r="D15" s="3896"/>
      <c r="E15" s="3903" t="str">
        <f>E18</f>
        <v>V</v>
      </c>
      <c r="F15" s="3904"/>
      <c r="G15" s="3183" t="s">
        <v>3010</v>
      </c>
      <c r="H15" s="3905">
        <f>'数据-取费表（市场）'!B38</f>
        <v>0.05</v>
      </c>
      <c r="I15" s="3905"/>
      <c r="J15" s="3208"/>
      <c r="K15" s="3209"/>
    </row>
    <row r="16" spans="1:16" s="3195" customFormat="1" ht="18" hidden="1" customHeight="1">
      <c r="A16" s="3210" t="s">
        <v>22</v>
      </c>
      <c r="B16" s="3211" t="s">
        <v>3011</v>
      </c>
      <c r="C16" s="3212">
        <f>C17</f>
        <v>138481</v>
      </c>
      <c r="D16" s="3213" t="s">
        <v>3012</v>
      </c>
      <c r="E16" s="3214">
        <f>C18</f>
        <v>2.3750000000000004E-3</v>
      </c>
      <c r="F16" s="3215" t="str">
        <f>E18</f>
        <v>V</v>
      </c>
      <c r="G16" s="3881" t="s">
        <v>3013</v>
      </c>
      <c r="H16" s="3882"/>
      <c r="I16" s="3883"/>
      <c r="J16" s="3193"/>
      <c r="K16" s="3172"/>
    </row>
    <row r="17" spans="1:19" s="3195" customFormat="1" ht="18" hidden="1" customHeight="1">
      <c r="A17" s="3181" t="s">
        <v>3014</v>
      </c>
      <c r="B17" s="3186" t="s">
        <v>3015</v>
      </c>
      <c r="C17" s="3881">
        <f>ROUND((C13+C14)*I18*(I17/2),0)</f>
        <v>138481</v>
      </c>
      <c r="D17" s="3882"/>
      <c r="E17" s="3882"/>
      <c r="F17" s="3883"/>
      <c r="G17" s="3212" t="s">
        <v>3016</v>
      </c>
      <c r="H17" s="3186" t="s">
        <v>3017</v>
      </c>
      <c r="I17" s="3183">
        <f>'数据-取费表（市场）'!B20</f>
        <v>2</v>
      </c>
      <c r="J17" s="3206" t="s">
        <v>3018</v>
      </c>
      <c r="K17" s="3172"/>
      <c r="L17" s="3172"/>
    </row>
    <row r="18" spans="1:19" s="3195" customFormat="1" ht="18" hidden="1" customHeight="1">
      <c r="A18" s="3181" t="s">
        <v>3019</v>
      </c>
      <c r="B18" s="3186" t="s">
        <v>3020</v>
      </c>
      <c r="C18" s="3906">
        <f>H15*I18*I17/2</f>
        <v>2.3750000000000004E-3</v>
      </c>
      <c r="D18" s="3907"/>
      <c r="E18" s="3903" t="s">
        <v>3021</v>
      </c>
      <c r="F18" s="3904"/>
      <c r="G18" s="3212" t="s">
        <v>3022</v>
      </c>
      <c r="H18" s="3186" t="s">
        <v>3023</v>
      </c>
      <c r="I18" s="3216">
        <f>'数据-取费表（市场）'!B40</f>
        <v>4.7500000000000001E-2</v>
      </c>
      <c r="J18" s="3206" t="s">
        <v>3024</v>
      </c>
      <c r="K18" s="3172"/>
      <c r="L18" s="3172"/>
    </row>
    <row r="19" spans="1:19" s="3195" customFormat="1" ht="27" hidden="1" customHeight="1">
      <c r="A19" s="3181" t="s">
        <v>23</v>
      </c>
      <c r="B19" s="3186" t="s">
        <v>3025</v>
      </c>
      <c r="C19" s="3212">
        <f>C20</f>
        <v>437309</v>
      </c>
      <c r="D19" s="3213" t="s">
        <v>3012</v>
      </c>
      <c r="E19" s="3213">
        <f>C21</f>
        <v>7.4999999999999997E-3</v>
      </c>
      <c r="F19" s="3215" t="str">
        <f>E21</f>
        <v>V</v>
      </c>
      <c r="G19" s="3881" t="s">
        <v>3026</v>
      </c>
      <c r="H19" s="3882"/>
      <c r="I19" s="3883"/>
      <c r="J19" s="3193"/>
      <c r="K19" s="3172"/>
      <c r="L19" s="3172"/>
    </row>
    <row r="20" spans="1:19" s="3195" customFormat="1" ht="26.25" hidden="1" customHeight="1">
      <c r="A20" s="3181" t="s">
        <v>3027</v>
      </c>
      <c r="B20" s="3186" t="s">
        <v>3028</v>
      </c>
      <c r="C20" s="3881">
        <f>ROUND((C13+C14)*I20,0)</f>
        <v>437309</v>
      </c>
      <c r="D20" s="3882"/>
      <c r="E20" s="3882"/>
      <c r="F20" s="3883"/>
      <c r="G20" s="3183" t="s">
        <v>3029</v>
      </c>
      <c r="H20" s="3900" t="s">
        <v>3030</v>
      </c>
      <c r="I20" s="3902">
        <f>'数据-取费表（市场）'!Q6</f>
        <v>0.15</v>
      </c>
      <c r="J20" s="3206" t="s">
        <v>3031</v>
      </c>
      <c r="K20" s="3172"/>
      <c r="L20" s="3172"/>
    </row>
    <row r="21" spans="1:19" s="3195" customFormat="1" ht="27" hidden="1" customHeight="1">
      <c r="A21" s="3181" t="s">
        <v>3027</v>
      </c>
      <c r="B21" s="3186" t="s">
        <v>3032</v>
      </c>
      <c r="C21" s="3895">
        <f>H15*I20</f>
        <v>7.4999999999999997E-3</v>
      </c>
      <c r="D21" s="3896"/>
      <c r="E21" s="3903" t="s">
        <v>3021</v>
      </c>
      <c r="F21" s="3904"/>
      <c r="G21" s="3183" t="s">
        <v>3033</v>
      </c>
      <c r="H21" s="3901"/>
      <c r="I21" s="3902"/>
      <c r="J21" s="3193"/>
      <c r="K21" s="3172"/>
      <c r="L21" s="3172"/>
    </row>
    <row r="22" spans="1:19" s="3195" customFormat="1" ht="18" hidden="1" customHeight="1">
      <c r="A22" s="3181" t="s">
        <v>24</v>
      </c>
      <c r="B22" s="3186" t="s">
        <v>3034</v>
      </c>
      <c r="C22" s="3895">
        <f>ROUND(H22/1.05,4)</f>
        <v>5.33E-2</v>
      </c>
      <c r="D22" s="3896"/>
      <c r="E22" s="3903" t="s">
        <v>3021</v>
      </c>
      <c r="F22" s="3904"/>
      <c r="G22" s="3183" t="s">
        <v>3035</v>
      </c>
      <c r="H22" s="3905">
        <v>5.6000000000000001E-2</v>
      </c>
      <c r="I22" s="3905"/>
      <c r="J22" s="3217"/>
      <c r="K22" s="3172"/>
      <c r="L22" s="3172"/>
    </row>
    <row r="23" spans="1:19" s="3195" customFormat="1" ht="18" customHeight="1">
      <c r="A23" s="3181" t="s">
        <v>3036</v>
      </c>
      <c r="B23" s="3186" t="s">
        <v>3037</v>
      </c>
      <c r="C23" s="3881">
        <f ca="1">成本法!C49</f>
        <v>3936834</v>
      </c>
      <c r="D23" s="3882"/>
      <c r="E23" s="3882"/>
      <c r="F23" s="3883"/>
      <c r="G23" s="3881" t="s">
        <v>3038</v>
      </c>
      <c r="H23" s="3882"/>
      <c r="I23" s="3883"/>
      <c r="J23" s="3217"/>
      <c r="K23" s="3172"/>
      <c r="L23" s="3172"/>
    </row>
    <row r="24" spans="1:19" s="3195" customFormat="1" ht="18" customHeight="1">
      <c r="A24" s="3181" t="s">
        <v>3039</v>
      </c>
      <c r="B24" s="3186" t="s">
        <v>3040</v>
      </c>
      <c r="C24" s="3218">
        <f ca="1">C26+C27</f>
        <v>63777</v>
      </c>
      <c r="D24" s="3219" t="s">
        <v>3041</v>
      </c>
      <c r="E24" s="3897">
        <f>H25+H28</f>
        <v>0.13</v>
      </c>
      <c r="F24" s="3898"/>
      <c r="G24" s="3884" t="s">
        <v>3042</v>
      </c>
      <c r="H24" s="3884"/>
      <c r="I24" s="3884"/>
      <c r="J24" s="3217"/>
      <c r="K24" s="3172"/>
      <c r="L24" s="3172"/>
    </row>
    <row r="25" spans="1:19" s="3195" customFormat="1" ht="18" customHeight="1">
      <c r="A25" s="3181" t="s">
        <v>1019</v>
      </c>
      <c r="B25" s="3186" t="s">
        <v>3043</v>
      </c>
      <c r="C25" s="3895" t="s">
        <v>3044</v>
      </c>
      <c r="D25" s="3896"/>
      <c r="E25" s="3897">
        <f>H25</f>
        <v>0.12</v>
      </c>
      <c r="F25" s="3898"/>
      <c r="G25" s="3183" t="s">
        <v>3045</v>
      </c>
      <c r="H25" s="3880">
        <v>0.12</v>
      </c>
      <c r="I25" s="3880"/>
      <c r="J25" s="3208"/>
      <c r="K25" s="3172"/>
      <c r="L25" s="3172"/>
    </row>
    <row r="26" spans="1:19" s="3195" customFormat="1" ht="18" customHeight="1">
      <c r="A26" s="3181" t="s">
        <v>3006</v>
      </c>
      <c r="B26" s="3186" t="s">
        <v>1010</v>
      </c>
      <c r="C26" s="3881">
        <f ca="1">ROUND(C23*H26,0)</f>
        <v>59053</v>
      </c>
      <c r="D26" s="3882"/>
      <c r="E26" s="3882"/>
      <c r="F26" s="3883"/>
      <c r="G26" s="3183" t="s">
        <v>3046</v>
      </c>
      <c r="H26" s="3880">
        <f>'数据-取费表（市场）'!AK6</f>
        <v>1.4999999999999999E-2</v>
      </c>
      <c r="I26" s="3880"/>
      <c r="J26" s="3208"/>
      <c r="K26" s="3172"/>
      <c r="L26" s="3172"/>
    </row>
    <row r="27" spans="1:19" s="3195" customFormat="1" ht="18" customHeight="1">
      <c r="A27" s="3181" t="s">
        <v>14</v>
      </c>
      <c r="B27" s="3186" t="s">
        <v>3047</v>
      </c>
      <c r="C27" s="3881">
        <f ca="1">ROUND(C7*H27,0)</f>
        <v>4724</v>
      </c>
      <c r="D27" s="3882"/>
      <c r="E27" s="3882"/>
      <c r="F27" s="3883"/>
      <c r="G27" s="3183" t="s">
        <v>3048</v>
      </c>
      <c r="H27" s="3899">
        <f>'数据-取费表（市场）'!AL6</f>
        <v>1.5E-3</v>
      </c>
      <c r="I27" s="3899"/>
      <c r="J27" s="3193"/>
      <c r="K27" s="3172"/>
      <c r="L27" s="3172"/>
    </row>
    <row r="28" spans="1:19" s="3195" customFormat="1" ht="18" customHeight="1">
      <c r="A28" s="3181" t="s">
        <v>22</v>
      </c>
      <c r="B28" s="3186" t="s">
        <v>3049</v>
      </c>
      <c r="C28" s="3895" t="s">
        <v>3044</v>
      </c>
      <c r="D28" s="3896"/>
      <c r="E28" s="3897">
        <f>H28</f>
        <v>0.01</v>
      </c>
      <c r="F28" s="3898"/>
      <c r="G28" s="3183" t="s">
        <v>3050</v>
      </c>
      <c r="H28" s="3880">
        <f>'数据-取费表（市场）'!AM6</f>
        <v>0.01</v>
      </c>
      <c r="I28" s="3880"/>
      <c r="J28" s="3220"/>
      <c r="K28" s="3172"/>
      <c r="L28" s="3172"/>
    </row>
    <row r="29" spans="1:19" s="3195" customFormat="1" ht="18" customHeight="1">
      <c r="A29" s="3183" t="s">
        <v>3051</v>
      </c>
      <c r="B29" s="3186" t="s">
        <v>3052</v>
      </c>
      <c r="C29" s="3881">
        <f ca="1">ROUND((C4+C24)/(1-E24),0)</f>
        <v>767941</v>
      </c>
      <c r="D29" s="3882"/>
      <c r="E29" s="3882"/>
      <c r="F29" s="3883"/>
      <c r="G29" s="3884" t="s">
        <v>3053</v>
      </c>
      <c r="H29" s="3884"/>
      <c r="I29" s="3884"/>
      <c r="J29" s="3221" t="s">
        <v>3054</v>
      </c>
      <c r="K29" s="3172"/>
      <c r="L29" s="3172"/>
    </row>
    <row r="30" spans="1:19" s="3195" customFormat="1" ht="21" customHeight="1">
      <c r="A30" s="3884" t="s">
        <v>3055</v>
      </c>
      <c r="B30" s="3888" t="s">
        <v>3056</v>
      </c>
      <c r="C30" s="3889">
        <f ca="1">ROUND(C29/I30/I31/I3,2)</f>
        <v>5.09</v>
      </c>
      <c r="D30" s="3890"/>
      <c r="E30" s="3890"/>
      <c r="F30" s="3891"/>
      <c r="G30" s="3884" t="s">
        <v>3057</v>
      </c>
      <c r="H30" s="3186" t="s">
        <v>3058</v>
      </c>
      <c r="I30" s="3183">
        <v>365</v>
      </c>
      <c r="J30" s="3222"/>
      <c r="K30" s="3172"/>
      <c r="L30" s="3512">
        <f>I3</f>
        <v>459.68</v>
      </c>
      <c r="M30" s="3195" t="s">
        <v>3474</v>
      </c>
      <c r="N30" s="3195" t="s">
        <v>3475</v>
      </c>
      <c r="O30" s="3195" t="s">
        <v>3481</v>
      </c>
      <c r="P30" s="3195" t="s">
        <v>3482</v>
      </c>
    </row>
    <row r="31" spans="1:19" s="3195" customFormat="1" ht="18" customHeight="1">
      <c r="A31" s="3884"/>
      <c r="B31" s="3888"/>
      <c r="C31" s="3892"/>
      <c r="D31" s="3893"/>
      <c r="E31" s="3893"/>
      <c r="F31" s="3894"/>
      <c r="G31" s="3884"/>
      <c r="H31" s="3186" t="s">
        <v>3059</v>
      </c>
      <c r="I31" s="3737">
        <v>0.9</v>
      </c>
      <c r="J31" s="3223"/>
      <c r="K31" s="3172"/>
      <c r="L31" s="3513" t="s">
        <v>3476</v>
      </c>
      <c r="M31" s="3514">
        <f ca="1">D37</f>
        <v>5.28</v>
      </c>
      <c r="N31" s="3437" t="s">
        <v>3490</v>
      </c>
      <c r="O31" s="3745">
        <f>L44-S32</f>
        <v>335</v>
      </c>
      <c r="P31" s="3437">
        <f ca="1">ROUND(M31*$L$30*O31,0)</f>
        <v>813082</v>
      </c>
      <c r="Q31" s="3733" t="s">
        <v>3546</v>
      </c>
      <c r="R31" s="3734" t="s">
        <v>3545</v>
      </c>
      <c r="S31" s="3195" t="s">
        <v>3575</v>
      </c>
    </row>
    <row r="32" spans="1:19" s="3195" customFormat="1" ht="18" customHeight="1">
      <c r="A32" s="3170"/>
      <c r="B32" s="3224"/>
      <c r="C32" s="3170"/>
      <c r="D32" s="3170"/>
      <c r="E32" s="3170"/>
      <c r="F32" s="3170"/>
      <c r="G32" s="3169"/>
      <c r="H32" s="3170"/>
      <c r="I32" s="3170"/>
      <c r="J32" s="3193"/>
      <c r="K32" s="3172"/>
      <c r="L32" s="3513" t="s">
        <v>3477</v>
      </c>
      <c r="M32" s="3437">
        <f ca="1">ROUND(M31*(1+N32),2)</f>
        <v>5.39</v>
      </c>
      <c r="N32" s="3515">
        <v>0.02</v>
      </c>
      <c r="O32" s="3745">
        <f>M44-S32</f>
        <v>335</v>
      </c>
      <c r="P32" s="3738">
        <f t="shared" ref="P32:P36" ca="1" si="0">ROUND(M32*$L$30*O32,0)</f>
        <v>830021</v>
      </c>
      <c r="Q32" s="3733">
        <f>写字楼!J41</f>
        <v>8.6392314310295731E-2</v>
      </c>
      <c r="R32" s="3733">
        <f>写字楼!AD40</f>
        <v>1.786453303903977E-2</v>
      </c>
      <c r="S32" s="4279">
        <v>30</v>
      </c>
    </row>
    <row r="33" spans="1:18" s="3195" customFormat="1" ht="18" customHeight="1">
      <c r="A33" s="3170"/>
      <c r="B33" s="3886" t="s">
        <v>3060</v>
      </c>
      <c r="C33" s="3886"/>
      <c r="D33" s="3886"/>
      <c r="E33" s="3886"/>
      <c r="F33" s="3886"/>
      <c r="G33" s="3225"/>
      <c r="H33" s="3226"/>
      <c r="I33" s="3170"/>
      <c r="J33" s="3193"/>
      <c r="K33" s="3172"/>
      <c r="L33" s="3513" t="s">
        <v>3478</v>
      </c>
      <c r="M33" s="3437">
        <f t="shared" ref="M33:M36" ca="1" si="1">ROUND(M32*(1+N33),2)</f>
        <v>5.5</v>
      </c>
      <c r="N33" s="3515">
        <v>0.02</v>
      </c>
      <c r="O33" s="3745">
        <f>N44-S32</f>
        <v>335</v>
      </c>
      <c r="P33" s="3738">
        <f t="shared" ca="1" si="0"/>
        <v>846960</v>
      </c>
      <c r="Q33" s="3733">
        <f>写字楼!J45</f>
        <v>6.1037418333003211E-2</v>
      </c>
      <c r="R33" s="3733">
        <f>写字楼!AD44</f>
        <v>4.0658670461475907E-2</v>
      </c>
    </row>
    <row r="34" spans="1:18" s="3195" customFormat="1" ht="18" customHeight="1">
      <c r="A34" s="3170"/>
      <c r="B34" s="3227" t="s">
        <v>3061</v>
      </c>
      <c r="C34" s="3227" t="s">
        <v>2978</v>
      </c>
      <c r="D34" s="3887" t="s">
        <v>3062</v>
      </c>
      <c r="E34" s="3887"/>
      <c r="F34" s="3887"/>
      <c r="G34" s="3225"/>
      <c r="H34" s="3226"/>
      <c r="I34" s="3170"/>
      <c r="J34" s="3217"/>
      <c r="K34" s="3170"/>
      <c r="L34" s="3516" t="s">
        <v>3480</v>
      </c>
      <c r="M34" s="3437">
        <f t="shared" ca="1" si="1"/>
        <v>5.5</v>
      </c>
      <c r="N34" s="3515">
        <v>0</v>
      </c>
      <c r="O34" s="3745">
        <f>O44-S32</f>
        <v>336</v>
      </c>
      <c r="P34" s="3738">
        <f t="shared" ca="1" si="0"/>
        <v>849489</v>
      </c>
      <c r="Q34" s="3733">
        <f>写字楼!J49</f>
        <v>-3.265351818334484E-3</v>
      </c>
      <c r="R34" s="3733">
        <f>写字楼!AD48</f>
        <v>-3.5423585335677597E-2</v>
      </c>
    </row>
    <row r="35" spans="1:18">
      <c r="B35" s="3227" t="s">
        <v>3063</v>
      </c>
      <c r="C35" s="3228">
        <v>0.6</v>
      </c>
      <c r="D35" s="3885">
        <f>'比较法-办公'!C49</f>
        <v>5.4</v>
      </c>
      <c r="E35" s="3885"/>
      <c r="F35" s="3885"/>
      <c r="G35" s="3225">
        <f ca="1">D36/D35</f>
        <v>0.94259259259259254</v>
      </c>
      <c r="H35" s="3226"/>
      <c r="K35" s="3170"/>
      <c r="L35" s="3516" t="s">
        <v>3479</v>
      </c>
      <c r="M35" s="3437">
        <f t="shared" ca="1" si="1"/>
        <v>5.39</v>
      </c>
      <c r="N35" s="3517">
        <v>-0.02</v>
      </c>
      <c r="O35" s="3746">
        <f>P44-S32</f>
        <v>335</v>
      </c>
      <c r="P35" s="3738">
        <f t="shared" ca="1" si="0"/>
        <v>830021</v>
      </c>
      <c r="Q35" s="3736">
        <f>写字楼!J53</f>
        <v>-4.0666691627042117E-2</v>
      </c>
      <c r="R35" s="3736">
        <f>写字楼!AD52</f>
        <v>-7.6486869641531063E-2</v>
      </c>
    </row>
    <row r="36" spans="1:18" ht="20.100000000000001" customHeight="1">
      <c r="B36" s="3227" t="s">
        <v>2940</v>
      </c>
      <c r="C36" s="3228">
        <f>1-C35</f>
        <v>0.4</v>
      </c>
      <c r="D36" s="3885">
        <f ca="1">C30</f>
        <v>5.09</v>
      </c>
      <c r="E36" s="3885"/>
      <c r="F36" s="3885"/>
      <c r="G36" s="3225"/>
      <c r="H36" s="3226"/>
      <c r="J36" s="3170"/>
      <c r="K36" s="3170"/>
      <c r="L36" s="3516" t="s">
        <v>3483</v>
      </c>
      <c r="M36" s="3437">
        <f t="shared" ca="1" si="1"/>
        <v>5.23</v>
      </c>
      <c r="N36" s="3517">
        <v>-0.03</v>
      </c>
      <c r="O36" s="3746">
        <f>Q44+R44-S32</f>
        <v>432</v>
      </c>
      <c r="P36" s="3738">
        <f t="shared" ca="1" si="0"/>
        <v>1038583</v>
      </c>
      <c r="Q36" s="3736">
        <f>写字楼!J57</f>
        <v>4.9174889584161089E-3</v>
      </c>
      <c r="R36" s="3736">
        <f>写字楼!AD56</f>
        <v>-1.4546783625731061E-2</v>
      </c>
    </row>
    <row r="37" spans="1:18" ht="22.5" customHeight="1">
      <c r="B37" s="3887" t="s">
        <v>3064</v>
      </c>
      <c r="C37" s="3887"/>
      <c r="D37" s="3885">
        <f ca="1">ROUND(C35*D35+C36*D36,2)</f>
        <v>5.28</v>
      </c>
      <c r="E37" s="3885"/>
      <c r="F37" s="3885"/>
      <c r="G37" s="3225">
        <f ca="1">ROUND(D37*I3/10000,2)</f>
        <v>0.24</v>
      </c>
      <c r="H37" s="3226"/>
      <c r="J37" s="3170"/>
      <c r="K37" s="3170"/>
      <c r="L37" s="3511"/>
      <c r="P37" s="3735">
        <f ca="1">SUM(P31:P36)</f>
        <v>5208156</v>
      </c>
    </row>
    <row r="38" spans="1:18" ht="22.5" customHeight="1">
      <c r="B38" s="3227" t="s">
        <v>3065</v>
      </c>
      <c r="C38" s="3227">
        <f ca="1">ROUND(D37*0.9,2)</f>
        <v>4.75</v>
      </c>
      <c r="D38" s="3229" t="s">
        <v>3066</v>
      </c>
      <c r="E38" s="3885">
        <f ca="1">ROUND(D37*1.1,2)</f>
        <v>5.81</v>
      </c>
      <c r="F38" s="3885"/>
      <c r="G38" s="3225" t="s">
        <v>3067</v>
      </c>
      <c r="H38" s="3230"/>
      <c r="J38" s="3170"/>
      <c r="K38" s="3170"/>
      <c r="L38" s="3170"/>
    </row>
    <row r="39" spans="1:18" ht="18" customHeight="1">
      <c r="B39" s="3227" t="s">
        <v>3068</v>
      </c>
      <c r="C39" s="3227">
        <f ca="1">ROUND(C38+H39,2)</f>
        <v>4.8</v>
      </c>
      <c r="D39" s="3229" t="s">
        <v>3066</v>
      </c>
      <c r="E39" s="3885">
        <f ca="1">ROUND(E38+H39,2)</f>
        <v>5.86</v>
      </c>
      <c r="F39" s="3885"/>
      <c r="G39" s="3231" t="s">
        <v>3069</v>
      </c>
      <c r="H39" s="3231">
        <v>0.05</v>
      </c>
      <c r="J39" s="3170"/>
      <c r="K39" s="3170"/>
      <c r="L39" s="3170"/>
    </row>
    <row r="40" spans="1:18" ht="18" customHeight="1">
      <c r="B40" s="3232"/>
      <c r="C40" s="3233"/>
      <c r="D40" s="3226"/>
      <c r="E40" s="3226"/>
      <c r="F40" s="3226"/>
      <c r="G40" s="3225"/>
      <c r="H40" s="3226"/>
      <c r="J40" s="3170"/>
    </row>
    <row r="41" spans="1:18" ht="18" customHeight="1">
      <c r="B41" s="3225" t="s">
        <v>3070</v>
      </c>
      <c r="C41" s="3226"/>
      <c r="D41" s="3226"/>
      <c r="E41" s="3225" t="s">
        <v>3071</v>
      </c>
      <c r="F41" s="3226"/>
      <c r="G41" s="3225"/>
      <c r="H41" s="3225" t="s">
        <v>3072</v>
      </c>
      <c r="J41" s="3170"/>
    </row>
    <row r="42" spans="1:18" ht="29.25" customHeight="1">
      <c r="L42" s="3174">
        <v>42558</v>
      </c>
      <c r="M42" s="3174">
        <v>42923</v>
      </c>
      <c r="N42" s="3174">
        <v>43288</v>
      </c>
      <c r="O42" s="3174">
        <v>43653</v>
      </c>
      <c r="P42" s="3174">
        <v>44019</v>
      </c>
      <c r="Q42" s="3174">
        <v>44384</v>
      </c>
      <c r="R42" s="3174">
        <v>44749</v>
      </c>
    </row>
    <row r="43" spans="1:18">
      <c r="L43" s="3174">
        <v>42922</v>
      </c>
      <c r="M43" s="3174">
        <v>43287</v>
      </c>
      <c r="N43" s="3174">
        <v>43652</v>
      </c>
      <c r="O43" s="3174">
        <v>44018</v>
      </c>
      <c r="P43" s="3174">
        <v>44383</v>
      </c>
      <c r="Q43" s="3174">
        <v>44748</v>
      </c>
      <c r="R43" s="3174">
        <v>44845</v>
      </c>
    </row>
    <row r="44" spans="1:18">
      <c r="L44" s="3175">
        <f>L43-L42+1</f>
        <v>365</v>
      </c>
      <c r="M44" s="3175">
        <f>M43-M42+1</f>
        <v>365</v>
      </c>
      <c r="N44" s="3175">
        <f t="shared" ref="N44:O44" si="2">N43-N42+1</f>
        <v>365</v>
      </c>
      <c r="O44" s="3175">
        <f t="shared" si="2"/>
        <v>366</v>
      </c>
      <c r="P44" s="3175">
        <f>P43-P42+1</f>
        <v>365</v>
      </c>
      <c r="Q44" s="3175">
        <f>Q43-Q42+1</f>
        <v>365</v>
      </c>
      <c r="R44" s="3175">
        <f>R43-R42+1</f>
        <v>97</v>
      </c>
    </row>
    <row r="45" spans="1:18">
      <c r="H45" s="3234"/>
    </row>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8"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6" zoomScaleNormal="100" zoomScaleSheetLayoutView="10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974" t="str">
        <f>项目基本情况!B1</f>
        <v>北京市房地产市场价值预评估</v>
      </c>
      <c r="B2" s="3974"/>
      <c r="C2" s="3974"/>
      <c r="D2" s="3974"/>
      <c r="E2" s="3974"/>
      <c r="F2" s="3974"/>
      <c r="G2" s="3974"/>
      <c r="H2" s="3974"/>
      <c r="I2" s="3974"/>
      <c r="J2" s="2843"/>
    </row>
    <row r="3" spans="1:15" ht="12.75">
      <c r="A3" s="3977" t="s">
        <v>1709</v>
      </c>
      <c r="B3" s="3978"/>
      <c r="C3" s="3978"/>
      <c r="D3" s="3978"/>
      <c r="E3" s="3978"/>
      <c r="F3" s="3978"/>
      <c r="G3" s="3978"/>
      <c r="H3" s="3978"/>
      <c r="I3" s="3978"/>
      <c r="J3" s="2844"/>
    </row>
    <row r="4" spans="1:15" ht="14.25">
      <c r="A4" s="2712" t="s">
        <v>1710</v>
      </c>
      <c r="B4" s="2712" t="s">
        <v>1711</v>
      </c>
      <c r="C4" s="2713" t="s">
        <v>2918</v>
      </c>
      <c r="D4" s="2713" t="s">
        <v>2940</v>
      </c>
      <c r="E4" s="3924" t="s">
        <v>1712</v>
      </c>
      <c r="F4" s="3961"/>
      <c r="G4" s="3961"/>
      <c r="H4" s="3961"/>
      <c r="I4" s="3962"/>
      <c r="J4" s="2845"/>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856" t="s">
        <v>1713</v>
      </c>
      <c r="B5" s="3856">
        <v>25</v>
      </c>
      <c r="C5" s="3963"/>
      <c r="D5" s="3976"/>
      <c r="E5" s="12" t="s">
        <v>1714</v>
      </c>
      <c r="F5" s="2088"/>
      <c r="G5" s="2088"/>
      <c r="H5" s="2088"/>
      <c r="I5" s="2083"/>
      <c r="J5" s="2845"/>
    </row>
    <row r="6" spans="1:15" ht="12.75">
      <c r="A6" s="3856"/>
      <c r="B6" s="3856"/>
      <c r="C6" s="3979"/>
      <c r="D6" s="3976"/>
      <c r="E6" s="12" t="s">
        <v>1715</v>
      </c>
      <c r="F6" s="2088"/>
      <c r="G6" s="2088"/>
      <c r="H6" s="2088"/>
      <c r="I6" s="2083"/>
      <c r="J6" s="2845"/>
    </row>
    <row r="7" spans="1:15" ht="12.75">
      <c r="A7" s="3856"/>
      <c r="B7" s="3856"/>
      <c r="C7" s="3964"/>
      <c r="D7" s="3976"/>
      <c r="E7" s="12" t="s">
        <v>1716</v>
      </c>
      <c r="F7" s="2088"/>
      <c r="G7" s="2088"/>
      <c r="H7" s="2088"/>
      <c r="I7" s="2083"/>
      <c r="J7" s="2845"/>
    </row>
    <row r="8" spans="1:15" ht="12.75">
      <c r="A8" s="3856" t="s">
        <v>1717</v>
      </c>
      <c r="B8" s="3856">
        <v>15</v>
      </c>
      <c r="C8" s="3963"/>
      <c r="D8" s="3976"/>
      <c r="E8" s="12" t="s">
        <v>1718</v>
      </c>
      <c r="F8" s="2088"/>
      <c r="G8" s="2088"/>
      <c r="H8" s="2088"/>
      <c r="I8" s="2083"/>
      <c r="J8" s="2845"/>
    </row>
    <row r="9" spans="1:15" ht="12.75">
      <c r="A9" s="3856"/>
      <c r="B9" s="3856"/>
      <c r="C9" s="3964"/>
      <c r="D9" s="3976"/>
      <c r="E9" s="12" t="s">
        <v>1719</v>
      </c>
      <c r="F9" s="2088"/>
      <c r="G9" s="2088"/>
      <c r="H9" s="2088"/>
      <c r="I9" s="2083"/>
      <c r="J9" s="2845"/>
    </row>
    <row r="10" spans="1:15" ht="12.75">
      <c r="A10" s="3856" t="s">
        <v>1720</v>
      </c>
      <c r="B10" s="3856">
        <v>15</v>
      </c>
      <c r="C10" s="3963"/>
      <c r="D10" s="3976"/>
      <c r="E10" s="12" t="s">
        <v>1721</v>
      </c>
      <c r="F10" s="2088"/>
      <c r="G10" s="2088"/>
      <c r="H10" s="2088"/>
      <c r="I10" s="2083"/>
      <c r="J10" s="2845"/>
    </row>
    <row r="11" spans="1:15" ht="12.75">
      <c r="A11" s="3856"/>
      <c r="B11" s="3856"/>
      <c r="C11" s="3964"/>
      <c r="D11" s="3976"/>
      <c r="E11" s="12" t="s">
        <v>1722</v>
      </c>
      <c r="F11" s="2088"/>
      <c r="G11" s="2088"/>
      <c r="H11" s="2088"/>
      <c r="I11" s="2083"/>
      <c r="J11" s="2845"/>
    </row>
    <row r="12" spans="1:15" ht="12.75">
      <c r="A12" s="3856" t="s">
        <v>1723</v>
      </c>
      <c r="B12" s="3856">
        <v>15</v>
      </c>
      <c r="C12" s="3963"/>
      <c r="D12" s="3976"/>
      <c r="E12" s="12" t="s">
        <v>1724</v>
      </c>
      <c r="F12" s="2088"/>
      <c r="G12" s="2088"/>
      <c r="H12" s="2088"/>
      <c r="I12" s="2083"/>
      <c r="J12" s="2845"/>
    </row>
    <row r="13" spans="1:15" ht="12.75">
      <c r="A13" s="3856"/>
      <c r="B13" s="3856"/>
      <c r="C13" s="3964"/>
      <c r="D13" s="3976"/>
      <c r="E13" s="12" t="s">
        <v>1725</v>
      </c>
      <c r="F13" s="2088"/>
      <c r="G13" s="2088"/>
      <c r="H13" s="2088"/>
      <c r="I13" s="2083"/>
      <c r="J13" s="2845"/>
    </row>
    <row r="14" spans="1:15" ht="12.75">
      <c r="A14" s="3856" t="s">
        <v>1726</v>
      </c>
      <c r="B14" s="3856">
        <v>30</v>
      </c>
      <c r="C14" s="3963">
        <v>8</v>
      </c>
      <c r="D14" s="3976">
        <f>10-C14</f>
        <v>2</v>
      </c>
      <c r="E14" s="12" t="s">
        <v>1727</v>
      </c>
      <c r="F14" s="2088"/>
      <c r="G14" s="2088"/>
      <c r="H14" s="2088"/>
      <c r="I14" s="2083"/>
      <c r="J14" s="2845"/>
    </row>
    <row r="15" spans="1:15" ht="12.75">
      <c r="A15" s="3856"/>
      <c r="B15" s="3856"/>
      <c r="C15" s="3979"/>
      <c r="D15" s="3976"/>
      <c r="E15" s="12" t="s">
        <v>1728</v>
      </c>
      <c r="F15" s="2088"/>
      <c r="G15" s="2088"/>
      <c r="H15" s="2088"/>
      <c r="I15" s="2083"/>
      <c r="J15" s="2845"/>
    </row>
    <row r="16" spans="1:15" ht="12.75">
      <c r="A16" s="3856"/>
      <c r="B16" s="3856"/>
      <c r="C16" s="3964"/>
      <c r="D16" s="3976"/>
      <c r="E16" s="12" t="s">
        <v>1729</v>
      </c>
      <c r="F16" s="2088"/>
      <c r="G16" s="2088"/>
      <c r="H16" s="2088"/>
      <c r="I16" s="2083"/>
      <c r="J16" s="2845"/>
    </row>
    <row r="17" spans="1:36" ht="15">
      <c r="A17" s="2714" t="s">
        <v>1730</v>
      </c>
      <c r="B17" s="2093"/>
      <c r="C17" s="2715">
        <f>SUM(C5:C16)</f>
        <v>8</v>
      </c>
      <c r="D17" s="2715">
        <f>SUM(D5:D16)</f>
        <v>2</v>
      </c>
      <c r="E17" s="2562"/>
      <c r="F17" s="2562"/>
      <c r="G17" s="2562"/>
      <c r="H17" s="2562"/>
      <c r="I17" s="2562"/>
      <c r="J17" s="2846"/>
    </row>
    <row r="18" spans="1:36" ht="30" customHeight="1" thickBot="1">
      <c r="A18" s="2716" t="s">
        <v>1731</v>
      </c>
      <c r="B18" s="2717"/>
      <c r="C18" s="2718">
        <f>ROUND(C17/SUM(C17:D17),2)</f>
        <v>0.8</v>
      </c>
      <c r="D18" s="2718">
        <f>1-C18</f>
        <v>0.19999999999999996</v>
      </c>
      <c r="E18" s="3972" t="s">
        <v>2814</v>
      </c>
      <c r="F18" s="3973"/>
      <c r="G18" s="3973"/>
      <c r="H18" s="3973"/>
      <c r="I18" s="3973"/>
      <c r="J18" s="2846"/>
    </row>
    <row r="19" spans="1:36" ht="15">
      <c r="A19" s="2719" t="s">
        <v>1732</v>
      </c>
      <c r="B19" s="2720" t="s">
        <v>1733</v>
      </c>
      <c r="C19" s="2721">
        <f ca="1">SUMIF(INDIRECT("'"&amp;C4&amp;"'"&amp;"!A:A"),结果表!B19,INDIRECT("'"&amp;C4&amp;"'"&amp;"!B:B"))</f>
        <v>16303008</v>
      </c>
      <c r="D19" s="2722">
        <f ca="1">SUMIF(INDIRECT("'"&amp;D4&amp;"'"&amp;"!A:A"),结果表!B19,INDIRECT("'"&amp;D4&amp;"'"&amp;"!B:B"))</f>
        <v>-1589126</v>
      </c>
      <c r="E19" s="2719" t="s">
        <v>1734</v>
      </c>
      <c r="F19" s="2720" t="s">
        <v>1733</v>
      </c>
      <c r="G19" s="2723">
        <f ca="1">ROUND(C19*$C$18+D19*$D$18,0)</f>
        <v>12724581</v>
      </c>
      <c r="H19" s="2724" t="str">
        <f>'数据-取费表'!B3</f>
        <v>元</v>
      </c>
      <c r="I19" s="2772"/>
      <c r="J19" s="2847"/>
    </row>
    <row r="20" spans="1:36" ht="15">
      <c r="A20" s="2725"/>
      <c r="B20" s="1693" t="s">
        <v>1735</v>
      </c>
      <c r="C20" s="1918">
        <f ca="1">SUMIF(INDIRECT("'"&amp;C4&amp;"'"&amp;"!A:A"),结果表!B20,INDIRECT("'"&amp;C4&amp;"'"&amp;"!B:B"))</f>
        <v>35466</v>
      </c>
      <c r="D20" s="1921">
        <f ca="1">SUMIF(INDIRECT("'"&amp;D4&amp;"'"&amp;"!A:A"),结果表!B20,INDIRECT("'"&amp;D4&amp;"'"&amp;"!B:B"))</f>
        <v>-3457</v>
      </c>
      <c r="E20" s="2725"/>
      <c r="F20" s="1693" t="s">
        <v>1735</v>
      </c>
      <c r="G20" s="2092">
        <f ca="1">ROUND(C20*$C$18+D20*$D$18,0)</f>
        <v>27681</v>
      </c>
      <c r="H20" s="2726" t="s">
        <v>1736</v>
      </c>
      <c r="I20" s="2562"/>
      <c r="J20" s="2846"/>
    </row>
    <row r="21" spans="1:36" ht="15" customHeight="1" thickBot="1">
      <c r="A21" s="2727"/>
      <c r="B21" s="2728"/>
      <c r="C21" s="2728"/>
      <c r="D21" s="2729"/>
      <c r="E21" s="2727"/>
      <c r="F21" s="2728"/>
      <c r="G21" s="2730"/>
      <c r="H21" s="2731"/>
      <c r="I21" s="2562"/>
      <c r="J21" s="2846"/>
    </row>
    <row r="22" spans="1:36" ht="15" thickBot="1">
      <c r="A22" s="2732" t="s">
        <v>1737</v>
      </c>
      <c r="B22" s="2733"/>
      <c r="C22" s="2646"/>
      <c r="D22" s="2734">
        <f ca="1">IF(C19&lt;D19,D19/C19-1,C19/D19-1)</f>
        <v>-11.259103431697675</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965" t="s">
        <v>1738</v>
      </c>
      <c r="B24" s="2720" t="s">
        <v>1733</v>
      </c>
      <c r="C24" s="2723">
        <f>D30</f>
        <v>0</v>
      </c>
      <c r="D24" s="2675"/>
      <c r="E24" s="947"/>
      <c r="F24" s="947"/>
      <c r="G24" s="947"/>
      <c r="H24" s="947"/>
      <c r="I24" s="947"/>
      <c r="J24" s="2846"/>
    </row>
    <row r="25" spans="1:36" ht="21.75" customHeight="1">
      <c r="A25" s="3982"/>
      <c r="B25" s="1693"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1743</v>
      </c>
      <c r="B30" s="2774"/>
      <c r="C30" s="2774"/>
      <c r="D30" s="2774"/>
      <c r="E30" s="2741" t="s">
        <v>2818</v>
      </c>
      <c r="F30" s="2562"/>
      <c r="G30" s="2562"/>
      <c r="H30" s="2562"/>
      <c r="I30" s="2562"/>
      <c r="J30" s="2846"/>
    </row>
    <row r="31" spans="1:36" s="2839" customFormat="1" ht="26.45"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1744</v>
      </c>
      <c r="B32" s="2828" t="str">
        <f>'数据-取费表'!B4</f>
        <v>楼面单价</v>
      </c>
      <c r="C32" s="2829">
        <f ca="1">IF(B32="总价",G19-C24,G20-C25)</f>
        <v>27681</v>
      </c>
      <c r="D32" s="2830" t="str">
        <f>IF(B32="楼面单价","元/平方米",H19)</f>
        <v>元/平方米</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1745</v>
      </c>
      <c r="B33" s="255"/>
      <c r="C33" s="2743"/>
      <c r="D33" s="2744"/>
      <c r="E33" s="2745" t="s">
        <v>1746</v>
      </c>
      <c r="F33" s="2746" t="str">
        <f>IF(B32="楼面单价","取值（单价）","取值（总价）")</f>
        <v>取值（单价）</v>
      </c>
      <c r="G33" s="947"/>
      <c r="H33" s="947"/>
      <c r="I33" s="947"/>
      <c r="J33" s="2846"/>
    </row>
    <row r="34" spans="1:17" ht="15">
      <c r="A34" s="1466"/>
      <c r="B34" s="2747" t="s">
        <v>1747</v>
      </c>
      <c r="C34" s="2748">
        <f ca="1">IF(D33="自定义",F34,C32-C35)</f>
        <v>82545</v>
      </c>
      <c r="D34" s="2749">
        <f ca="1">IF(D33="自定义",ROUND(C34/C32,3),1-D35)</f>
        <v>2.9820000000000002</v>
      </c>
      <c r="E34" s="1435" t="s">
        <v>1748</v>
      </c>
      <c r="F34" s="2750">
        <v>2000</v>
      </c>
      <c r="G34" s="947"/>
      <c r="H34" s="947"/>
      <c r="I34" s="947"/>
      <c r="J34" s="2846"/>
    </row>
    <row r="35" spans="1:17" ht="15.75" thickBot="1">
      <c r="A35" s="1467"/>
      <c r="B35" s="2751" t="s">
        <v>1749</v>
      </c>
      <c r="C35" s="2752">
        <f ca="1">IF(D33="自定义",F35,ROUND(C32*D35,0))</f>
        <v>-54864</v>
      </c>
      <c r="D35" s="2753">
        <f ca="1">IF(D33="自定义",ROUND(C35/C32,3),IF(D33="成本法成本比率",成本法!C56,IF(D33="收益法收益比率",收益法!J38,收益法!J41)))</f>
        <v>-1.982</v>
      </c>
      <c r="E35" s="2754" t="s">
        <v>1750</v>
      </c>
      <c r="F35" s="2755">
        <v>4460</v>
      </c>
      <c r="G35" s="947"/>
      <c r="H35" s="947"/>
      <c r="I35" s="947"/>
      <c r="J35" s="2846"/>
    </row>
    <row r="36" spans="1:17" ht="15.75" thickBot="1">
      <c r="A36" s="3965" t="s">
        <v>1751</v>
      </c>
      <c r="B36" s="1468" t="s">
        <v>1752</v>
      </c>
      <c r="C36" s="2756">
        <v>0</v>
      </c>
      <c r="D36" s="2757"/>
      <c r="E36" s="1679"/>
      <c r="F36" s="1679"/>
      <c r="G36" s="947"/>
      <c r="H36" s="947"/>
      <c r="I36" s="947"/>
      <c r="J36" s="2846"/>
    </row>
    <row r="37" spans="1:17" ht="15.75" thickBot="1">
      <c r="A37" s="3966"/>
      <c r="B37" s="2093" t="s">
        <v>1753</v>
      </c>
      <c r="C37" s="2758">
        <v>0</v>
      </c>
      <c r="D37" s="1311"/>
      <c r="E37" s="1311"/>
      <c r="F37" s="1679"/>
      <c r="G37" s="1311"/>
      <c r="H37" s="1311"/>
      <c r="I37" s="1311"/>
      <c r="J37" s="2850"/>
    </row>
    <row r="38" spans="1:17" ht="15.75" thickBot="1">
      <c r="A38" s="3967"/>
      <c r="B38" s="1469" t="s">
        <v>1754</v>
      </c>
      <c r="C38" s="2759">
        <v>0</v>
      </c>
      <c r="D38" s="2760" t="s">
        <v>1755</v>
      </c>
      <c r="E38" s="1311"/>
      <c r="F38" s="1679"/>
      <c r="G38" s="1311"/>
      <c r="H38" s="1311"/>
      <c r="I38" s="1311"/>
      <c r="J38" s="2850"/>
    </row>
    <row r="39" spans="1:17" ht="15">
      <c r="A39" s="2725" t="s">
        <v>1756</v>
      </c>
      <c r="B39" s="2761" t="s">
        <v>1740</v>
      </c>
      <c r="C39" s="2762" t="s">
        <v>1741</v>
      </c>
      <c r="D39" s="2762" t="s">
        <v>1757</v>
      </c>
      <c r="E39" s="2763" t="s">
        <v>1742</v>
      </c>
      <c r="F39" s="1679"/>
      <c r="G39" s="1311"/>
      <c r="H39" s="1311"/>
      <c r="I39" s="1311"/>
      <c r="J39" s="2850"/>
    </row>
    <row r="40" spans="1:17" ht="14.25">
      <c r="A40" s="2764" t="s">
        <v>1758</v>
      </c>
      <c r="B40" s="2765"/>
      <c r="C40" s="2766"/>
      <c r="D40" s="2766"/>
      <c r="E40" s="2767"/>
      <c r="F40" s="1679"/>
      <c r="G40" s="1311"/>
      <c r="H40" s="1311"/>
      <c r="I40" s="1311"/>
      <c r="J40" s="2850"/>
    </row>
    <row r="41" spans="1:17" ht="14.25">
      <c r="A41" s="2764" t="s">
        <v>1759</v>
      </c>
      <c r="B41" s="2765"/>
      <c r="C41" s="2766"/>
      <c r="D41" s="2766"/>
      <c r="E41" s="2767"/>
      <c r="F41" s="1679"/>
      <c r="G41" s="1311"/>
      <c r="H41" s="1311"/>
      <c r="I41" s="1311"/>
      <c r="J41" s="2850"/>
    </row>
    <row r="42" spans="1:17" ht="15" thickBot="1">
      <c r="A42" s="2768"/>
      <c r="B42" s="2769"/>
      <c r="C42" s="2770"/>
      <c r="D42" s="2770"/>
      <c r="E42" s="2755"/>
      <c r="F42" s="1679"/>
      <c r="G42" s="1311"/>
      <c r="H42" s="1311"/>
      <c r="I42" s="1311"/>
      <c r="J42" s="2850"/>
    </row>
    <row r="43" spans="1:17" ht="12.75">
      <c r="A43" s="2976"/>
      <c r="B43" s="2976"/>
      <c r="C43" s="2976"/>
      <c r="D43" s="2976"/>
      <c r="E43" s="2976"/>
      <c r="F43" s="2975"/>
      <c r="G43" s="2975"/>
      <c r="H43" s="2975"/>
      <c r="I43" s="2662"/>
      <c r="J43" s="2851"/>
    </row>
    <row r="44" spans="1:17" ht="18.75">
      <c r="A44" s="1471" t="s">
        <v>1760</v>
      </c>
      <c r="B44" s="1472"/>
      <c r="C44" s="1472"/>
      <c r="D44" s="1473"/>
      <c r="E44" s="1473"/>
      <c r="F44" s="1474"/>
      <c r="G44" s="1474"/>
      <c r="H44" s="1474"/>
      <c r="I44" s="2840" t="s">
        <v>2813</v>
      </c>
      <c r="J44" s="2852"/>
      <c r="K44" s="1475" t="s">
        <v>1761</v>
      </c>
      <c r="L44" s="1476"/>
      <c r="M44" s="1476"/>
      <c r="N44" s="1476"/>
      <c r="O44" s="1476"/>
      <c r="P44" s="1476"/>
      <c r="Q44" s="1308"/>
    </row>
    <row r="45" spans="1:17" ht="14.25" customHeight="1" thickBot="1">
      <c r="A45" s="3969" t="s">
        <v>1762</v>
      </c>
      <c r="B45" s="3970"/>
      <c r="C45" s="3930"/>
      <c r="D45" s="246">
        <f ca="1">ROUND(I102*F45,0)</f>
        <v>12724402</v>
      </c>
      <c r="E45" s="1542" t="s">
        <v>1763</v>
      </c>
      <c r="F45" s="2560">
        <v>1</v>
      </c>
      <c r="G45" s="2561" t="s">
        <v>1764</v>
      </c>
      <c r="H45" s="947"/>
      <c r="I45" s="947"/>
      <c r="J45" s="2846"/>
      <c r="K45" s="4023" t="s">
        <v>2743</v>
      </c>
      <c r="L45" s="4023"/>
      <c r="M45" s="4023"/>
      <c r="N45" s="4023"/>
      <c r="O45" s="4023"/>
      <c r="P45" s="4023"/>
      <c r="Q45" s="1308"/>
    </row>
    <row r="46" spans="1:17" ht="14.25" customHeight="1">
      <c r="A46" s="3958" t="s">
        <v>1766</v>
      </c>
      <c r="B46" s="3959"/>
      <c r="C46" s="3959"/>
      <c r="D46" s="3959"/>
      <c r="E46" s="3959"/>
      <c r="F46" s="3959"/>
      <c r="G46" s="3960"/>
      <c r="H46" s="2978"/>
      <c r="I46" s="947"/>
      <c r="J46" s="2846"/>
      <c r="K46" s="2535">
        <v>1</v>
      </c>
      <c r="L46" s="4024" t="s">
        <v>2744</v>
      </c>
      <c r="M46" s="4024"/>
      <c r="N46" s="4025" t="str">
        <f>项目基本情况!B1</f>
        <v>北京市房地产市场价值预评估</v>
      </c>
      <c r="O46" s="4025"/>
      <c r="P46" s="4025"/>
      <c r="Q46" s="1308"/>
    </row>
    <row r="47" spans="1:17" ht="12" customHeight="1">
      <c r="A47" s="38" t="s">
        <v>1768</v>
      </c>
      <c r="B47" s="39"/>
      <c r="C47" s="40"/>
      <c r="D47" s="1099" t="s">
        <v>1769</v>
      </c>
      <c r="E47" s="235" t="s">
        <v>1770</v>
      </c>
      <c r="F47" s="41" t="s">
        <v>1771</v>
      </c>
      <c r="G47" s="2563" t="s">
        <v>1772</v>
      </c>
      <c r="H47" s="2978"/>
      <c r="I47" s="947"/>
      <c r="J47" s="2846"/>
      <c r="K47" s="2535">
        <v>2</v>
      </c>
      <c r="L47" s="4024" t="s">
        <v>2745</v>
      </c>
      <c r="M47" s="4024"/>
      <c r="N47" s="4026">
        <f>'数据-取费表'!B2</f>
        <v>42558</v>
      </c>
      <c r="O47" s="4026"/>
      <c r="P47" s="4026"/>
      <c r="Q47" s="1308"/>
    </row>
    <row r="48" spans="1:17" ht="25.5">
      <c r="A48" s="3968" t="s">
        <v>1774</v>
      </c>
      <c r="B48" s="3923"/>
      <c r="C48" s="3923"/>
      <c r="D48" s="12">
        <f ca="1">IF(H48="情况1",0,IF(H48="情况2",D52,IF(H48="情况3",D53,IF(H48="情况4",D54))))</f>
        <v>678635</v>
      </c>
      <c r="E48" s="2091" t="str">
        <f>IF(H48="情况4","(销售额-原购置价)×税（费）率","销售额×税（费）率")</f>
        <v>销售额×税（费）率</v>
      </c>
      <c r="F48" s="2564">
        <f>IF(H48="情况1","免征",'数据-取费表'!E29)</f>
        <v>5.6000000000000001E-2</v>
      </c>
      <c r="G48" s="2565" t="s">
        <v>1775</v>
      </c>
      <c r="H48" s="2566" t="s">
        <v>1776</v>
      </c>
      <c r="I48" s="2978"/>
      <c r="J48" s="2853"/>
      <c r="K48" s="2535">
        <v>3</v>
      </c>
      <c r="L48" s="4024" t="s">
        <v>2746</v>
      </c>
      <c r="M48" s="4024"/>
      <c r="N48" s="4025">
        <f ca="1">I102</f>
        <v>12724402</v>
      </c>
      <c r="O48" s="4025"/>
      <c r="P48" s="4025"/>
      <c r="Q48" s="1308"/>
    </row>
    <row r="49" spans="1:17" ht="25.5" customHeight="1">
      <c r="A49" s="2090" t="s">
        <v>1778</v>
      </c>
      <c r="B49" s="3961" t="s">
        <v>1779</v>
      </c>
      <c r="C49" s="3961"/>
      <c r="D49" s="2567">
        <v>0</v>
      </c>
      <c r="E49" s="261" t="s">
        <v>1780</v>
      </c>
      <c r="F49" s="2568" t="s">
        <v>48</v>
      </c>
      <c r="G49" s="4018"/>
      <c r="H49" s="2569" t="s">
        <v>2820</v>
      </c>
      <c r="I49" s="2570"/>
      <c r="J49" s="2854"/>
      <c r="K49" s="2535">
        <v>4</v>
      </c>
      <c r="L49" s="4024" t="str">
        <f>IF(项目基本情况!F5="房地产抵押价值","房地产抵押价值","抵押担保权已注销时的房地产抵押价值")</f>
        <v>抵押担保权已注销时的房地产抵押价值</v>
      </c>
      <c r="M49" s="4024"/>
      <c r="N49" s="4025" t="str">
        <f>IF(项目基本情况!F5="房地产抵押价值",I110,I112)</f>
        <v>——</v>
      </c>
      <c r="O49" s="4025"/>
      <c r="P49" s="4025"/>
      <c r="Q49" s="1308"/>
    </row>
    <row r="50" spans="1:17" ht="25.5" customHeight="1">
      <c r="A50" s="2080"/>
      <c r="B50" s="3961" t="s">
        <v>1781</v>
      </c>
      <c r="C50" s="3961"/>
      <c r="D50" s="2571"/>
      <c r="E50" s="269"/>
      <c r="F50" s="2568"/>
      <c r="G50" s="4019"/>
      <c r="H50" s="2572" t="s">
        <v>2739</v>
      </c>
      <c r="I50" s="2570"/>
      <c r="J50" s="2854"/>
      <c r="K50" s="4024" t="s">
        <v>2747</v>
      </c>
      <c r="L50" s="4024"/>
      <c r="M50" s="4024"/>
      <c r="N50" s="4024"/>
      <c r="O50" s="4024"/>
      <c r="P50" s="4024"/>
      <c r="Q50" s="1308"/>
    </row>
    <row r="51" spans="1:17" ht="20.45" customHeight="1">
      <c r="A51" s="2573"/>
      <c r="B51" s="3961" t="s">
        <v>1783</v>
      </c>
      <c r="C51" s="3961"/>
      <c r="D51" s="1099"/>
      <c r="E51" s="264"/>
      <c r="F51" s="2568"/>
      <c r="G51" s="4020"/>
      <c r="H51" s="2572" t="s">
        <v>2740</v>
      </c>
      <c r="I51" s="2570"/>
      <c r="J51" s="2854"/>
      <c r="K51" s="2536" t="s">
        <v>2748</v>
      </c>
      <c r="L51" s="4024" t="s">
        <v>2749</v>
      </c>
      <c r="M51" s="4024"/>
      <c r="N51" s="2536" t="s">
        <v>2750</v>
      </c>
      <c r="O51" s="2536" t="s">
        <v>2751</v>
      </c>
      <c r="P51" s="2536" t="s">
        <v>2752</v>
      </c>
      <c r="Q51" s="1308"/>
    </row>
    <row r="52" spans="1:17" ht="24" customHeight="1">
      <c r="A52" s="2081" t="s">
        <v>1789</v>
      </c>
      <c r="B52" s="3961" t="s">
        <v>1790</v>
      </c>
      <c r="C52" s="3961"/>
      <c r="D52" s="1099">
        <f ca="1">ROUND(D45*'数据-取费表'!E29/(1+'数据-取费表'!F30),0)</f>
        <v>678635</v>
      </c>
      <c r="E52" s="2091" t="s">
        <v>1791</v>
      </c>
      <c r="F52" s="2574">
        <f>'数据-取费表'!E29</f>
        <v>5.6000000000000001E-2</v>
      </c>
      <c r="G52" s="2575"/>
      <c r="H52" s="947"/>
      <c r="I52" s="2979"/>
      <c r="J52" s="2854"/>
      <c r="K52" s="2535">
        <v>1</v>
      </c>
      <c r="L52" s="3991" t="s">
        <v>2753</v>
      </c>
      <c r="M52" s="3991"/>
      <c r="N52" s="2537">
        <f ca="1">D48</f>
        <v>678635</v>
      </c>
      <c r="O52" s="2535" t="str">
        <f>E48</f>
        <v>销售额×税（费）率</v>
      </c>
      <c r="P52" s="2538">
        <f>F48</f>
        <v>5.6000000000000001E-2</v>
      </c>
      <c r="Q52" s="1308"/>
    </row>
    <row r="53" spans="1:17" ht="12" customHeight="1">
      <c r="A53" s="2081" t="s">
        <v>1793</v>
      </c>
      <c r="B53" s="3924" t="s">
        <v>2832</v>
      </c>
      <c r="C53" s="3962"/>
      <c r="D53" s="1099">
        <f ca="1">ROUND(D45*'数据-取费表'!E29/(1+'数据-取费表'!F30),0)</f>
        <v>678635</v>
      </c>
      <c r="E53" s="2091" t="s">
        <v>1791</v>
      </c>
      <c r="F53" s="2574">
        <f>'数据-取费表'!E29</f>
        <v>5.6000000000000001E-2</v>
      </c>
      <c r="G53" s="2575"/>
      <c r="H53" s="947"/>
      <c r="I53" s="2979"/>
      <c r="J53" s="2854"/>
      <c r="K53" s="2535">
        <v>2</v>
      </c>
      <c r="L53" s="3991" t="s">
        <v>2754</v>
      </c>
      <c r="M53" s="3991"/>
      <c r="N53" s="2537">
        <f t="shared" ref="N53:P54" si="1">D55</f>
        <v>0</v>
      </c>
      <c r="O53" s="2535" t="str">
        <f t="shared" si="1"/>
        <v>销售额×税（费）率</v>
      </c>
      <c r="P53" s="2538" t="str">
        <f t="shared" si="1"/>
        <v>免征</v>
      </c>
      <c r="Q53" s="1308"/>
    </row>
    <row r="54" spans="1:17" ht="12" customHeight="1">
      <c r="A54" s="2081" t="s">
        <v>1795</v>
      </c>
      <c r="B54" s="3924" t="s">
        <v>2833</v>
      </c>
      <c r="C54" s="3962"/>
      <c r="D54" s="1099">
        <f ca="1">C68</f>
        <v>678635</v>
      </c>
      <c r="E54" s="264" t="s">
        <v>1796</v>
      </c>
      <c r="F54" s="2574">
        <f>'数据-取费表'!E29</f>
        <v>5.6000000000000001E-2</v>
      </c>
      <c r="G54" s="2575"/>
      <c r="H54" s="2980"/>
      <c r="I54" s="2979"/>
      <c r="J54" s="2854"/>
      <c r="K54" s="2535">
        <v>3</v>
      </c>
      <c r="L54" s="3991" t="s">
        <v>2755</v>
      </c>
      <c r="M54" s="3991"/>
      <c r="N54" s="2537">
        <f t="shared" si="1"/>
        <v>0</v>
      </c>
      <c r="O54" s="2535" t="str">
        <f t="shared" si="1"/>
        <v>增值额×税（费）率</v>
      </c>
      <c r="P54" s="2539" t="str">
        <f t="shared" si="1"/>
        <v>免征</v>
      </c>
      <c r="Q54" s="1308"/>
    </row>
    <row r="55" spans="1:17" ht="24" customHeight="1">
      <c r="A55" s="3922" t="s">
        <v>1798</v>
      </c>
      <c r="B55" s="3923"/>
      <c r="C55" s="3923"/>
      <c r="D55" s="12">
        <f>IF(H55="个人住宅",0,ROUND(D45*I55,0))</f>
        <v>0</v>
      </c>
      <c r="E55" s="2091" t="s">
        <v>1799</v>
      </c>
      <c r="F55" s="2574" t="str">
        <f>IF(H55="正常",I55,"免征")</f>
        <v>免征</v>
      </c>
      <c r="G55" s="2575"/>
      <c r="H55" s="2566" t="s">
        <v>2736</v>
      </c>
      <c r="I55" s="74">
        <f>'数据-取费表'!E37</f>
        <v>5.0000000000000001E-4</v>
      </c>
      <c r="J55" s="2854"/>
      <c r="K55" s="2535" t="str">
        <f>IF(H59="非个人房产","",4)</f>
        <v/>
      </c>
      <c r="L55" s="3991" t="str">
        <f>IF(H59="非个人房产","——","个人所得税")</f>
        <v>——</v>
      </c>
      <c r="M55" s="3991"/>
      <c r="N55" s="2540" t="str">
        <f>D59</f>
        <v>——</v>
      </c>
      <c r="O55" s="2541" t="str">
        <f>E59</f>
        <v>——</v>
      </c>
      <c r="P55" s="2542" t="str">
        <f>F59</f>
        <v>——</v>
      </c>
      <c r="Q55" s="1308"/>
    </row>
    <row r="56" spans="1:17" ht="24.75">
      <c r="A56" s="3922" t="s">
        <v>1801</v>
      </c>
      <c r="B56" s="3923"/>
      <c r="C56" s="3923"/>
      <c r="D56" s="12">
        <f>IF(H56="个人住宅",D57,D58)</f>
        <v>0</v>
      </c>
      <c r="E56" s="2091" t="s">
        <v>1802</v>
      </c>
      <c r="F56" s="2574" t="str">
        <f>IF(H56="正常",F58,"免征")</f>
        <v>免征</v>
      </c>
      <c r="G56" s="2576" t="s">
        <v>1803</v>
      </c>
      <c r="H56" s="2577" t="s">
        <v>2736</v>
      </c>
      <c r="I56" s="2981"/>
      <c r="J56" s="2854"/>
      <c r="K56" s="2535" t="str">
        <f>IF(项目基本情况!I6="上海银行",IF(K55="",4,K55+1),"")</f>
        <v/>
      </c>
      <c r="L56" s="4005" t="str">
        <f>IF(项目基本情况!I6="上海银行","其他处置费用","")</f>
        <v/>
      </c>
      <c r="M56" s="4006"/>
      <c r="N56" s="2537" t="str">
        <f>IF(项目基本情况!I6="上海银行",N69,"")</f>
        <v/>
      </c>
      <c r="O56" s="4005" t="str">
        <f>IF(项目基本情况!I6="上海银行","包含处置中涉及的律师、诉讼、拍卖、评估等费用","")</f>
        <v/>
      </c>
      <c r="P56" s="4017"/>
      <c r="Q56" s="1308"/>
    </row>
    <row r="57" spans="1:17" ht="12.75">
      <c r="A57" s="2081" t="s">
        <v>1778</v>
      </c>
      <c r="B57" s="3924" t="s">
        <v>1804</v>
      </c>
      <c r="C57" s="3962"/>
      <c r="D57" s="2567">
        <v>0</v>
      </c>
      <c r="E57" s="261" t="s">
        <v>1780</v>
      </c>
      <c r="F57" s="235"/>
      <c r="G57" s="2575"/>
      <c r="H57" s="2981"/>
      <c r="I57" s="2981"/>
      <c r="J57" s="2854"/>
      <c r="K57" s="3991">
        <f>IF(AND(K55="",K56=""),4,IF(项目基本情况!I6="上海银行",K56+1,K55+1))</f>
        <v>4</v>
      </c>
      <c r="L57" s="3991" t="s">
        <v>2756</v>
      </c>
      <c r="M57" s="2543" t="s">
        <v>2757</v>
      </c>
      <c r="N57" s="2544"/>
      <c r="O57" s="2545">
        <f ca="1">SUMIF(N52:N56,"&lt;9e307")</f>
        <v>678635</v>
      </c>
      <c r="P57" s="2546"/>
      <c r="Q57" s="1306" t="e">
        <f ca="1">O57/N49</f>
        <v>#VALUE!</v>
      </c>
    </row>
    <row r="58" spans="1:17" ht="24.75">
      <c r="A58" s="2081" t="s">
        <v>1789</v>
      </c>
      <c r="B58" s="3924" t="s">
        <v>1807</v>
      </c>
      <c r="C58" s="3961"/>
      <c r="D58" s="12">
        <f ca="1">IF(H58="转让取得",C81,C97)</f>
        <v>7202011</v>
      </c>
      <c r="E58" s="2091" t="s">
        <v>1802</v>
      </c>
      <c r="F58" s="235" t="s">
        <v>48</v>
      </c>
      <c r="G58" s="2575"/>
      <c r="H58" s="2577" t="s">
        <v>1808</v>
      </c>
      <c r="I58" s="2981"/>
      <c r="J58" s="2854"/>
      <c r="K58" s="3991"/>
      <c r="L58" s="3991"/>
      <c r="M58" s="2543" t="s">
        <v>2758</v>
      </c>
      <c r="N58" s="2547"/>
      <c r="O58" s="2548" t="str">
        <f ca="1">IF(H19="元",NUMBERSTRING(INT(O57),2)&amp;"元整",NUMBERSTRING(INT(O57*10000),2)&amp;"元整")</f>
        <v>陆拾柒万捌仟陆佰叁拾伍元整</v>
      </c>
      <c r="P58" s="2549"/>
      <c r="Q58" s="1308"/>
    </row>
    <row r="59" spans="1:17" ht="24.75" thickBot="1">
      <c r="A59" s="3946" t="s">
        <v>1810</v>
      </c>
      <c r="B59" s="3947"/>
      <c r="C59" s="3947"/>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4" t="s">
        <v>2811</v>
      </c>
      <c r="H59" s="2095" t="s">
        <v>2821</v>
      </c>
      <c r="I59" s="2883" t="s">
        <v>2822</v>
      </c>
      <c r="J59" s="2854"/>
      <c r="K59" s="3989">
        <f>K57+1</f>
        <v>5</v>
      </c>
      <c r="L59" s="3991" t="s">
        <v>2759</v>
      </c>
      <c r="M59" s="2535" t="s">
        <v>2757</v>
      </c>
      <c r="N59" s="2550"/>
      <c r="O59" s="2551" t="e">
        <f ca="1">N49-O57</f>
        <v>#VALUE!</v>
      </c>
      <c r="P59" s="2552"/>
      <c r="Q59" s="1308"/>
    </row>
    <row r="60" spans="1:17" ht="12" customHeight="1">
      <c r="A60" s="1457"/>
      <c r="B60" s="1461"/>
      <c r="C60" s="1461"/>
      <c r="D60" s="1461"/>
      <c r="E60" s="812"/>
      <c r="F60" s="2982"/>
      <c r="G60" s="2982"/>
      <c r="H60" s="2983"/>
      <c r="I60" s="31"/>
      <c r="K60" s="3990"/>
      <c r="L60" s="3991"/>
      <c r="M60" s="2543" t="s">
        <v>2758</v>
      </c>
      <c r="N60" s="2547"/>
      <c r="O60" s="2548" t="e">
        <f ca="1">IF(H19="元",NUMBERSTRING(INT(O59),2)&amp;"元整",NUMBERSTRING(INT(O59*10000),2)&amp;"元整")</f>
        <v>#VALUE!</v>
      </c>
      <c r="P60" s="2549"/>
      <c r="Q60" s="1308"/>
    </row>
    <row r="61" spans="1:17" ht="13.5" thickBot="1">
      <c r="A61" s="3971" t="s">
        <v>1812</v>
      </c>
      <c r="B61" s="3971"/>
      <c r="C61" s="3971"/>
      <c r="D61" s="3971"/>
      <c r="E61" s="3971"/>
      <c r="F61" s="2982"/>
      <c r="G61" s="2982"/>
      <c r="H61" s="2984"/>
      <c r="I61" s="31"/>
      <c r="K61" s="2535">
        <f>K59+1</f>
        <v>6</v>
      </c>
      <c r="L61" s="3991" t="s">
        <v>2760</v>
      </c>
      <c r="M61" s="3991"/>
      <c r="N61" s="2553"/>
      <c r="O61" s="2554" t="e">
        <f ca="1">IF(H19="元",ROUND(O59/项目基本情况!C12,0),ROUND(O59*10000/项目基本情况!C12,0))</f>
        <v>#VALUE!</v>
      </c>
      <c r="P61" s="2555"/>
      <c r="Q61" s="1308"/>
    </row>
    <row r="62" spans="1:17" ht="12.75">
      <c r="A62" s="3980" t="s">
        <v>1814</v>
      </c>
      <c r="B62" s="3981"/>
      <c r="C62" s="1606"/>
      <c r="D62" s="1606" t="s">
        <v>1815</v>
      </c>
      <c r="E62" s="45" t="s">
        <v>1816</v>
      </c>
      <c r="F62" s="2982"/>
      <c r="G62" s="2982"/>
      <c r="H62" s="2984"/>
      <c r="I62" s="31"/>
      <c r="K62" s="2556"/>
      <c r="L62" s="2556"/>
      <c r="M62" s="2556"/>
      <c r="N62" s="2556"/>
      <c r="O62" s="2556"/>
      <c r="P62" s="2556"/>
      <c r="Q62" s="1308"/>
    </row>
    <row r="63" spans="1:17" ht="12.75">
      <c r="A63" s="46">
        <v>1</v>
      </c>
      <c r="B63" s="47" t="s">
        <v>1817</v>
      </c>
      <c r="C63" s="2785">
        <f ca="1">ROUND((C64+C65)/(1+'数据-取费表'!F30),0)</f>
        <v>12118478</v>
      </c>
      <c r="D63" s="47"/>
      <c r="E63" s="48"/>
      <c r="F63" s="2982"/>
      <c r="G63" s="2982"/>
      <c r="H63" s="2984"/>
      <c r="I63" s="31"/>
      <c r="K63" s="4007" t="s">
        <v>2761</v>
      </c>
      <c r="L63" s="2557" t="s">
        <v>2762</v>
      </c>
      <c r="M63" s="2557" t="e">
        <f>IF(N49&gt;10000,N49*0.5%,IF(AND(N49&gt;1000,N49&lt;=10000),N49*1%,IF(AND(N49&gt;100,N49&lt;=1000),N49*3%,IF(AND(N49&gt;10,N49&lt;=100),N49*5%,N49*8%))))</f>
        <v>#VALUE!</v>
      </c>
      <c r="N63" s="2558" t="e">
        <f>ROUND(M63,1)</f>
        <v>#VALUE!</v>
      </c>
      <c r="O63" s="2556"/>
      <c r="P63" s="2556"/>
      <c r="Q63" s="1308"/>
    </row>
    <row r="64" spans="1:17" ht="12.75">
      <c r="A64" s="49" t="s">
        <v>71</v>
      </c>
      <c r="B64" s="50" t="s">
        <v>1820</v>
      </c>
      <c r="C64" s="2786">
        <f ca="1">D45</f>
        <v>12724402</v>
      </c>
      <c r="D64" s="50" t="s">
        <v>41</v>
      </c>
      <c r="E64" s="52"/>
      <c r="F64" s="2982"/>
      <c r="G64" s="2982"/>
      <c r="H64" s="2984"/>
      <c r="I64" s="31"/>
      <c r="K64" s="4007"/>
      <c r="L64" s="2557" t="s">
        <v>2763</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2764</v>
      </c>
      <c r="P64" s="2556"/>
      <c r="Q64" s="1308"/>
    </row>
    <row r="65" spans="1:36" ht="12.75">
      <c r="A65" s="49" t="s">
        <v>72</v>
      </c>
      <c r="B65" s="50" t="s">
        <v>1823</v>
      </c>
      <c r="C65" s="2787"/>
      <c r="D65" s="50"/>
      <c r="E65" s="52"/>
      <c r="F65" s="2982"/>
      <c r="G65" s="2982"/>
      <c r="H65" s="2984"/>
      <c r="I65" s="31"/>
      <c r="K65" s="4007"/>
      <c r="L65" s="2557" t="s">
        <v>2765</v>
      </c>
      <c r="M65" s="2557" t="e">
        <f>IF(N49&gt;1000,N49*0.1%,IF(AND(N49&gt;500,N49&lt;=1000),N49*0.5%,IF(AND(N49&gt;50,N49&lt;=500),N49*1%,IF(AND(N49&gt;1,N49&lt;=50),N49*1.5%))))</f>
        <v>#VALUE!</v>
      </c>
      <c r="N65" s="2558" t="e">
        <f t="shared" si="2"/>
        <v>#VALUE!</v>
      </c>
      <c r="O65" s="2556" t="s">
        <v>2764</v>
      </c>
      <c r="P65" s="2556"/>
      <c r="Q65" s="1308"/>
    </row>
    <row r="66" spans="1:36" ht="12.75">
      <c r="A66" s="53" t="s">
        <v>47</v>
      </c>
      <c r="B66" s="54" t="s">
        <v>1825</v>
      </c>
      <c r="C66" s="2788"/>
      <c r="D66" s="54" t="s">
        <v>41</v>
      </c>
      <c r="E66" s="1316" t="s">
        <v>1826</v>
      </c>
      <c r="F66" s="2982"/>
      <c r="G66" s="2982"/>
      <c r="H66" s="2984"/>
      <c r="I66" s="31"/>
      <c r="K66" s="4007"/>
      <c r="L66" s="2557" t="s">
        <v>2766</v>
      </c>
      <c r="M66" s="2557" t="e">
        <f>N49*0.5%</f>
        <v>#VALUE!</v>
      </c>
      <c r="N66" s="2558" t="e">
        <f>IF(M66&gt;0.5,0.5,ROUND(M66,0))</f>
        <v>#VALUE!</v>
      </c>
      <c r="O66" s="2556" t="s">
        <v>2767</v>
      </c>
      <c r="P66" s="2556"/>
      <c r="Q66" s="1308"/>
    </row>
    <row r="67" spans="1:36" ht="12.75">
      <c r="A67" s="53" t="s">
        <v>42</v>
      </c>
      <c r="B67" s="54" t="s">
        <v>1829</v>
      </c>
      <c r="C67" s="2789">
        <f ca="1">C63-C66</f>
        <v>12118478</v>
      </c>
      <c r="D67" s="50" t="s">
        <v>41</v>
      </c>
      <c r="E67" s="52"/>
      <c r="F67" s="2982"/>
      <c r="G67" s="2982"/>
      <c r="H67" s="2984"/>
      <c r="I67" s="31"/>
      <c r="K67" s="4007"/>
      <c r="L67" s="2557" t="s">
        <v>2768</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1831</v>
      </c>
      <c r="C68" s="2790">
        <f ca="1">IF(C67&lt;=0,0,ROUND(C67*D68,0))</f>
        <v>678635</v>
      </c>
      <c r="D68" s="2241">
        <f>'数据-取费表'!E29</f>
        <v>5.6000000000000001E-2</v>
      </c>
      <c r="E68" s="57"/>
      <c r="F68" s="2982"/>
      <c r="G68" s="2982"/>
      <c r="H68" s="2984"/>
      <c r="I68" s="31"/>
      <c r="K68" s="4007"/>
      <c r="L68" s="2557" t="s">
        <v>2769</v>
      </c>
      <c r="M68" s="2557" t="e">
        <f>IF(N49&gt;10000,N49*0.5%,IF(AND(N49&gt;5000,N49&lt;=10000),N49*1%,IF(AND(N49&gt;1000,N49&lt;=5000),N49*2%,IF(AND(N49&gt;200,N49&lt;=1000),N49*3%,N49*5%))))</f>
        <v>#VALUE!</v>
      </c>
      <c r="N68" s="2558" t="e">
        <f>ROUND(M68,1)</f>
        <v>#VALUE!</v>
      </c>
      <c r="O68" s="2556"/>
      <c r="P68" s="2556"/>
      <c r="Q68" s="1308"/>
    </row>
    <row r="69" spans="1:36" s="1465" customFormat="1" ht="7.5" customHeight="1">
      <c r="A69" s="1477"/>
      <c r="B69" s="1478"/>
      <c r="C69" s="1479"/>
      <c r="D69" s="1480"/>
      <c r="E69" s="1481"/>
      <c r="F69" s="812"/>
      <c r="G69" s="812"/>
      <c r="H69" s="1470"/>
      <c r="I69" s="1461"/>
      <c r="J69" s="2842"/>
      <c r="K69" s="4007"/>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983" t="s">
        <v>1834</v>
      </c>
      <c r="B70" s="3984"/>
      <c r="C70" s="3984"/>
      <c r="D70" s="3984"/>
      <c r="E70" s="3984"/>
      <c r="F70" s="3984"/>
      <c r="G70" s="3984"/>
      <c r="H70" s="3984"/>
      <c r="I70" s="1482"/>
      <c r="J70" s="285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980" t="s">
        <v>1814</v>
      </c>
      <c r="B71" s="3981"/>
      <c r="C71" s="1606"/>
      <c r="D71" s="1606" t="s">
        <v>1815</v>
      </c>
      <c r="E71" s="58" t="s">
        <v>1816</v>
      </c>
      <c r="F71" s="59"/>
      <c r="G71" s="59"/>
      <c r="H71" s="60"/>
      <c r="I71" s="1485"/>
      <c r="J71" s="285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89">
        <f ca="1">ROUND(D45/(1+'数据-取费表'!F30),0)</f>
        <v>12118478</v>
      </c>
      <c r="D72" s="50" t="s">
        <v>41</v>
      </c>
      <c r="E72" s="12" t="s">
        <v>1836</v>
      </c>
      <c r="F72" s="2088"/>
      <c r="G72" s="2088"/>
      <c r="H72" s="62"/>
      <c r="I72" s="1485"/>
      <c r="J72" s="285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89">
        <f ca="1">C74+C78</f>
        <v>72711</v>
      </c>
      <c r="D73" s="50" t="s">
        <v>41</v>
      </c>
      <c r="E73" s="2087"/>
      <c r="F73" s="2088"/>
      <c r="G73" s="2088"/>
      <c r="H73" s="62"/>
      <c r="I73" s="1485"/>
      <c r="J73" s="285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7"/>
      <c r="F74" s="2088"/>
      <c r="G74" s="2088"/>
      <c r="H74" s="62"/>
      <c r="I74" s="1485"/>
      <c r="J74" s="285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7"/>
      <c r="D75" s="50" t="s">
        <v>41</v>
      </c>
      <c r="E75" s="64" t="s">
        <v>1840</v>
      </c>
      <c r="F75" s="2793" t="s">
        <v>1841</v>
      </c>
      <c r="G75" s="64" t="s">
        <v>1842</v>
      </c>
      <c r="H75" s="2794"/>
      <c r="I75" s="9"/>
      <c r="J75" s="285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5">
        <v>0.05</v>
      </c>
      <c r="E76" s="3924" t="s">
        <v>1844</v>
      </c>
      <c r="F76" s="3961"/>
      <c r="G76" s="3961"/>
      <c r="H76" s="3975"/>
      <c r="I76" s="1485"/>
      <c r="J76" s="285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6">
        <f>'数据-取费表'!E36+'数据-取费表'!E37</f>
        <v>3.0499999999999999E-2</v>
      </c>
      <c r="E77" s="12" t="s">
        <v>1846</v>
      </c>
      <c r="F77" s="2094"/>
      <c r="G77" s="1486" t="s">
        <v>1847</v>
      </c>
      <c r="H77" s="2089" t="str">
        <f>IF(G77="个人买卖住房","免征印花税"," ")</f>
        <v xml:space="preserve"> </v>
      </c>
      <c r="I77" s="1485"/>
      <c r="J77" s="285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7">
        <f ca="1">ROUND(D45*D78/(1+'数据-取费表'!F30),0)</f>
        <v>72711</v>
      </c>
      <c r="D78" s="2798">
        <f>'数据-取费表'!E31</f>
        <v>6.000000000000001E-3</v>
      </c>
      <c r="E78" s="3955" t="s">
        <v>1849</v>
      </c>
      <c r="F78" s="3956"/>
      <c r="G78" s="3956"/>
      <c r="H78" s="3957"/>
      <c r="I78" s="1487"/>
      <c r="J78" s="285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89">
        <f ca="1">C72-C73</f>
        <v>12045767</v>
      </c>
      <c r="D79" s="50" t="s">
        <v>41</v>
      </c>
      <c r="E79" s="2087"/>
      <c r="F79" s="2088"/>
      <c r="G79" s="2088"/>
      <c r="H79" s="62"/>
      <c r="I79" s="1485"/>
      <c r="J79" s="285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799">
        <f ca="1">IF(C79&lt;=0,0,C79/C73)</f>
        <v>165.66636409896714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5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0">
        <f ca="1">ROUND(IF(C79&lt;=0,0,IF(C80&gt;=200%,C79*60%-C73*35%,IF(C80&gt;=100%,C79*50%-C73*15%,IF(C80&gt;=50%,C79*40%-C73*5%,IF(C80&lt;50%,C79*30%,0))))),0)</f>
        <v>7202011</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983" t="s">
        <v>1853</v>
      </c>
      <c r="B83" s="3984"/>
      <c r="C83" s="3984"/>
      <c r="D83" s="3984"/>
      <c r="E83" s="3984"/>
      <c r="F83" s="3984"/>
      <c r="G83" s="3984"/>
      <c r="H83" s="3984"/>
      <c r="I83" s="9"/>
      <c r="J83" s="285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980" t="s">
        <v>1814</v>
      </c>
      <c r="B84" s="3981"/>
      <c r="C84" s="1606"/>
      <c r="D84" s="1606" t="s">
        <v>1815</v>
      </c>
      <c r="E84" s="58" t="s">
        <v>1816</v>
      </c>
      <c r="F84" s="59"/>
      <c r="G84" s="59"/>
      <c r="H84" s="72"/>
      <c r="I84" s="9"/>
      <c r="J84" s="285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9">
        <f ca="1">ROUND(D45/(1+'数据-取费表'!F30),0)</f>
        <v>12118478</v>
      </c>
      <c r="D85" s="50" t="s">
        <v>41</v>
      </c>
      <c r="E85" s="2087" t="s">
        <v>1836</v>
      </c>
      <c r="F85" s="2088"/>
      <c r="G85" s="2088"/>
      <c r="H85" s="73"/>
      <c r="I85" s="9"/>
      <c r="J85" s="285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9">
        <f ca="1">IF(H88="仅含出让金",C87+C90+C91+C92+C93+C94,C87+C91+C92+C93+C94)</f>
        <v>72711</v>
      </c>
      <c r="D86" s="2801"/>
      <c r="E86" s="2087"/>
      <c r="F86" s="2088"/>
      <c r="G86" s="2088"/>
      <c r="H86" s="73"/>
      <c r="I86" s="9"/>
      <c r="J86" s="285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7">
        <f>C88+C89</f>
        <v>0</v>
      </c>
      <c r="D87" s="2798"/>
      <c r="E87" s="2084"/>
      <c r="F87" s="2085"/>
      <c r="G87" s="2085"/>
      <c r="H87" s="2086"/>
      <c r="I87" s="9"/>
      <c r="J87" s="285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2"/>
      <c r="D88" s="2798"/>
      <c r="E88" s="74" t="s">
        <v>1856</v>
      </c>
      <c r="F88" s="2085"/>
      <c r="G88" s="75" t="s">
        <v>1857</v>
      </c>
      <c r="H88" s="1488"/>
      <c r="I88" s="9"/>
      <c r="J88" s="2857"/>
      <c r="K88" s="2973" t="s">
        <v>2815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7">
        <f>ROUND(C88*D89,0)</f>
        <v>0</v>
      </c>
      <c r="D89" s="2798">
        <f>'数据-取费表'!E36+'数据-取费表'!E37</f>
        <v>3.0499999999999999E-2</v>
      </c>
      <c r="E89" s="74" t="s">
        <v>1858</v>
      </c>
      <c r="F89" s="2085"/>
      <c r="G89" s="2085"/>
      <c r="H89" s="2086"/>
      <c r="I89" s="9"/>
      <c r="J89" s="285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2"/>
      <c r="D90" s="2798"/>
      <c r="E90" s="74" t="str">
        <f>IF(H88="-","土地取得成本中已包含该笔费用"," ")</f>
        <v xml:space="preserve"> </v>
      </c>
      <c r="F90" s="2085"/>
      <c r="G90" s="4016" t="s">
        <v>2731</v>
      </c>
      <c r="H90" s="4016"/>
      <c r="I90" s="9"/>
      <c r="J90" s="2857"/>
      <c r="K90" s="2973" t="s">
        <v>2816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7">
        <f>IF(H91="——",成本法!C33,I91)</f>
        <v>0</v>
      </c>
      <c r="D91" s="2798"/>
      <c r="E91" s="3955" t="s">
        <v>1861</v>
      </c>
      <c r="F91" s="3956"/>
      <c r="G91" s="3956"/>
      <c r="H91" s="1489" t="s">
        <v>1862</v>
      </c>
      <c r="I91" s="1490"/>
      <c r="J91" s="285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7">
        <f>ROUND((C87+C90+C91)*D92,0)</f>
        <v>0</v>
      </c>
      <c r="D92" s="2841">
        <v>0.1</v>
      </c>
      <c r="E92" s="3955" t="s">
        <v>1864</v>
      </c>
      <c r="F92" s="3956"/>
      <c r="G92" s="3956"/>
      <c r="H92" s="3957"/>
      <c r="I92" s="9"/>
      <c r="J92" s="2857"/>
      <c r="K92" s="2974" t="s">
        <v>2817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7">
        <f ca="1">ROUND(D45*D93/(1+'数据-取费表'!F30),0)</f>
        <v>72711</v>
      </c>
      <c r="D93" s="2798">
        <f>'数据-取费表'!E31</f>
        <v>6.000000000000001E-3</v>
      </c>
      <c r="E93" s="3955" t="s">
        <v>1849</v>
      </c>
      <c r="F93" s="3956"/>
      <c r="G93" s="3956"/>
      <c r="H93" s="3957"/>
      <c r="I93" s="9"/>
      <c r="J93" s="285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7">
        <f>ROUND((C87+C90+C91)*D94,0)</f>
        <v>0</v>
      </c>
      <c r="D94" s="2798">
        <v>0.2</v>
      </c>
      <c r="E94" s="3955" t="s">
        <v>1866</v>
      </c>
      <c r="F94" s="3956"/>
      <c r="G94" s="3956"/>
      <c r="H94" s="3957"/>
      <c r="I94" s="9"/>
      <c r="J94" s="285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89">
        <f ca="1">ROUND(C85-C86,0)</f>
        <v>12045767</v>
      </c>
      <c r="D95" s="50" t="s">
        <v>41</v>
      </c>
      <c r="E95" s="2087"/>
      <c r="F95" s="2088"/>
      <c r="G95" s="2088"/>
      <c r="H95" s="73"/>
      <c r="I95" s="9"/>
      <c r="J95" s="285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799">
        <f ca="1">IF(C95&lt;=0,0,C95/C86)</f>
        <v>165.66636409896714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0">
        <f ca="1">ROUND(IF(C95&lt;=0,0,IF(C96&gt;=200%,C95*60%-C86*35%,IF(C96&gt;=100%,C95*50%-C86*15%,IF(C96&gt;=50%,C95*40%-C86*5%,IF(C96&lt;50%,C95*30%,0))))),0)</f>
        <v>7202011</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4002" t="s">
        <v>1868</v>
      </c>
      <c r="B99" s="4003"/>
      <c r="C99" s="4003"/>
      <c r="D99" s="4004"/>
      <c r="E99" s="1461"/>
      <c r="F99" s="4011" t="s">
        <v>1869</v>
      </c>
      <c r="G99" s="4012"/>
      <c r="H99" s="4012"/>
      <c r="I99" s="4013"/>
      <c r="J99" s="2860"/>
    </row>
    <row r="100" spans="1:36" ht="15">
      <c r="A100" s="4014" t="s">
        <v>1870</v>
      </c>
      <c r="B100" s="4015"/>
      <c r="C100" s="1307" t="str">
        <f>C4</f>
        <v>成本法</v>
      </c>
      <c r="D100" s="2808" t="str">
        <f>D4</f>
        <v>收益法</v>
      </c>
      <c r="E100" s="1461"/>
      <c r="F100" s="3927" t="s">
        <v>2775</v>
      </c>
      <c r="G100" s="3928"/>
      <c r="H100" s="3927" t="s">
        <v>2776</v>
      </c>
      <c r="I100" s="3926"/>
      <c r="J100" s="2861"/>
    </row>
    <row r="101" spans="1:36" ht="12.75">
      <c r="A101" s="3994" t="s">
        <v>2808</v>
      </c>
      <c r="B101" s="2306" t="str">
        <f>IF(H19="元","总价（元）","总价（万元）")</f>
        <v>总价（元）</v>
      </c>
      <c r="C101" s="1307">
        <f ca="1">C19</f>
        <v>16303008</v>
      </c>
      <c r="D101" s="2808">
        <f ca="1">D19</f>
        <v>-1589126</v>
      </c>
      <c r="E101" s="1461"/>
      <c r="F101" s="3927" t="str">
        <f>项目基本情况!I1</f>
        <v>北京市房地产</v>
      </c>
      <c r="G101" s="3928"/>
      <c r="H101" s="3925">
        <f>项目基本情况!C12</f>
        <v>459.68</v>
      </c>
      <c r="I101" s="3926"/>
      <c r="J101" s="2861"/>
    </row>
    <row r="102" spans="1:36" ht="12.75">
      <c r="A102" s="3994"/>
      <c r="B102" s="2306" t="s">
        <v>2809</v>
      </c>
      <c r="C102" s="2809">
        <f ca="1">C20</f>
        <v>35466</v>
      </c>
      <c r="D102" s="2810">
        <f ca="1">D20</f>
        <v>-3457</v>
      </c>
      <c r="E102" s="1461"/>
      <c r="F102" s="3937" t="s">
        <v>2805</v>
      </c>
      <c r="G102" s="3938"/>
      <c r="H102" s="2818" t="str">
        <f>C106</f>
        <v>总价（元）</v>
      </c>
      <c r="I102" s="2819">
        <f ca="1">H121</f>
        <v>12724402</v>
      </c>
      <c r="J102" s="2861"/>
    </row>
    <row r="103" spans="1:36" ht="12.75">
      <c r="A103" s="3994" t="s">
        <v>2810</v>
      </c>
      <c r="B103" s="2244" t="str">
        <f>B101</f>
        <v>总价（元）</v>
      </c>
      <c r="C103" s="2813">
        <f ca="1">H121</f>
        <v>12724402</v>
      </c>
      <c r="D103" s="2811"/>
      <c r="E103" s="1461"/>
      <c r="F103" s="3937"/>
      <c r="G103" s="3938"/>
      <c r="H103" s="2818" t="s">
        <v>2778</v>
      </c>
      <c r="I103" s="52">
        <f ca="1">I121</f>
        <v>27681</v>
      </c>
      <c r="J103" s="2845"/>
    </row>
    <row r="104" spans="1:36" ht="13.5" thickBot="1">
      <c r="A104" s="3995"/>
      <c r="B104" s="2815" t="s">
        <v>2809</v>
      </c>
      <c r="C104" s="2816">
        <f ca="1">I121</f>
        <v>27681</v>
      </c>
      <c r="D104" s="2817"/>
      <c r="E104" s="1461"/>
      <c r="F104" s="3937"/>
      <c r="G104" s="3938"/>
      <c r="H104" s="3996"/>
      <c r="I104" s="3997"/>
      <c r="J104" s="2862"/>
    </row>
    <row r="105" spans="1:36" ht="15">
      <c r="A105" s="4002" t="s">
        <v>1871</v>
      </c>
      <c r="B105" s="4003"/>
      <c r="C105" s="4003"/>
      <c r="D105" s="4004"/>
      <c r="E105" s="1461"/>
      <c r="F105" s="4000" t="s">
        <v>2779</v>
      </c>
      <c r="G105" s="4001"/>
      <c r="H105" s="2820" t="str">
        <f>C108</f>
        <v>总额（元）</v>
      </c>
      <c r="I105" s="2819">
        <f>SUMIF(I106:I108,"&lt;9E307")</f>
        <v>0</v>
      </c>
      <c r="J105" s="2861"/>
    </row>
    <row r="106" spans="1:36" ht="14.25">
      <c r="A106" s="3937" t="s">
        <v>2802</v>
      </c>
      <c r="B106" s="3938"/>
      <c r="C106" s="2818" t="str">
        <f>B101</f>
        <v>总价（元）</v>
      </c>
      <c r="D106" s="2819">
        <f ca="1">H121</f>
        <v>12724402</v>
      </c>
      <c r="E106" s="1461"/>
      <c r="F106" s="3939" t="s">
        <v>2780</v>
      </c>
      <c r="G106" s="3940"/>
      <c r="H106" s="2820" t="str">
        <f>C109</f>
        <v>总额（元）</v>
      </c>
      <c r="I106" s="2821">
        <f>IF(D36="同一抵押权人同一抵押物续贷",C36&amp;"（续贷，未扣减，详见特别提示）",C36)</f>
        <v>0</v>
      </c>
      <c r="J106" s="2845"/>
      <c r="L106" s="1464" t="str">
        <f>IF(D123=0,"本次评估不存在"&amp;A123&amp;"。","本次评估"&amp;A123&amp;"为"&amp;D123&amp;"元人民币。")</f>
        <v>本次评估不存在——。</v>
      </c>
      <c r="M106" s="1461"/>
      <c r="N106" s="1461"/>
      <c r="O106" s="1461"/>
      <c r="P106" s="1461"/>
      <c r="Q106" s="1461"/>
    </row>
    <row r="107" spans="1:36" ht="12.75">
      <c r="A107" s="3937"/>
      <c r="B107" s="3938"/>
      <c r="C107" s="2818" t="s">
        <v>2803</v>
      </c>
      <c r="D107" s="52">
        <f ca="1">I121</f>
        <v>27681</v>
      </c>
      <c r="E107" s="1461"/>
      <c r="F107" s="3939" t="s">
        <v>2781</v>
      </c>
      <c r="G107" s="3940"/>
      <c r="H107" s="2820" t="str">
        <f>C110</f>
        <v>总额（元）</v>
      </c>
      <c r="I107" s="52">
        <f>C37</f>
        <v>0</v>
      </c>
      <c r="J107" s="2845"/>
    </row>
    <row r="108" spans="1:36" ht="12.75">
      <c r="A108" s="3944" t="s">
        <v>2779</v>
      </c>
      <c r="B108" s="3945"/>
      <c r="C108" s="2820" t="str">
        <f>IF(H19="元","总额（元）","总额（万元）")</f>
        <v>总额（元）</v>
      </c>
      <c r="D108" s="2819">
        <f>IF(D36="正常操作",I106+I107+I108,I107+I108)</f>
        <v>0</v>
      </c>
      <c r="E108" s="1461"/>
      <c r="F108" s="3939" t="s">
        <v>2806</v>
      </c>
      <c r="G108" s="3940"/>
      <c r="H108" s="2820" t="str">
        <f>C111</f>
        <v>总额（元）</v>
      </c>
      <c r="I108" s="52">
        <f>C38</f>
        <v>0</v>
      </c>
      <c r="J108" s="2845"/>
    </row>
    <row r="109" spans="1:36" ht="12.75">
      <c r="A109" s="3939" t="s">
        <v>2780</v>
      </c>
      <c r="B109" s="3940"/>
      <c r="C109" s="2820" t="str">
        <f>C108</f>
        <v>总额（元）</v>
      </c>
      <c r="D109" s="52">
        <f>IF(D36="同一抵押权人同一抵押物续贷",C36&amp;"（未扣减，详见特别提示）",C36)</f>
        <v>0</v>
      </c>
      <c r="E109" s="1461"/>
      <c r="F109" s="3937"/>
      <c r="G109" s="3938"/>
      <c r="H109" s="3998"/>
      <c r="I109" s="3999"/>
      <c r="J109" s="2863"/>
    </row>
    <row r="110" spans="1:36" ht="28.5" customHeight="1">
      <c r="A110" s="3939" t="s">
        <v>2804</v>
      </c>
      <c r="B110" s="3940"/>
      <c r="C110" s="2820" t="str">
        <f>C108</f>
        <v>总额（元）</v>
      </c>
      <c r="D110" s="52">
        <f>C37</f>
        <v>0</v>
      </c>
      <c r="E110" s="1461"/>
      <c r="F110" s="3929" t="str">
        <f>IF(项目基本情况!F5="已注销","——","3.房地产抵押价值")</f>
        <v>3.房地产抵押价值</v>
      </c>
      <c r="G110" s="3930"/>
      <c r="H110" s="2806" t="str">
        <f>C112</f>
        <v>总价（元）</v>
      </c>
      <c r="I110" s="2819">
        <f ca="1">IF(F110="——","——",I102-I105)</f>
        <v>12724402</v>
      </c>
      <c r="J110" s="2861"/>
    </row>
    <row r="111" spans="1:36" ht="12.75">
      <c r="A111" s="3939" t="s">
        <v>2783</v>
      </c>
      <c r="B111" s="3940"/>
      <c r="C111" s="2820" t="str">
        <f>C108</f>
        <v>总额（元）</v>
      </c>
      <c r="D111" s="52">
        <f>C38</f>
        <v>0</v>
      </c>
      <c r="E111" s="1461"/>
      <c r="F111" s="4027"/>
      <c r="G111" s="4028"/>
      <c r="H111" s="2818" t="s">
        <v>2778</v>
      </c>
      <c r="I111" s="2822">
        <f ca="1">D113</f>
        <v>27681</v>
      </c>
      <c r="J111" s="2864"/>
    </row>
    <row r="112" spans="1:36" ht="26.25" customHeight="1">
      <c r="A112" s="3937" t="str">
        <f>IF(项目基本情况!F5="已注销","——","3.房地产抵押价值")</f>
        <v>3.房地产抵押价值</v>
      </c>
      <c r="B112" s="3938"/>
      <c r="C112" s="2818" t="str">
        <f>B101</f>
        <v>总价（元）</v>
      </c>
      <c r="D112" s="2819">
        <f ca="1">IF(A112="——","——",D106-D108)</f>
        <v>12724402</v>
      </c>
      <c r="E112" s="1461"/>
      <c r="F112" s="3929" t="str">
        <f>IF(项目基本情况!F5="已注销及未注销","4.抵押担保权已注销时的房地产抵押价值",IF(项目基本情况!F5="已注销","3.抵押担保权已注销时的房地产抵押价值","——"))</f>
        <v>——</v>
      </c>
      <c r="G112" s="3930"/>
      <c r="H112" s="2806" t="str">
        <f>C114</f>
        <v>总价（元）</v>
      </c>
      <c r="I112" s="2819" t="str">
        <f>IF(F112="——","——",I102-I107-I108)</f>
        <v>——</v>
      </c>
      <c r="J112" s="2861"/>
    </row>
    <row r="113" spans="1:16" ht="12.75">
      <c r="A113" s="3937"/>
      <c r="B113" s="3938"/>
      <c r="C113" s="2818" t="s">
        <v>2771</v>
      </c>
      <c r="D113" s="52">
        <f ca="1">ROUND(IF(D112=D106,D107,IF(H19="元",D112/项目基本情况!C12,D112*10000/项目基本情况!C12)),0)</f>
        <v>27681</v>
      </c>
      <c r="E113" s="1461"/>
      <c r="F113" s="4027"/>
      <c r="G113" s="4028"/>
      <c r="H113" s="2818" t="s">
        <v>2807</v>
      </c>
      <c r="I113" s="52" t="str">
        <f>D115</f>
        <v>——</v>
      </c>
      <c r="J113" s="2845"/>
    </row>
    <row r="114" spans="1:16" ht="12.75">
      <c r="A114" s="3937" t="str">
        <f>IF(项目基本情况!F5="已注销及未注销","4.抵押担保权已注销时的房地产抵押价值",IF(项目基本情况!F5="已注销","3.抵押担保权已注销时的房地产抵押价值","——"))</f>
        <v>——</v>
      </c>
      <c r="B114" s="3938"/>
      <c r="C114" s="2818" t="str">
        <f>B101</f>
        <v>总价（元）</v>
      </c>
      <c r="D114" s="2819" t="str">
        <f>IF(A114="——","——",D106-D110-D111)</f>
        <v>——</v>
      </c>
      <c r="E114" s="1461"/>
      <c r="F114" s="3929" t="str">
        <f>IF(项目基本情况!G5="抵押净值",IF(OR(项目基本情况!F5="已注销",项目基本情况!F5="房地产抵押价值"),"4.抵押净值","5.抵押净值"),"——")</f>
        <v>——</v>
      </c>
      <c r="G114" s="3930"/>
      <c r="H114" s="2818" t="str">
        <f>C116</f>
        <v>总价（元）</v>
      </c>
      <c r="I114" s="2819" t="str">
        <f>IF(F114="——","——",O59)</f>
        <v>——</v>
      </c>
      <c r="J114" s="2861"/>
    </row>
    <row r="115" spans="1:16" ht="13.5" thickBot="1">
      <c r="A115" s="3937"/>
      <c r="B115" s="3938"/>
      <c r="C115" s="2818" t="s">
        <v>2771</v>
      </c>
      <c r="D115" s="52" t="str">
        <f>IF(A114="——","——",ROUND(IF(D114=D106,D107,IF(H19="元",D114/项目基本情况!C12,D114*10000/项目基本情况!C12)),0))</f>
        <v>——</v>
      </c>
      <c r="E115" s="1461"/>
      <c r="F115" s="3931"/>
      <c r="G115" s="3932"/>
      <c r="H115" s="2823" t="s">
        <v>2771</v>
      </c>
      <c r="I115" s="2807" t="str">
        <f ca="1">D117</f>
        <v>——</v>
      </c>
      <c r="J115" s="2845"/>
    </row>
    <row r="116" spans="1:16" ht="15.75">
      <c r="A116" s="3937" t="str">
        <f>IF(项目基本情况!G5="抵押净值",IF(OR(项目基本情况!F5="已注销",项目基本情况!F5="房地产抵押价值"),"4.抵押净值","5.抵押净值"),"——")</f>
        <v>——</v>
      </c>
      <c r="B116" s="3938"/>
      <c r="C116" s="2818" t="str">
        <f>B101</f>
        <v>总价（元）</v>
      </c>
      <c r="D116" s="2819" t="str">
        <f>IF(A116="——","——",O59)</f>
        <v>——</v>
      </c>
      <c r="E116" s="1461"/>
      <c r="F116" s="4022"/>
      <c r="G116" s="4022"/>
      <c r="H116" s="3986"/>
      <c r="I116" s="3986"/>
      <c r="J116" s="2865"/>
      <c r="O116" s="32"/>
      <c r="P116" s="32"/>
    </row>
    <row r="117" spans="1:16" ht="13.5" thickBot="1">
      <c r="A117" s="3942"/>
      <c r="B117" s="3943"/>
      <c r="C117" s="2823" t="s">
        <v>2771</v>
      </c>
      <c r="D117" s="2807" t="str">
        <f ca="1">IF(D116=D112,D113,IF(A116="——","——",O61))</f>
        <v>——</v>
      </c>
      <c r="E117" s="1461"/>
      <c r="F117" s="3921" t="str">
        <f>IF(B32="总价","（以上估价结果中单价为总价除以建筑面积得出）","（以上估价结果中总价为楼面单价乘以建筑面积得出）")</f>
        <v>（以上估价结果中总价为楼面单价乘以建筑面积得出）</v>
      </c>
      <c r="G117" s="3921"/>
      <c r="H117" s="3921"/>
      <c r="I117" s="3921"/>
      <c r="J117" s="2866"/>
      <c r="O117" s="32"/>
      <c r="P117" s="32"/>
    </row>
    <row r="118" spans="1:16" ht="15">
      <c r="A118" s="3987" t="s">
        <v>1872</v>
      </c>
      <c r="B118" s="3988"/>
      <c r="C118" s="3988"/>
      <c r="D118" s="3988"/>
      <c r="E118" s="3988"/>
      <c r="F118" s="3988"/>
      <c r="G118" s="3988"/>
      <c r="H118" s="3988"/>
      <c r="I118" s="3988"/>
      <c r="J118" s="2867"/>
    </row>
    <row r="119" spans="1:16" ht="12.75">
      <c r="A119" s="3922" t="s">
        <v>2789</v>
      </c>
      <c r="B119" s="3948" t="s">
        <v>2799</v>
      </c>
      <c r="C119" s="3948" t="s">
        <v>2800</v>
      </c>
      <c r="D119" s="4009" t="s">
        <v>2791</v>
      </c>
      <c r="E119" s="4010"/>
      <c r="F119" s="3923" t="s">
        <v>2801</v>
      </c>
      <c r="G119" s="3923"/>
      <c r="H119" s="3923" t="s">
        <v>2792</v>
      </c>
      <c r="I119" s="4008"/>
      <c r="J119" s="2845"/>
    </row>
    <row r="120" spans="1:16" ht="12.75">
      <c r="A120" s="3922"/>
      <c r="B120" s="3949"/>
      <c r="C120" s="3949"/>
      <c r="D120" s="2091" t="s">
        <v>2793</v>
      </c>
      <c r="E120" s="2091" t="s">
        <v>2798</v>
      </c>
      <c r="F120" s="2091" t="s">
        <v>2793</v>
      </c>
      <c r="G120" s="2091" t="s">
        <v>2794</v>
      </c>
      <c r="H120" s="2091" t="s">
        <v>2793</v>
      </c>
      <c r="I120" s="52" t="s">
        <v>2794</v>
      </c>
      <c r="J120" s="2845"/>
    </row>
    <row r="121" spans="1:16" ht="12.75">
      <c r="A121" s="2081" t="str">
        <f>项目基本情况!I1</f>
        <v>北京市房地产</v>
      </c>
      <c r="B121" s="2091">
        <f>项目基本情况!C12</f>
        <v>459.68</v>
      </c>
      <c r="C121" s="2091">
        <f>项目基本情况!C13</f>
        <v>0</v>
      </c>
      <c r="D121" s="2091">
        <f ca="1">ROUND(IF(B32="总价",C34,IF('数据-取费表'!B3="万元",E121*B121/10000,E121*B121)),0)</f>
        <v>37944286</v>
      </c>
      <c r="E121" s="2091">
        <f ca="1">ROUND(IF(B32="楼面单价",C34,IF(H19="元",D121/B121,D121*10000/B121)),0)</f>
        <v>82545</v>
      </c>
      <c r="F121" s="2091">
        <f ca="1">ROUND(IF(B32="总价",C35,IF('数据-取费表'!B3="万元",G121*B121/10000,G121*B121)),0)</f>
        <v>-25219884</v>
      </c>
      <c r="G121" s="2091">
        <f ca="1">ROUND(IF(B32="楼面单价",C35,IF(H19="元",F121/B121,F121*10000/B121)),0)</f>
        <v>-54864</v>
      </c>
      <c r="H121" s="2091">
        <f ca="1">ROUND(IF(B32="总价",C32,IF('数据-取费表'!B3="万元",I121*B121/10000,I121*B121)),0)</f>
        <v>12724402</v>
      </c>
      <c r="I121" s="52">
        <f ca="1">ROUND(IF(B32="楼面单价",C32,IF(H19="元",H121/B121,H121*10000/B121)),0)</f>
        <v>27681</v>
      </c>
      <c r="J121" s="2845"/>
    </row>
    <row r="122" spans="1:16" ht="12.75">
      <c r="A122" s="3922" t="s">
        <v>2795</v>
      </c>
      <c r="B122" s="3923"/>
      <c r="C122" s="3923"/>
      <c r="D122" s="3950" t="str">
        <f ca="1">IF(H19="元",NUMBERSTRING(INT(D121),2)&amp;"元整",NUMBERSTRING(INT(D121*10000),2)&amp;"元整")</f>
        <v>叁仟柒佰玖拾肆万肆仟贰佰捌拾陆元整</v>
      </c>
      <c r="E122" s="3992"/>
      <c r="F122" s="3950" t="e">
        <f ca="1">IF(H19="元",NUMBERSTRING(INT(F121),2)&amp;"元整",NUMBERSTRING(INT(F121*10000),2)&amp;"元整")</f>
        <v>#NUM!</v>
      </c>
      <c r="G122" s="3992"/>
      <c r="H122" s="3950" t="str">
        <f ca="1">IF(H19="元",NUMBERSTRING(INT(H121),2)&amp;"元整",NUMBERSTRING(INT(H121*10000),2)&amp;"元整")</f>
        <v>壹仟贰佰柒拾贰万肆仟肆佰零贰元整</v>
      </c>
      <c r="I122" s="3951"/>
      <c r="J122" s="2868"/>
    </row>
    <row r="123" spans="1:16" ht="12.75">
      <c r="A123" s="3927" t="str">
        <f>IF(项目基本情况!D5="房地产市场价值","——",MID(A108,3,LEN(A108)-2))</f>
        <v>——</v>
      </c>
      <c r="B123" s="3933"/>
      <c r="C123" s="3928"/>
      <c r="D123" s="3925">
        <f>I105</f>
        <v>0</v>
      </c>
      <c r="E123" s="3933"/>
      <c r="F123" s="3933"/>
      <c r="G123" s="3933"/>
      <c r="H123" s="3933"/>
      <c r="I123" s="3926"/>
      <c r="J123" s="2861"/>
    </row>
    <row r="124" spans="1:16" ht="12.75">
      <c r="A124" s="3993" t="s">
        <v>2795</v>
      </c>
      <c r="B124" s="3961"/>
      <c r="C124" s="3962"/>
      <c r="D124" s="3934">
        <f>H109</f>
        <v>0</v>
      </c>
      <c r="E124" s="3935"/>
      <c r="F124" s="3935"/>
      <c r="G124" s="3935"/>
      <c r="H124" s="3935"/>
      <c r="I124" s="3936"/>
      <c r="J124" s="2869"/>
    </row>
    <row r="125" spans="1:16" ht="12.75">
      <c r="A125" s="3937" t="str">
        <f>IF(项目基本情况!D5="房地产市场价值","——",MID(A112,3,LEN(A112)-2))</f>
        <v>——</v>
      </c>
      <c r="B125" s="3938"/>
      <c r="C125" s="3938"/>
      <c r="D125" s="3925">
        <f ca="1">I110</f>
        <v>12724402</v>
      </c>
      <c r="E125" s="3933"/>
      <c r="F125" s="3933"/>
      <c r="G125" s="3933"/>
      <c r="H125" s="3933"/>
      <c r="I125" s="3926"/>
      <c r="J125" s="2861"/>
    </row>
    <row r="126" spans="1:16" ht="12.75">
      <c r="A126" s="3922" t="s">
        <v>2795</v>
      </c>
      <c r="B126" s="3923"/>
      <c r="C126" s="3923"/>
      <c r="D126" s="3934">
        <f ca="1">I111</f>
        <v>27681</v>
      </c>
      <c r="E126" s="3935"/>
      <c r="F126" s="3935"/>
      <c r="G126" s="3935"/>
      <c r="H126" s="3935"/>
      <c r="I126" s="3936"/>
      <c r="J126" s="2869"/>
    </row>
    <row r="127" spans="1:16" ht="13.5" thickBot="1">
      <c r="A127" s="3937" t="str">
        <f>IF(项目基本情况!D5="房地产市场价值","——",MID(A114,3,LEN(A114)-2))</f>
        <v>——</v>
      </c>
      <c r="B127" s="3938"/>
      <c r="C127" s="3938"/>
      <c r="D127" s="3969" t="str">
        <f>I112</f>
        <v>——</v>
      </c>
      <c r="E127" s="3970"/>
      <c r="F127" s="3970"/>
      <c r="G127" s="3970"/>
      <c r="H127" s="3970"/>
      <c r="I127" s="4021"/>
      <c r="J127" s="2861"/>
    </row>
    <row r="128" spans="1:16" ht="14.25" thickTop="1" thickBot="1">
      <c r="A128" s="3922" t="s">
        <v>2795</v>
      </c>
      <c r="B128" s="3923"/>
      <c r="C128" s="3924"/>
      <c r="D128" s="3985" t="str">
        <f>I113</f>
        <v>——</v>
      </c>
      <c r="E128" s="3985"/>
      <c r="F128" s="3985"/>
      <c r="G128" s="3985"/>
      <c r="H128" s="3985"/>
      <c r="I128" s="3985"/>
      <c r="J128" s="2869"/>
    </row>
    <row r="129" spans="1:10" ht="14.25" thickTop="1" thickBot="1">
      <c r="A129" s="3937" t="str">
        <f>IF(项目基本情况!D5="房地产市场价值","——",MID(F114,3,LEN(F114)-2))</f>
        <v>——</v>
      </c>
      <c r="B129" s="3938"/>
      <c r="C129" s="3925"/>
      <c r="D129" s="3941" t="str">
        <f>I114</f>
        <v>——</v>
      </c>
      <c r="E129" s="3941"/>
      <c r="F129" s="3941"/>
      <c r="G129" s="3941"/>
      <c r="H129" s="3941"/>
      <c r="I129" s="3941"/>
      <c r="J129" s="2861"/>
    </row>
    <row r="130" spans="1:10" ht="14.25" thickTop="1" thickBot="1">
      <c r="A130" s="3946" t="s">
        <v>2795</v>
      </c>
      <c r="B130" s="3947"/>
      <c r="C130" s="3947"/>
      <c r="D130" s="3952">
        <f>H116</f>
        <v>0</v>
      </c>
      <c r="E130" s="3953"/>
      <c r="F130" s="3953"/>
      <c r="G130" s="3953"/>
      <c r="H130" s="3953"/>
      <c r="I130" s="3954"/>
      <c r="J130" s="2869"/>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0"/>
    </row>
    <row r="132" spans="1:10" ht="13.5" thickBot="1">
      <c r="A132" s="3920" t="str">
        <f>IF(B32="总价","（以上估价结果中楼面单价为总价除以建筑面积得出）","（以上估价结果中总价为楼面单价乘以建筑面积得出）")</f>
        <v>（以上估价结果中总价为楼面单价乘以建筑面积得出）</v>
      </c>
      <c r="B132" s="3920"/>
      <c r="C132" s="3920"/>
      <c r="D132" s="3920"/>
      <c r="E132" s="3920"/>
      <c r="F132" s="3920"/>
      <c r="G132" s="3920"/>
      <c r="H132" s="3920"/>
      <c r="I132" s="3920"/>
      <c r="J132" s="2863"/>
    </row>
    <row r="133" spans="1:10" ht="21.75" customHeight="1">
      <c r="A133" s="1491" t="s">
        <v>1873</v>
      </c>
      <c r="B133" s="1492"/>
      <c r="C133" s="1493" t="s">
        <v>1874</v>
      </c>
      <c r="D133" s="1494"/>
      <c r="E133" s="1494"/>
      <c r="F133" s="1494"/>
      <c r="G133" s="1494"/>
      <c r="H133" s="1495"/>
      <c r="I133" s="1496"/>
      <c r="J133" s="2871"/>
    </row>
    <row r="134" spans="1:10" ht="21.75" customHeight="1">
      <c r="A134" s="1497">
        <v>1</v>
      </c>
      <c r="B134" s="1498"/>
      <c r="C134" s="1498"/>
      <c r="D134" s="1494"/>
      <c r="E134" s="1494"/>
      <c r="F134" s="1494"/>
      <c r="G134" s="1494"/>
      <c r="H134" s="1495"/>
      <c r="I134" s="1496"/>
      <c r="J134" s="2871"/>
    </row>
    <row r="135" spans="1:10" ht="21.75" customHeight="1">
      <c r="A135" s="1497">
        <v>2</v>
      </c>
      <c r="B135" s="1498"/>
      <c r="C135" s="1498"/>
      <c r="D135" s="1494"/>
      <c r="E135" s="1494"/>
      <c r="F135" s="1494"/>
      <c r="G135" s="1494"/>
      <c r="H135" s="1495"/>
      <c r="I135" s="1496"/>
      <c r="J135" s="2871"/>
    </row>
    <row r="136" spans="1:10" ht="21.75" customHeight="1">
      <c r="A136" s="1497">
        <v>3</v>
      </c>
      <c r="B136" s="1498"/>
      <c r="C136" s="1498"/>
      <c r="D136" s="1494"/>
      <c r="E136" s="1494"/>
      <c r="F136" s="32"/>
      <c r="G136" s="32"/>
      <c r="H136" s="32"/>
      <c r="I136" s="32"/>
      <c r="J136" s="2872"/>
    </row>
    <row r="137" spans="1:10" ht="21.75" customHeight="1">
      <c r="A137" s="1499"/>
      <c r="B137" s="1500"/>
      <c r="C137" s="1500"/>
      <c r="D137" s="1501"/>
      <c r="E137" s="1501"/>
      <c r="F137" s="1501"/>
      <c r="G137" s="1501"/>
      <c r="H137" s="1502"/>
      <c r="I137" s="1503"/>
      <c r="J137" s="2871"/>
    </row>
    <row r="138" spans="1:10" ht="21.75" customHeight="1">
      <c r="A138" s="1498"/>
      <c r="B138" s="1498"/>
      <c r="C138" s="1498"/>
      <c r="D138" s="1494"/>
      <c r="E138" s="1494"/>
      <c r="F138" s="1494"/>
      <c r="G138" s="1494"/>
      <c r="H138" s="1495"/>
      <c r="I138" s="659"/>
      <c r="J138" s="2872"/>
    </row>
    <row r="139" spans="1:10" ht="21.75" customHeight="1">
      <c r="A139" s="659"/>
      <c r="B139" s="659"/>
      <c r="C139" s="659"/>
      <c r="D139" s="659"/>
      <c r="E139" s="659"/>
      <c r="F139" s="1504" t="s">
        <v>1875</v>
      </c>
      <c r="G139" s="1505"/>
      <c r="H139" s="1505"/>
      <c r="I139" s="1506" t="s">
        <v>1876</v>
      </c>
      <c r="J139" s="2873"/>
    </row>
    <row r="140" spans="1:10" ht="21.75" customHeight="1">
      <c r="A140" s="659"/>
      <c r="B140" s="1507" t="s">
        <v>1877</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5"/>
      <c r="C142" s="1505"/>
      <c r="D142" s="1505"/>
      <c r="E142" s="1505"/>
      <c r="F142" s="1505"/>
      <c r="G142" s="1505"/>
      <c r="H142" s="1505"/>
      <c r="I142" s="1506" t="s">
        <v>1878</v>
      </c>
      <c r="J142" s="2873"/>
    </row>
    <row r="143" spans="1:10" ht="21.75" customHeight="1">
      <c r="A143" s="659"/>
      <c r="B143" s="1507" t="s">
        <v>1879</v>
      </c>
      <c r="C143" s="659"/>
      <c r="D143" s="659"/>
      <c r="E143" s="659"/>
      <c r="F143" s="659"/>
      <c r="G143" s="659"/>
      <c r="H143" s="659"/>
      <c r="I143" s="659"/>
      <c r="J143" s="2872"/>
    </row>
    <row r="144" spans="1:10" ht="21.75" customHeight="1">
      <c r="A144" s="659"/>
      <c r="B144" s="1507"/>
      <c r="C144" s="659"/>
      <c r="D144" s="659"/>
      <c r="E144" s="659"/>
      <c r="F144" s="659"/>
      <c r="G144" s="659"/>
      <c r="H144" s="659"/>
      <c r="I144" s="659"/>
      <c r="J144" s="2872"/>
    </row>
    <row r="145" spans="1:36" ht="21.75" customHeight="1">
      <c r="A145" s="659"/>
      <c r="B145" s="1505"/>
      <c r="C145" s="1505"/>
      <c r="D145" s="1505"/>
      <c r="E145" s="1505"/>
      <c r="F145" s="1505"/>
      <c r="G145" s="1505"/>
      <c r="H145" s="1505"/>
      <c r="I145" s="1506" t="s">
        <v>1878</v>
      </c>
      <c r="J145" s="2873"/>
    </row>
    <row r="146" spans="1:36" ht="21.75" customHeight="1">
      <c r="A146" s="659"/>
      <c r="B146" s="1507"/>
      <c r="C146" s="1508"/>
      <c r="D146" s="1509"/>
      <c r="E146" s="1509"/>
      <c r="F146" s="1510"/>
      <c r="G146" s="659"/>
      <c r="H146" s="659"/>
      <c r="I146" s="659"/>
      <c r="J146" s="2872"/>
    </row>
    <row r="147" spans="1:36" s="32" customFormat="1" ht="21.75" customHeight="1">
      <c r="A147" s="659"/>
      <c r="B147" s="1507"/>
      <c r="C147" s="1508"/>
      <c r="D147" s="1509"/>
      <c r="E147" s="150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10" type="noConversion"/>
  <conditionalFormatting sqref="C5:C7">
    <cfRule type="cellIs" dxfId="163" priority="21" stopIfTrue="1" operator="equal">
      <formula>25</formula>
    </cfRule>
  </conditionalFormatting>
  <conditionalFormatting sqref="C8:C9">
    <cfRule type="cellIs" dxfId="162" priority="19" stopIfTrue="1" operator="equal">
      <formula>15</formula>
    </cfRule>
  </conditionalFormatting>
  <conditionalFormatting sqref="C14:C16">
    <cfRule type="cellIs" dxfId="161" priority="13" stopIfTrue="1" operator="equal">
      <formula>30</formula>
    </cfRule>
  </conditionalFormatting>
  <conditionalFormatting sqref="D5:D7">
    <cfRule type="cellIs" dxfId="160" priority="10" stopIfTrue="1" operator="equal">
      <formula>25</formula>
    </cfRule>
  </conditionalFormatting>
  <conditionalFormatting sqref="D8:D9">
    <cfRule type="cellIs" dxfId="159" priority="9" stopIfTrue="1" operator="equal">
      <formula>15</formula>
    </cfRule>
  </conditionalFormatting>
  <conditionalFormatting sqref="C10:D13">
    <cfRule type="cellIs" dxfId="158" priority="8" stopIfTrue="1" operator="equal">
      <formula>15</formula>
    </cfRule>
  </conditionalFormatting>
  <conditionalFormatting sqref="D14:D16">
    <cfRule type="cellIs" dxfId="157" priority="6" stopIfTrue="1" operator="equal">
      <formula>30</formula>
    </cfRule>
  </conditionalFormatting>
  <conditionalFormatting sqref="C90">
    <cfRule type="expression" dxfId="156" priority="3" stopIfTrue="1">
      <formula>$H$88&lt;&gt;"仅含出让金"</formula>
    </cfRule>
  </conditionalFormatting>
  <conditionalFormatting sqref="C91">
    <cfRule type="expression" dxfId="15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4053" t="s">
        <v>1881</v>
      </c>
      <c r="B2" s="4053"/>
      <c r="C2" s="4053"/>
      <c r="D2" s="4053"/>
      <c r="E2" s="4053"/>
      <c r="F2" s="4053"/>
      <c r="G2" s="4053"/>
      <c r="H2" s="4053"/>
      <c r="I2" s="4053"/>
      <c r="J2" s="2874"/>
    </row>
    <row r="3" spans="1:15" ht="12.75">
      <c r="A3" s="3977" t="s">
        <v>1709</v>
      </c>
      <c r="B3" s="3978"/>
      <c r="C3" s="3978"/>
      <c r="D3" s="3978"/>
      <c r="E3" s="3978"/>
      <c r="F3" s="3978"/>
      <c r="G3" s="3978"/>
      <c r="H3" s="3978"/>
      <c r="I3" s="3978"/>
      <c r="J3" s="2844"/>
    </row>
    <row r="4" spans="1:15" ht="14.25">
      <c r="A4" s="2712" t="s">
        <v>1710</v>
      </c>
      <c r="B4" s="2712" t="s">
        <v>1711</v>
      </c>
      <c r="C4" s="2713"/>
      <c r="D4" s="2713"/>
      <c r="E4" s="3924" t="s">
        <v>1882</v>
      </c>
      <c r="F4" s="3961"/>
      <c r="G4" s="3961"/>
      <c r="H4" s="3961"/>
      <c r="I4" s="3962"/>
      <c r="J4" s="2845"/>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856" t="s">
        <v>1713</v>
      </c>
      <c r="B5" s="3856">
        <v>25</v>
      </c>
      <c r="C5" s="3963"/>
      <c r="D5" s="3976"/>
      <c r="E5" s="12" t="s">
        <v>1714</v>
      </c>
      <c r="F5" s="2088"/>
      <c r="G5" s="2088"/>
      <c r="H5" s="2088"/>
      <c r="I5" s="2083"/>
      <c r="J5" s="2845"/>
    </row>
    <row r="6" spans="1:15" ht="12.75">
      <c r="A6" s="3856"/>
      <c r="B6" s="3856"/>
      <c r="C6" s="3979"/>
      <c r="D6" s="3976"/>
      <c r="E6" s="12" t="s">
        <v>1715</v>
      </c>
      <c r="F6" s="2088"/>
      <c r="G6" s="2088"/>
      <c r="H6" s="2088"/>
      <c r="I6" s="2083"/>
      <c r="J6" s="2845"/>
    </row>
    <row r="7" spans="1:15" ht="12.75">
      <c r="A7" s="3856"/>
      <c r="B7" s="3856"/>
      <c r="C7" s="3964"/>
      <c r="D7" s="3976"/>
      <c r="E7" s="12" t="s">
        <v>1716</v>
      </c>
      <c r="F7" s="2088"/>
      <c r="G7" s="2088"/>
      <c r="H7" s="2088"/>
      <c r="I7" s="2083"/>
      <c r="J7" s="2845"/>
    </row>
    <row r="8" spans="1:15" ht="12.75">
      <c r="A8" s="3856" t="s">
        <v>1717</v>
      </c>
      <c r="B8" s="3856">
        <v>15</v>
      </c>
      <c r="C8" s="3963"/>
      <c r="D8" s="3976"/>
      <c r="E8" s="12" t="s">
        <v>1718</v>
      </c>
      <c r="F8" s="2088"/>
      <c r="G8" s="2088"/>
      <c r="H8" s="2088"/>
      <c r="I8" s="2083"/>
      <c r="J8" s="2845"/>
    </row>
    <row r="9" spans="1:15" ht="12.75">
      <c r="A9" s="3856"/>
      <c r="B9" s="3856"/>
      <c r="C9" s="3964"/>
      <c r="D9" s="3976"/>
      <c r="E9" s="12" t="s">
        <v>1719</v>
      </c>
      <c r="F9" s="2088"/>
      <c r="G9" s="2088"/>
      <c r="H9" s="2088"/>
      <c r="I9" s="2083"/>
      <c r="J9" s="2845"/>
    </row>
    <row r="10" spans="1:15" ht="12.75">
      <c r="A10" s="3856" t="s">
        <v>1720</v>
      </c>
      <c r="B10" s="3856">
        <v>15</v>
      </c>
      <c r="C10" s="3963"/>
      <c r="D10" s="3976"/>
      <c r="E10" s="12" t="s">
        <v>1721</v>
      </c>
      <c r="F10" s="2088"/>
      <c r="G10" s="2088"/>
      <c r="H10" s="2088"/>
      <c r="I10" s="2083"/>
      <c r="J10" s="2845"/>
    </row>
    <row r="11" spans="1:15" ht="12.75">
      <c r="A11" s="3856"/>
      <c r="B11" s="3856"/>
      <c r="C11" s="3964"/>
      <c r="D11" s="3976"/>
      <c r="E11" s="12" t="s">
        <v>1722</v>
      </c>
      <c r="F11" s="2088"/>
      <c r="G11" s="2088"/>
      <c r="H11" s="2088"/>
      <c r="I11" s="2083"/>
      <c r="J11" s="2845"/>
    </row>
    <row r="12" spans="1:15" ht="12.75">
      <c r="A12" s="3856" t="s">
        <v>1723</v>
      </c>
      <c r="B12" s="3856">
        <v>15</v>
      </c>
      <c r="C12" s="3963"/>
      <c r="D12" s="3976"/>
      <c r="E12" s="12" t="s">
        <v>1724</v>
      </c>
      <c r="F12" s="2088"/>
      <c r="G12" s="2088"/>
      <c r="H12" s="2088"/>
      <c r="I12" s="2083"/>
      <c r="J12" s="2845"/>
    </row>
    <row r="13" spans="1:15" ht="12.75">
      <c r="A13" s="3856"/>
      <c r="B13" s="3856"/>
      <c r="C13" s="3964"/>
      <c r="D13" s="3976"/>
      <c r="E13" s="12" t="s">
        <v>1725</v>
      </c>
      <c r="F13" s="2088"/>
      <c r="G13" s="2088"/>
      <c r="H13" s="2088"/>
      <c r="I13" s="2083"/>
      <c r="J13" s="2845"/>
    </row>
    <row r="14" spans="1:15" ht="12.75">
      <c r="A14" s="3856" t="s">
        <v>1726</v>
      </c>
      <c r="B14" s="3856">
        <v>30</v>
      </c>
      <c r="C14" s="3963"/>
      <c r="D14" s="3976"/>
      <c r="E14" s="12" t="s">
        <v>1727</v>
      </c>
      <c r="F14" s="2088"/>
      <c r="G14" s="2088"/>
      <c r="H14" s="2088"/>
      <c r="I14" s="2083"/>
      <c r="J14" s="2845"/>
    </row>
    <row r="15" spans="1:15" ht="12.75">
      <c r="A15" s="3856"/>
      <c r="B15" s="3856"/>
      <c r="C15" s="3979"/>
      <c r="D15" s="3976"/>
      <c r="E15" s="12" t="s">
        <v>1728</v>
      </c>
      <c r="F15" s="2088"/>
      <c r="G15" s="2088"/>
      <c r="H15" s="2088"/>
      <c r="I15" s="2083"/>
      <c r="J15" s="2845"/>
    </row>
    <row r="16" spans="1:15" ht="12.75">
      <c r="A16" s="3856"/>
      <c r="B16" s="3856"/>
      <c r="C16" s="3964"/>
      <c r="D16" s="3976"/>
      <c r="E16" s="12" t="s">
        <v>1729</v>
      </c>
      <c r="F16" s="2088"/>
      <c r="G16" s="2088"/>
      <c r="H16" s="2088"/>
      <c r="I16" s="2083"/>
      <c r="J16" s="2845"/>
    </row>
    <row r="17" spans="1:36" ht="15">
      <c r="A17" s="2714" t="s">
        <v>1730</v>
      </c>
      <c r="B17" s="2093"/>
      <c r="C17" s="2715">
        <f>SUM(C5:C16)</f>
        <v>0</v>
      </c>
      <c r="D17" s="2715">
        <f>SUM(D5:D16)</f>
        <v>0</v>
      </c>
      <c r="E17" s="2562"/>
      <c r="F17" s="2562"/>
      <c r="G17" s="2562"/>
      <c r="H17" s="2562"/>
      <c r="I17" s="2562"/>
      <c r="J17" s="2846"/>
    </row>
    <row r="18" spans="1:36" ht="32.450000000000003" customHeight="1" thickBot="1">
      <c r="A18" s="2716" t="s">
        <v>1731</v>
      </c>
      <c r="B18" s="2717"/>
      <c r="C18" s="2718" t="e">
        <f>ROUND(C17/SUM(C17:D17),2)</f>
        <v>#DIV/0!</v>
      </c>
      <c r="D18" s="2718" t="e">
        <f>1-C18</f>
        <v>#DIV/0!</v>
      </c>
      <c r="E18" s="3972" t="s">
        <v>2814</v>
      </c>
      <c r="F18" s="3973"/>
      <c r="G18" s="3973"/>
      <c r="H18" s="3973"/>
      <c r="I18" s="3973"/>
      <c r="J18" s="2846"/>
    </row>
    <row r="19" spans="1:36" ht="15">
      <c r="A19" s="2719" t="s">
        <v>1732</v>
      </c>
      <c r="B19" s="2720" t="s">
        <v>1733</v>
      </c>
      <c r="C19" s="2721" t="e">
        <f ca="1">SUMIF(INDIRECT("'"&amp;C4&amp;"'"&amp;"!A:A"),'结果表 (1修多)'!B19,INDIRECT("'"&amp;C4&amp;"'"&amp;"!B:B"))</f>
        <v>#REF!</v>
      </c>
      <c r="D19" s="2722" t="e">
        <f ca="1">SUMIF(INDIRECT("'"&amp;D4&amp;"'"&amp;"!A:A"),'结果表 (1修多)'!B19,INDIRECT("'"&amp;D4&amp;"'"&amp;"!B:B"))</f>
        <v>#REF!</v>
      </c>
      <c r="E19" s="2719" t="s">
        <v>1734</v>
      </c>
      <c r="F19" s="2720" t="s">
        <v>1733</v>
      </c>
      <c r="G19" s="2723" t="e">
        <f ca="1">ROUND(C19*$C$18+D19*$D$18,0)</f>
        <v>#REF!</v>
      </c>
      <c r="H19" s="2724" t="str">
        <f>'数据-取费表'!B3</f>
        <v>元</v>
      </c>
      <c r="I19" s="2562"/>
      <c r="J19" s="2846"/>
    </row>
    <row r="20" spans="1:36" ht="15">
      <c r="A20" s="2725"/>
      <c r="B20" s="1693" t="s">
        <v>1735</v>
      </c>
      <c r="C20" s="1918" t="e">
        <f ca="1">SUMIF(INDIRECT("'"&amp;C4&amp;"'"&amp;"!A:A"),'结果表 (1修多)'!B20,INDIRECT("'"&amp;C4&amp;"'"&amp;"!B:B"))</f>
        <v>#REF!</v>
      </c>
      <c r="D20" s="1921" t="e">
        <f ca="1">SUMIF(INDIRECT("'"&amp;D4&amp;"'"&amp;"!A:A"),'结果表 (1修多)'!B20,INDIRECT("'"&amp;D4&amp;"'"&amp;"!B:B"))</f>
        <v>#REF!</v>
      </c>
      <c r="E20" s="2725"/>
      <c r="F20" s="1693" t="s">
        <v>1735</v>
      </c>
      <c r="G20" s="2092" t="e">
        <f ca="1">ROUND(C20*$C$18+D20*$D$18,0)</f>
        <v>#REF!</v>
      </c>
      <c r="H20" s="2726" t="s">
        <v>1736</v>
      </c>
      <c r="I20" s="2562"/>
      <c r="J20" s="2846"/>
    </row>
    <row r="21" spans="1:36" ht="15" customHeight="1" thickBot="1">
      <c r="A21" s="2727"/>
      <c r="B21" s="2728"/>
      <c r="C21" s="2728"/>
      <c r="D21" s="2729"/>
      <c r="E21" s="2727"/>
      <c r="F21" s="2728"/>
      <c r="G21" s="2730"/>
      <c r="H21" s="2731"/>
      <c r="I21" s="2562"/>
      <c r="J21" s="2846"/>
    </row>
    <row r="22" spans="1:36" ht="15" thickBot="1">
      <c r="A22" s="2732" t="s">
        <v>1737</v>
      </c>
      <c r="B22" s="2733"/>
      <c r="C22" s="2646"/>
      <c r="D22" s="2734" t="e">
        <f ca="1">IF(C19&lt;D19,D19/C19-1,C19/D19-1)</f>
        <v>#REF!</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965" t="s">
        <v>1738</v>
      </c>
      <c r="B24" s="2720" t="s">
        <v>1733</v>
      </c>
      <c r="C24" s="2723">
        <f>D30</f>
        <v>0</v>
      </c>
      <c r="D24" s="2675"/>
      <c r="E24" s="947"/>
      <c r="F24" s="947"/>
      <c r="G24" s="947"/>
      <c r="H24" s="947"/>
      <c r="I24" s="947"/>
      <c r="J24" s="2846"/>
    </row>
    <row r="25" spans="1:36" ht="21.75" customHeight="1">
      <c r="A25" s="3982"/>
      <c r="B25" s="1693"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t="s">
        <v>1883</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1884</v>
      </c>
      <c r="B30" s="2774"/>
      <c r="C30" s="2774"/>
      <c r="D30" s="2774"/>
      <c r="E30" s="2741" t="s">
        <v>2818</v>
      </c>
      <c r="F30" s="2562"/>
      <c r="G30" s="2562"/>
      <c r="H30" s="2562"/>
      <c r="I30" s="2562"/>
      <c r="J30" s="2846"/>
    </row>
    <row r="31" spans="1:36" s="2839" customFormat="1" ht="27.6"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5" customFormat="1" ht="16.5" thickTop="1" thickBot="1">
      <c r="A32" s="4030" t="s">
        <v>1885</v>
      </c>
      <c r="B32" s="4030"/>
      <c r="C32" s="4030"/>
      <c r="D32" s="4030"/>
      <c r="E32" s="4030"/>
      <c r="F32" s="4030"/>
      <c r="G32" s="4030"/>
      <c r="H32" s="4030"/>
      <c r="I32" s="4030"/>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5" t="s">
        <v>1886</v>
      </c>
      <c r="C33" s="2776">
        <f>典型户型修正!R27</f>
        <v>0</v>
      </c>
      <c r="D33" s="2562" t="s">
        <v>1887</v>
      </c>
      <c r="E33" s="947"/>
      <c r="F33" s="947"/>
      <c r="G33" s="947"/>
      <c r="H33" s="947"/>
      <c r="I33" s="947"/>
      <c r="J33" s="2846"/>
    </row>
    <row r="34" spans="1:16" ht="15">
      <c r="A34" s="1512" t="s">
        <v>1888</v>
      </c>
      <c r="B34" s="2777" t="s">
        <v>1889</v>
      </c>
      <c r="C34" s="2778">
        <f>典型户型修正!B2</f>
        <v>0</v>
      </c>
      <c r="D34" s="2779" t="str">
        <f>IF('数据-取费表'!B3="万元","万元","元")</f>
        <v>元</v>
      </c>
      <c r="E34" s="947"/>
      <c r="F34" s="947"/>
      <c r="G34" s="947"/>
      <c r="H34" s="947"/>
      <c r="I34" s="947"/>
      <c r="J34" s="2846"/>
    </row>
    <row r="35" spans="1:16" ht="15.75" thickBot="1">
      <c r="A35" s="1513"/>
      <c r="B35" s="2780" t="s">
        <v>1890</v>
      </c>
      <c r="C35" s="2729" t="e">
        <f>典型户型修正!B3</f>
        <v>#DIV/0!</v>
      </c>
      <c r="D35" s="2562" t="s">
        <v>1891</v>
      </c>
      <c r="E35" s="947"/>
      <c r="F35" s="947"/>
      <c r="G35" s="947"/>
      <c r="H35" s="947"/>
      <c r="I35" s="947"/>
      <c r="J35" s="2846"/>
    </row>
    <row r="36" spans="1:16" ht="15">
      <c r="A36" s="1514"/>
      <c r="B36" s="1468" t="s">
        <v>1892</v>
      </c>
      <c r="C36" s="2781">
        <f>IF('数据-取费表'!B3="万元",典型户型修正!V25,典型户型修正!U25)</f>
        <v>0</v>
      </c>
      <c r="D36" s="2562" t="str">
        <f>D34</f>
        <v>元</v>
      </c>
      <c r="E36" s="947"/>
      <c r="F36" s="947"/>
      <c r="G36" s="947"/>
      <c r="H36" s="947"/>
      <c r="I36" s="947"/>
      <c r="J36" s="2846"/>
    </row>
    <row r="37" spans="1:16" ht="15.75" thickBot="1">
      <c r="A37" s="1467"/>
      <c r="B37" s="1469" t="s">
        <v>1893</v>
      </c>
      <c r="C37" s="2782">
        <f>IF('数据-取费表'!B3="万元",典型户型修正!Y25,典型户型修正!X25)</f>
        <v>0</v>
      </c>
      <c r="D37" s="2562" t="str">
        <f>D34</f>
        <v>元</v>
      </c>
      <c r="E37" s="947"/>
      <c r="F37" s="947"/>
      <c r="G37" s="947"/>
      <c r="H37" s="947"/>
      <c r="I37" s="947"/>
      <c r="J37" s="2846"/>
    </row>
    <row r="38" spans="1:16" ht="15.75" thickBot="1">
      <c r="A38" s="3965" t="s">
        <v>1894</v>
      </c>
      <c r="B38" s="1468" t="s">
        <v>1895</v>
      </c>
      <c r="C38" s="2756"/>
      <c r="D38" s="2757"/>
      <c r="E38" s="1679"/>
      <c r="F38" s="1679"/>
      <c r="G38" s="947"/>
      <c r="H38" s="947"/>
      <c r="I38" s="947"/>
      <c r="J38" s="2846"/>
    </row>
    <row r="39" spans="1:16" ht="15.75" thickBot="1">
      <c r="A39" s="3966"/>
      <c r="B39" s="2093" t="s">
        <v>1896</v>
      </c>
      <c r="C39" s="2758"/>
      <c r="D39" s="1311"/>
      <c r="E39" s="1311"/>
      <c r="F39" s="1679"/>
      <c r="G39" s="1311"/>
      <c r="H39" s="1311"/>
      <c r="I39" s="1311"/>
      <c r="J39" s="2850"/>
    </row>
    <row r="40" spans="1:16" ht="15.75" thickBot="1">
      <c r="A40" s="3967"/>
      <c r="B40" s="1469" t="s">
        <v>1897</v>
      </c>
      <c r="C40" s="2759"/>
      <c r="D40" s="2760" t="s">
        <v>1898</v>
      </c>
      <c r="E40" s="1311"/>
      <c r="F40" s="1679"/>
      <c r="G40" s="1311"/>
      <c r="H40" s="1311"/>
      <c r="I40" s="1311"/>
      <c r="J40" s="2850"/>
    </row>
    <row r="41" spans="1:16" ht="15">
      <c r="A41" s="2725" t="s">
        <v>1899</v>
      </c>
      <c r="B41" s="2761" t="s">
        <v>1900</v>
      </c>
      <c r="C41" s="2762" t="s">
        <v>1901</v>
      </c>
      <c r="D41" s="2762" t="s">
        <v>1902</v>
      </c>
      <c r="E41" s="2763" t="s">
        <v>1903</v>
      </c>
      <c r="F41" s="1679"/>
      <c r="G41" s="1311"/>
      <c r="H41" s="1311"/>
      <c r="I41" s="1311"/>
      <c r="J41" s="2850"/>
    </row>
    <row r="42" spans="1:16" ht="14.25">
      <c r="A42" s="2764" t="s">
        <v>1904</v>
      </c>
      <c r="B42" s="2765"/>
      <c r="C42" s="2766"/>
      <c r="D42" s="2766"/>
      <c r="E42" s="2767"/>
      <c r="F42" s="1679"/>
      <c r="G42" s="1311"/>
      <c r="H42" s="1311"/>
      <c r="I42" s="1311"/>
      <c r="J42" s="2850"/>
    </row>
    <row r="43" spans="1:16" ht="14.25">
      <c r="A43" s="2764" t="s">
        <v>1905</v>
      </c>
      <c r="B43" s="2765"/>
      <c r="C43" s="2766"/>
      <c r="D43" s="2766"/>
      <c r="E43" s="2767"/>
      <c r="F43" s="1679"/>
      <c r="G43" s="1311"/>
      <c r="H43" s="1311"/>
      <c r="I43" s="1311"/>
      <c r="J43" s="2850"/>
    </row>
    <row r="44" spans="1:16" ht="15" thickBot="1">
      <c r="A44" s="2768"/>
      <c r="B44" s="2769"/>
      <c r="C44" s="2770"/>
      <c r="D44" s="2770"/>
      <c r="E44" s="2755"/>
      <c r="F44" s="1679"/>
      <c r="G44" s="1311"/>
      <c r="H44" s="1311"/>
      <c r="I44" s="1311"/>
      <c r="J44" s="2850"/>
    </row>
    <row r="45" spans="1:16" ht="12.75">
      <c r="A45" s="1481"/>
      <c r="B45" s="1481"/>
      <c r="C45" s="1481"/>
      <c r="D45" s="1481"/>
      <c r="E45" s="1481"/>
      <c r="F45" s="1437"/>
      <c r="G45" s="1437"/>
      <c r="H45" s="1437"/>
      <c r="I45" s="2771"/>
      <c r="J45" s="2851"/>
    </row>
    <row r="46" spans="1:16" ht="18.75">
      <c r="A46" s="1471" t="s">
        <v>1906</v>
      </c>
      <c r="B46" s="1472"/>
      <c r="C46" s="1472"/>
      <c r="D46" s="2783"/>
      <c r="E46" s="2783"/>
      <c r="F46" s="2783"/>
      <c r="G46" s="2783"/>
      <c r="H46" s="2783"/>
      <c r="I46" s="2840" t="s">
        <v>2813</v>
      </c>
      <c r="J46" s="2876"/>
      <c r="K46" s="1475" t="s">
        <v>1761</v>
      </c>
      <c r="L46" s="1476"/>
      <c r="M46" s="1476"/>
      <c r="N46" s="1476"/>
      <c r="O46" s="1476"/>
      <c r="P46" s="1476"/>
    </row>
    <row r="47" spans="1:16" ht="14.25" customHeight="1" thickBot="1">
      <c r="A47" s="3969" t="s">
        <v>1907</v>
      </c>
      <c r="B47" s="3970"/>
      <c r="C47" s="3930"/>
      <c r="D47" s="246">
        <f>ROUND(I104*F47,0)</f>
        <v>0</v>
      </c>
      <c r="E47" s="1542" t="s">
        <v>1908</v>
      </c>
      <c r="F47" s="2560">
        <v>1</v>
      </c>
      <c r="G47" s="2561" t="s">
        <v>1909</v>
      </c>
      <c r="H47" s="947"/>
      <c r="I47" s="947"/>
      <c r="J47" s="2846"/>
      <c r="K47" s="4055" t="s">
        <v>1765</v>
      </c>
      <c r="L47" s="4055"/>
      <c r="M47" s="4055"/>
      <c r="N47" s="4055"/>
      <c r="O47" s="4055"/>
      <c r="P47" s="4055"/>
    </row>
    <row r="48" spans="1:16" ht="14.25" customHeight="1">
      <c r="A48" s="3958" t="s">
        <v>1766</v>
      </c>
      <c r="B48" s="3959"/>
      <c r="C48" s="3959"/>
      <c r="D48" s="3959"/>
      <c r="E48" s="3959"/>
      <c r="F48" s="3959"/>
      <c r="G48" s="3960"/>
      <c r="H48" s="2978"/>
      <c r="I48" s="947"/>
      <c r="J48" s="2846"/>
      <c r="K48" s="2512">
        <v>1</v>
      </c>
      <c r="L48" s="4050" t="s">
        <v>1767</v>
      </c>
      <c r="M48" s="4050"/>
      <c r="N48" s="4056"/>
      <c r="O48" s="4056"/>
      <c r="P48" s="4056"/>
    </row>
    <row r="49" spans="1:17" ht="12" customHeight="1">
      <c r="A49" s="38" t="s">
        <v>1768</v>
      </c>
      <c r="B49" s="39"/>
      <c r="C49" s="40"/>
      <c r="D49" s="1099" t="s">
        <v>1769</v>
      </c>
      <c r="E49" s="235" t="s">
        <v>1770</v>
      </c>
      <c r="F49" s="41" t="s">
        <v>1771</v>
      </c>
      <c r="G49" s="2563" t="s">
        <v>1772</v>
      </c>
      <c r="H49" s="2978"/>
      <c r="I49" s="947"/>
      <c r="J49" s="2846"/>
      <c r="K49" s="2512">
        <v>2</v>
      </c>
      <c r="L49" s="4050" t="s">
        <v>1773</v>
      </c>
      <c r="M49" s="4050"/>
      <c r="N49" s="4057">
        <f>'数据-取费表'!B2</f>
        <v>42558</v>
      </c>
      <c r="O49" s="4057"/>
      <c r="P49" s="4057"/>
    </row>
    <row r="50" spans="1:17" ht="25.5">
      <c r="A50" s="3968" t="s">
        <v>1774</v>
      </c>
      <c r="B50" s="3923"/>
      <c r="C50" s="3923"/>
      <c r="D50" s="12">
        <f>IF(H50="情况1",0,IF(H50="情况2",D54,IF(H50="情况3",D55,IF(H50="情况4",D56))))</f>
        <v>0</v>
      </c>
      <c r="E50" s="2091" t="str">
        <f>IF(H50="情况4","(销售额-原购置价)×税（费）率","销售额×税（费）率")</f>
        <v>销售额×税（费）率</v>
      </c>
      <c r="F50" s="2564">
        <f>IF(H50="情况1","免征",'数据-取费表'!E29)</f>
        <v>5.6000000000000001E-2</v>
      </c>
      <c r="G50" s="2565" t="s">
        <v>1775</v>
      </c>
      <c r="H50" s="2566" t="s">
        <v>1776</v>
      </c>
      <c r="I50" s="2978"/>
      <c r="J50" s="2853"/>
      <c r="K50" s="2512">
        <v>3</v>
      </c>
      <c r="L50" s="4050" t="s">
        <v>1777</v>
      </c>
      <c r="M50" s="4050"/>
      <c r="N50" s="4051">
        <f>I104</f>
        <v>0</v>
      </c>
      <c r="O50" s="4051"/>
      <c r="P50" s="4051"/>
    </row>
    <row r="51" spans="1:17" ht="25.5" customHeight="1">
      <c r="A51" s="2090" t="s">
        <v>1778</v>
      </c>
      <c r="B51" s="3961" t="s">
        <v>1779</v>
      </c>
      <c r="C51" s="3961"/>
      <c r="D51" s="2567">
        <v>0</v>
      </c>
      <c r="E51" s="261" t="s">
        <v>1780</v>
      </c>
      <c r="F51" s="2568" t="s">
        <v>48</v>
      </c>
      <c r="G51" s="4018"/>
      <c r="H51" s="2569" t="s">
        <v>2738</v>
      </c>
      <c r="I51" s="2570"/>
      <c r="J51" s="2854"/>
      <c r="K51" s="2512">
        <v>4</v>
      </c>
      <c r="L51" s="4050" t="str">
        <f>IF(项目基本情况!F5="房地产抵押价值","房地产抵押价值","抵押担保权已注销时的房地产抵押价值")</f>
        <v>抵押担保权已注销时的房地产抵押价值</v>
      </c>
      <c r="M51" s="4050"/>
      <c r="N51" s="4051" t="str">
        <f>IF(项目基本情况!F5="房地产抵押价值",I112,I114)</f>
        <v>——</v>
      </c>
      <c r="O51" s="4051"/>
      <c r="P51" s="4051"/>
    </row>
    <row r="52" spans="1:17" ht="25.5" customHeight="1">
      <c r="A52" s="2080"/>
      <c r="B52" s="3961" t="s">
        <v>1781</v>
      </c>
      <c r="C52" s="3961"/>
      <c r="D52" s="2571"/>
      <c r="E52" s="269"/>
      <c r="F52" s="2568"/>
      <c r="G52" s="4019"/>
      <c r="H52" s="2572" t="s">
        <v>2739</v>
      </c>
      <c r="I52" s="2570"/>
      <c r="J52" s="2854"/>
      <c r="K52" s="4050" t="s">
        <v>1782</v>
      </c>
      <c r="L52" s="4050"/>
      <c r="M52" s="4050"/>
      <c r="N52" s="4050"/>
      <c r="O52" s="4050"/>
      <c r="P52" s="4050"/>
    </row>
    <row r="53" spans="1:17" ht="20.45" customHeight="1">
      <c r="A53" s="2573"/>
      <c r="B53" s="3961" t="s">
        <v>1783</v>
      </c>
      <c r="C53" s="3961"/>
      <c r="D53" s="1099"/>
      <c r="E53" s="264"/>
      <c r="F53" s="2568"/>
      <c r="G53" s="4020"/>
      <c r="H53" s="2572" t="s">
        <v>2740</v>
      </c>
      <c r="I53" s="2570"/>
      <c r="J53" s="2854"/>
      <c r="K53" s="2513" t="s">
        <v>1784</v>
      </c>
      <c r="L53" s="4050" t="s">
        <v>1785</v>
      </c>
      <c r="M53" s="4050"/>
      <c r="N53" s="2513" t="s">
        <v>1786</v>
      </c>
      <c r="O53" s="2513" t="s">
        <v>1787</v>
      </c>
      <c r="P53" s="2513" t="s">
        <v>1788</v>
      </c>
    </row>
    <row r="54" spans="1:17" ht="24" customHeight="1">
      <c r="A54" s="2081" t="s">
        <v>1789</v>
      </c>
      <c r="B54" s="3961" t="s">
        <v>1790</v>
      </c>
      <c r="C54" s="3961"/>
      <c r="D54" s="1099">
        <f>ROUND(D47*'数据-取费表'!E29/(1+'数据-取费表'!F30),0)</f>
        <v>0</v>
      </c>
      <c r="E54" s="2091" t="s">
        <v>1791</v>
      </c>
      <c r="F54" s="2574">
        <f>'数据-取费表'!E29</f>
        <v>5.6000000000000001E-2</v>
      </c>
      <c r="G54" s="2575"/>
      <c r="H54" s="947"/>
      <c r="I54" s="2979"/>
      <c r="J54" s="2854"/>
      <c r="K54" s="2512">
        <v>1</v>
      </c>
      <c r="L54" s="4046" t="s">
        <v>1792</v>
      </c>
      <c r="M54" s="4046"/>
      <c r="N54" s="2514">
        <f>D50</f>
        <v>0</v>
      </c>
      <c r="O54" s="2512" t="str">
        <f>E50</f>
        <v>销售额×税（费）率</v>
      </c>
      <c r="P54" s="2515">
        <f>F50</f>
        <v>5.6000000000000001E-2</v>
      </c>
    </row>
    <row r="55" spans="1:17" ht="12" customHeight="1">
      <c r="A55" s="2081" t="s">
        <v>1793</v>
      </c>
      <c r="B55" s="3924" t="s">
        <v>2832</v>
      </c>
      <c r="C55" s="3962"/>
      <c r="D55" s="1099">
        <f>ROUND(D47*'数据-取费表'!E29/(1+'数据-取费表'!F30),0)</f>
        <v>0</v>
      </c>
      <c r="E55" s="2091" t="s">
        <v>1791</v>
      </c>
      <c r="F55" s="2574">
        <f>'数据-取费表'!E29</f>
        <v>5.6000000000000001E-2</v>
      </c>
      <c r="G55" s="2575"/>
      <c r="H55" s="947"/>
      <c r="I55" s="2979"/>
      <c r="J55" s="2854"/>
      <c r="K55" s="2512">
        <v>2</v>
      </c>
      <c r="L55" s="4046" t="s">
        <v>1794</v>
      </c>
      <c r="M55" s="4046"/>
      <c r="N55" s="2514">
        <f t="shared" ref="N55:P56" si="1">D57</f>
        <v>0</v>
      </c>
      <c r="O55" s="2512" t="str">
        <f t="shared" si="1"/>
        <v>销售额×税（费）率</v>
      </c>
      <c r="P55" s="2515">
        <f t="shared" si="1"/>
        <v>5.0000000000000001E-4</v>
      </c>
    </row>
    <row r="56" spans="1:17" ht="12" customHeight="1">
      <c r="A56" s="2081" t="s">
        <v>1795</v>
      </c>
      <c r="B56" s="3924" t="s">
        <v>2833</v>
      </c>
      <c r="C56" s="3962"/>
      <c r="D56" s="1099">
        <f>C70</f>
        <v>0</v>
      </c>
      <c r="E56" s="264" t="s">
        <v>1796</v>
      </c>
      <c r="F56" s="2574">
        <f>'数据-取费表'!E29</f>
        <v>5.6000000000000001E-2</v>
      </c>
      <c r="G56" s="2575"/>
      <c r="H56" s="2980"/>
      <c r="I56" s="2979"/>
      <c r="J56" s="2854"/>
      <c r="K56" s="2512">
        <v>3</v>
      </c>
      <c r="L56" s="4046" t="s">
        <v>1797</v>
      </c>
      <c r="M56" s="4046"/>
      <c r="N56" s="2514">
        <f t="shared" si="1"/>
        <v>0</v>
      </c>
      <c r="O56" s="2512" t="str">
        <f t="shared" si="1"/>
        <v>增值额×税（费）率</v>
      </c>
      <c r="P56" s="2516" t="str">
        <f t="shared" si="1"/>
        <v>——</v>
      </c>
    </row>
    <row r="57" spans="1:17" ht="24" customHeight="1">
      <c r="A57" s="3922" t="s">
        <v>1798</v>
      </c>
      <c r="B57" s="3923"/>
      <c r="C57" s="3923"/>
      <c r="D57" s="12">
        <f>IF(H57="个人住宅",0,ROUND(D47*I57,0))</f>
        <v>0</v>
      </c>
      <c r="E57" s="2091" t="s">
        <v>1799</v>
      </c>
      <c r="F57" s="2574">
        <f>IF(H57="正常",I57,"免征")</f>
        <v>5.0000000000000001E-4</v>
      </c>
      <c r="G57" s="2575"/>
      <c r="H57" s="2566" t="s">
        <v>1800</v>
      </c>
      <c r="I57" s="74">
        <f>'数据-取费表'!E37</f>
        <v>5.0000000000000001E-4</v>
      </c>
      <c r="J57" s="2854"/>
      <c r="K57" s="2512">
        <f>IF(H61="非个人房产","",4)</f>
        <v>4</v>
      </c>
      <c r="L57" s="4046" t="str">
        <f>IF(H61="非个人房产","——","个人所得税")</f>
        <v>个人所得税</v>
      </c>
      <c r="M57" s="4046"/>
      <c r="N57" s="2517">
        <f>D61</f>
        <v>0</v>
      </c>
      <c r="O57" s="2518" t="str">
        <f>E61</f>
        <v>销售额×税（费）率</v>
      </c>
      <c r="P57" s="2519">
        <f>F61</f>
        <v>0.01</v>
      </c>
    </row>
    <row r="58" spans="1:17" ht="24.75">
      <c r="A58" s="3922" t="s">
        <v>1801</v>
      </c>
      <c r="B58" s="3923"/>
      <c r="C58" s="3923"/>
      <c r="D58" s="12">
        <f>IF(H58="个人住宅",D59,D60)</f>
        <v>0</v>
      </c>
      <c r="E58" s="2091" t="s">
        <v>1802</v>
      </c>
      <c r="F58" s="2574" t="str">
        <f>IF(H58="正常",F60,"免征")</f>
        <v>——</v>
      </c>
      <c r="G58" s="2576" t="s">
        <v>1803</v>
      </c>
      <c r="H58" s="2577" t="s">
        <v>1800</v>
      </c>
      <c r="I58" s="2981"/>
      <c r="J58" s="2854"/>
      <c r="K58" s="2512" t="str">
        <f>IF(项目基本情况!I6="上海银行",IF(K57="",4,K57+1),"")</f>
        <v/>
      </c>
      <c r="L58" s="4048" t="str">
        <f>IF(项目基本情况!I6="上海银行","其他处置费用","")</f>
        <v/>
      </c>
      <c r="M58" s="4049"/>
      <c r="N58" s="2514" t="str">
        <f>IF(项目基本情况!I6="上海银行",N71,"")</f>
        <v/>
      </c>
      <c r="O58" s="4048" t="str">
        <f>IF(项目基本情况!I6="上海银行","包含处置中涉及的律师、诉讼、拍卖、评估等费用","")</f>
        <v/>
      </c>
      <c r="P58" s="4052"/>
    </row>
    <row r="59" spans="1:17" ht="12.75">
      <c r="A59" s="2081" t="s">
        <v>1778</v>
      </c>
      <c r="B59" s="3924" t="s">
        <v>1804</v>
      </c>
      <c r="C59" s="3962"/>
      <c r="D59" s="2567">
        <v>0</v>
      </c>
      <c r="E59" s="261" t="s">
        <v>1780</v>
      </c>
      <c r="F59" s="235"/>
      <c r="G59" s="2575"/>
      <c r="H59" s="2981"/>
      <c r="I59" s="2981"/>
      <c r="J59" s="2854"/>
      <c r="K59" s="4046">
        <f>IF(AND(K57="",K58=""),4,IF(项目基本情况!I6="上海银行",K58+1,K57+1))</f>
        <v>5</v>
      </c>
      <c r="L59" s="4046" t="s">
        <v>1805</v>
      </c>
      <c r="M59" s="2520" t="s">
        <v>1806</v>
      </c>
      <c r="N59" s="2521"/>
      <c r="O59" s="2522">
        <f>SUMIF(N54:N58,"&lt;9e307")</f>
        <v>0</v>
      </c>
      <c r="P59" s="2523"/>
      <c r="Q59" s="1306" t="e">
        <f>O59/N51</f>
        <v>#VALUE!</v>
      </c>
    </row>
    <row r="60" spans="1:17" ht="24.75">
      <c r="A60" s="2081" t="s">
        <v>1789</v>
      </c>
      <c r="B60" s="3924" t="s">
        <v>1807</v>
      </c>
      <c r="C60" s="3961"/>
      <c r="D60" s="12">
        <f>IF(H60="转让取得",C83,C99)</f>
        <v>0</v>
      </c>
      <c r="E60" s="2091" t="s">
        <v>1802</v>
      </c>
      <c r="F60" s="235" t="s">
        <v>48</v>
      </c>
      <c r="G60" s="2575"/>
      <c r="H60" s="2577" t="s">
        <v>1808</v>
      </c>
      <c r="I60" s="2981"/>
      <c r="J60" s="2854"/>
      <c r="K60" s="4046"/>
      <c r="L60" s="4046"/>
      <c r="M60" s="2520" t="s">
        <v>1809</v>
      </c>
      <c r="N60" s="2524"/>
      <c r="O60" s="2525" t="str">
        <f>IF(H19="元",NUMBERSTRING(INT(O59),2)&amp;"元整",NUMBERSTRING(INT(O59*10000),2)&amp;"元整")</f>
        <v>零元整</v>
      </c>
      <c r="P60" s="2526"/>
    </row>
    <row r="61" spans="1:17" ht="26.25" thickBot="1">
      <c r="A61" s="3946" t="s">
        <v>1810</v>
      </c>
      <c r="B61" s="3947"/>
      <c r="C61" s="3947"/>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2811</v>
      </c>
      <c r="H61" s="2095" t="s">
        <v>2737</v>
      </c>
      <c r="I61" s="2882" t="s">
        <v>2823</v>
      </c>
      <c r="J61" s="2854"/>
      <c r="K61" s="4044">
        <f>K59+1</f>
        <v>6</v>
      </c>
      <c r="L61" s="4046" t="s">
        <v>1811</v>
      </c>
      <c r="M61" s="2512" t="s">
        <v>1806</v>
      </c>
      <c r="N61" s="2527"/>
      <c r="O61" s="2528" t="e">
        <f>N51-O59</f>
        <v>#VALUE!</v>
      </c>
      <c r="P61" s="2529"/>
    </row>
    <row r="62" spans="1:17" ht="12" customHeight="1">
      <c r="A62" s="1457"/>
      <c r="B62" s="2562"/>
      <c r="C62" s="2562"/>
      <c r="D62" s="2562"/>
      <c r="E62" s="1457"/>
      <c r="F62" s="2981"/>
      <c r="G62" s="2981"/>
      <c r="H62" s="2976"/>
      <c r="I62" s="947"/>
      <c r="J62" s="2854"/>
      <c r="K62" s="4045"/>
      <c r="L62" s="4046"/>
      <c r="M62" s="2520" t="s">
        <v>1809</v>
      </c>
      <c r="N62" s="2524"/>
      <c r="O62" s="2525" t="e">
        <f>IF(H19="元",NUMBERSTRING(INT(O61),2)&amp;"元整",NUMBERSTRING(INT(O61*10000),2)&amp;"元整")</f>
        <v>#VALUE!</v>
      </c>
      <c r="P62" s="2526"/>
    </row>
    <row r="63" spans="1:17" ht="13.5" thickBot="1">
      <c r="A63" s="4047" t="s">
        <v>1812</v>
      </c>
      <c r="B63" s="4047"/>
      <c r="C63" s="4047"/>
      <c r="D63" s="4047"/>
      <c r="E63" s="4047"/>
      <c r="F63" s="2981"/>
      <c r="G63" s="2981"/>
      <c r="H63" s="2976"/>
      <c r="I63" s="947"/>
      <c r="J63" s="2846"/>
      <c r="K63" s="2512">
        <f>K61+1</f>
        <v>7</v>
      </c>
      <c r="L63" s="4046" t="s">
        <v>1813</v>
      </c>
      <c r="M63" s="4046"/>
      <c r="N63" s="2530"/>
      <c r="O63" s="2531" t="e">
        <f>IF(H19="元",ROUND(O61/项目基本情况!C12,0),ROUND(O61*10000/项目基本情况!C12,0))</f>
        <v>#VALUE!</v>
      </c>
      <c r="P63" s="2532"/>
    </row>
    <row r="64" spans="1:17" ht="12.75">
      <c r="A64" s="3980" t="s">
        <v>1814</v>
      </c>
      <c r="B64" s="3981"/>
      <c r="C64" s="1606"/>
      <c r="D64" s="1606" t="s">
        <v>1815</v>
      </c>
      <c r="E64" s="45" t="s">
        <v>1816</v>
      </c>
      <c r="F64" s="2981"/>
      <c r="G64" s="2981"/>
      <c r="H64" s="2976"/>
      <c r="I64" s="947"/>
      <c r="J64" s="2846"/>
      <c r="K64" s="1308"/>
      <c r="L64" s="1308"/>
      <c r="M64" s="1308"/>
      <c r="N64" s="1308"/>
      <c r="O64" s="1308"/>
    </row>
    <row r="65" spans="1:36" ht="12.75">
      <c r="A65" s="46">
        <v>1</v>
      </c>
      <c r="B65" s="47" t="s">
        <v>1817</v>
      </c>
      <c r="C65" s="2785">
        <f>ROUND((C66+C67)/(1+'数据-取费表'!F30),0)</f>
        <v>0</v>
      </c>
      <c r="D65" s="47"/>
      <c r="E65" s="48"/>
      <c r="F65" s="2981"/>
      <c r="G65" s="2981"/>
      <c r="H65" s="2976"/>
      <c r="I65" s="947"/>
      <c r="J65" s="2846"/>
      <c r="K65" s="4054" t="s">
        <v>1818</v>
      </c>
      <c r="L65" s="1307" t="s">
        <v>1819</v>
      </c>
      <c r="M65" s="1307" t="e">
        <f>IF(N51&gt;10000,N51*0.5%,IF(AND(N51&gt;1000,N51&lt;=10000),N51*1%,IF(AND(N51&gt;100,N51&lt;=1000),N51*3%,IF(AND(N51&gt;10,N51&lt;=100),N51*5%,N51*8%))))</f>
        <v>#VALUE!</v>
      </c>
      <c r="N65" s="235" t="e">
        <f>ROUND(M65,1)</f>
        <v>#VALUE!</v>
      </c>
      <c r="O65" s="2533"/>
    </row>
    <row r="66" spans="1:36" ht="12.75">
      <c r="A66" s="49" t="s">
        <v>71</v>
      </c>
      <c r="B66" s="50" t="s">
        <v>1820</v>
      </c>
      <c r="C66" s="2786">
        <f>D47</f>
        <v>0</v>
      </c>
      <c r="D66" s="50" t="s">
        <v>41</v>
      </c>
      <c r="E66" s="52"/>
      <c r="F66" s="2981"/>
      <c r="G66" s="2981"/>
      <c r="H66" s="2976"/>
      <c r="I66" s="947"/>
      <c r="J66" s="2846"/>
      <c r="K66" s="4054"/>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1822</v>
      </c>
    </row>
    <row r="67" spans="1:36" ht="12.75">
      <c r="A67" s="49" t="s">
        <v>72</v>
      </c>
      <c r="B67" s="50" t="s">
        <v>1823</v>
      </c>
      <c r="C67" s="2787"/>
      <c r="D67" s="50"/>
      <c r="E67" s="52"/>
      <c r="F67" s="2981"/>
      <c r="G67" s="2981"/>
      <c r="H67" s="2976"/>
      <c r="I67" s="947"/>
      <c r="J67" s="2846"/>
      <c r="K67" s="4054"/>
      <c r="L67" s="1307" t="s">
        <v>1824</v>
      </c>
      <c r="M67" s="1307" t="e">
        <f>IF(N51&gt;1000,N51*0.1%,IF(AND(N51&gt;500,N51&lt;=1000),N51*0.5%,IF(AND(N51&gt;50,N51&lt;=500),N51*1%,IF(AND(N51&gt;1,N51&lt;=50),N51*1.5%))))</f>
        <v>#VALUE!</v>
      </c>
      <c r="N67" s="235" t="e">
        <f t="shared" si="2"/>
        <v>#VALUE!</v>
      </c>
      <c r="O67" s="2533" t="s">
        <v>1822</v>
      </c>
    </row>
    <row r="68" spans="1:36" ht="12.75">
      <c r="A68" s="53" t="s">
        <v>47</v>
      </c>
      <c r="B68" s="54" t="s">
        <v>1825</v>
      </c>
      <c r="C68" s="2788"/>
      <c r="D68" s="54" t="s">
        <v>41</v>
      </c>
      <c r="E68" s="1316" t="s">
        <v>1826</v>
      </c>
      <c r="F68" s="2981"/>
      <c r="G68" s="2981"/>
      <c r="H68" s="2976"/>
      <c r="I68" s="947"/>
      <c r="J68" s="2846"/>
      <c r="K68" s="4054"/>
      <c r="L68" s="1307" t="s">
        <v>1827</v>
      </c>
      <c r="M68" s="1307" t="e">
        <f>N51*0.5%</f>
        <v>#VALUE!</v>
      </c>
      <c r="N68" s="235" t="e">
        <f>IF(M68&gt;0.5,0.5,ROUND(M68,0))</f>
        <v>#VALUE!</v>
      </c>
      <c r="O68" s="2533" t="s">
        <v>1828</v>
      </c>
    </row>
    <row r="69" spans="1:36" ht="12.75">
      <c r="A69" s="53" t="s">
        <v>42</v>
      </c>
      <c r="B69" s="54" t="s">
        <v>1829</v>
      </c>
      <c r="C69" s="2789">
        <f>C65-C68</f>
        <v>0</v>
      </c>
      <c r="D69" s="50" t="s">
        <v>41</v>
      </c>
      <c r="E69" s="52"/>
      <c r="F69" s="2981"/>
      <c r="G69" s="2981"/>
      <c r="H69" s="2976"/>
      <c r="I69" s="947"/>
      <c r="J69" s="2846"/>
      <c r="K69" s="4054"/>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1831</v>
      </c>
      <c r="C70" s="2790">
        <f>IF(C69&lt;=0,0,ROUND(C69*D70,0))</f>
        <v>0</v>
      </c>
      <c r="D70" s="2241">
        <f>'数据-取费表'!E29</f>
        <v>5.6000000000000001E-2</v>
      </c>
      <c r="E70" s="57"/>
      <c r="F70" s="2981"/>
      <c r="G70" s="2981"/>
      <c r="H70" s="2976"/>
      <c r="I70" s="947"/>
      <c r="J70" s="2846"/>
      <c r="K70" s="4054"/>
      <c r="L70" s="1307" t="s">
        <v>1832</v>
      </c>
      <c r="M70" s="1307" t="e">
        <f>IF(N51&gt;10000,N51*0.5%,IF(AND(N51&gt;5000,N51&lt;=10000),N51*1%,IF(AND(N51&gt;1000,N51&lt;=5000),N51*2%,IF(AND(N51&gt;200,N51&lt;=1000),N51*3%,N51*5%))))</f>
        <v>#VALUE!</v>
      </c>
      <c r="N70" s="235" t="e">
        <f>ROUND(M70,1)</f>
        <v>#VALUE!</v>
      </c>
      <c r="O70" s="2533"/>
    </row>
    <row r="71" spans="1:36" s="1465" customFormat="1" ht="7.5" customHeight="1">
      <c r="A71" s="1477"/>
      <c r="B71" s="1478"/>
      <c r="C71" s="2791"/>
      <c r="D71" s="2284"/>
      <c r="E71" s="1481"/>
      <c r="F71" s="1457"/>
      <c r="G71" s="1457"/>
      <c r="H71" s="1481"/>
      <c r="I71" s="2562"/>
      <c r="J71" s="2846"/>
      <c r="K71" s="4054"/>
      <c r="L71" s="1307" t="s">
        <v>1833</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4041" t="s">
        <v>1834</v>
      </c>
      <c r="B72" s="4042"/>
      <c r="C72" s="4042"/>
      <c r="D72" s="4042"/>
      <c r="E72" s="4042"/>
      <c r="F72" s="4042"/>
      <c r="G72" s="4042"/>
      <c r="H72" s="4042"/>
      <c r="I72" s="1482"/>
      <c r="J72" s="285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980" t="s">
        <v>1814</v>
      </c>
      <c r="B73" s="3981"/>
      <c r="C73" s="1606"/>
      <c r="D73" s="1606" t="s">
        <v>1815</v>
      </c>
      <c r="E73" s="58" t="s">
        <v>1816</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89">
        <f>ROUND(D47/(1+'数据-取费表'!F30),0)</f>
        <v>0</v>
      </c>
      <c r="D74" s="50" t="s">
        <v>41</v>
      </c>
      <c r="E74" s="2087"/>
      <c r="F74" s="2088"/>
      <c r="G74" s="2088"/>
      <c r="H74" s="62"/>
      <c r="I74" s="2792"/>
      <c r="J74" s="287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89">
        <f>C76+C80</f>
        <v>0</v>
      </c>
      <c r="D75" s="50" t="s">
        <v>41</v>
      </c>
      <c r="E75" s="2087"/>
      <c r="F75" s="2088"/>
      <c r="G75" s="2088"/>
      <c r="H75" s="62"/>
      <c r="I75" s="2792"/>
      <c r="J75" s="287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7"/>
      <c r="F76" s="2088"/>
      <c r="G76" s="2088"/>
      <c r="H76" s="62"/>
      <c r="I76" s="2792"/>
      <c r="J76" s="287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7"/>
      <c r="D77" s="50" t="s">
        <v>41</v>
      </c>
      <c r="E77" s="64" t="s">
        <v>1840</v>
      </c>
      <c r="F77" s="2793" t="s">
        <v>1841</v>
      </c>
      <c r="G77" s="64" t="s">
        <v>1842</v>
      </c>
      <c r="H77" s="2794"/>
      <c r="I77" s="608"/>
      <c r="J77" s="287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5">
        <v>0.05</v>
      </c>
      <c r="E78" s="3924" t="s">
        <v>1844</v>
      </c>
      <c r="F78" s="3961"/>
      <c r="G78" s="3961"/>
      <c r="H78" s="3975"/>
      <c r="I78" s="2792"/>
      <c r="J78" s="287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6">
        <f>'数据-取费表'!E36+'数据-取费表'!E37</f>
        <v>3.0499999999999999E-2</v>
      </c>
      <c r="E79" s="12" t="s">
        <v>1846</v>
      </c>
      <c r="F79" s="2094"/>
      <c r="G79" s="1486" t="s">
        <v>1847</v>
      </c>
      <c r="H79" s="2089"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7">
        <f>ROUND(D47*D80/(1+'数据-取费表'!F30),0)</f>
        <v>0</v>
      </c>
      <c r="D80" s="2798">
        <f>'数据-取费表'!E31</f>
        <v>6.000000000000001E-3</v>
      </c>
      <c r="E80" s="3955" t="s">
        <v>1849</v>
      </c>
      <c r="F80" s="3956"/>
      <c r="G80" s="3956"/>
      <c r="H80" s="3957"/>
      <c r="I80" s="609"/>
      <c r="J80" s="287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89">
        <f>C74-C75</f>
        <v>0</v>
      </c>
      <c r="D81" s="50" t="s">
        <v>41</v>
      </c>
      <c r="E81" s="2087"/>
      <c r="F81" s="2088"/>
      <c r="G81" s="2088"/>
      <c r="H81" s="62"/>
      <c r="I81" s="2792"/>
      <c r="J81" s="287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2"/>
      <c r="J82" s="287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0">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4041" t="s">
        <v>1853</v>
      </c>
      <c r="B85" s="4042"/>
      <c r="C85" s="4042"/>
      <c r="D85" s="4042"/>
      <c r="E85" s="4042"/>
      <c r="F85" s="4042"/>
      <c r="G85" s="4042"/>
      <c r="H85" s="4042"/>
      <c r="I85" s="608"/>
      <c r="J85" s="287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980" t="s">
        <v>1814</v>
      </c>
      <c r="B86" s="3981"/>
      <c r="C86" s="1606"/>
      <c r="D86" s="1606" t="s">
        <v>1815</v>
      </c>
      <c r="E86" s="58" t="s">
        <v>1816</v>
      </c>
      <c r="F86" s="59"/>
      <c r="G86" s="59"/>
      <c r="H86" s="72"/>
      <c r="I86" s="608"/>
      <c r="J86" s="287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89">
        <f>ROUND(D47/(1+'数据-取费表'!F30),0)</f>
        <v>0</v>
      </c>
      <c r="D87" s="50" t="s">
        <v>41</v>
      </c>
      <c r="E87" s="2087"/>
      <c r="F87" s="2088"/>
      <c r="G87" s="2088"/>
      <c r="H87" s="73"/>
      <c r="I87" s="608"/>
      <c r="J87" s="287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89">
        <f>IF(H90="仅含出让金",C89+C92+C93+C94+C95+C96,C89+C93+C94+C95+C96)</f>
        <v>0</v>
      </c>
      <c r="D88" s="2801"/>
      <c r="E88" s="2087"/>
      <c r="F88" s="2088"/>
      <c r="G88" s="2088"/>
      <c r="H88" s="73"/>
      <c r="I88" s="608"/>
      <c r="J88" s="287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7">
        <f>C90+C91</f>
        <v>0</v>
      </c>
      <c r="D89" s="2798"/>
      <c r="E89" s="2084"/>
      <c r="F89" s="2085"/>
      <c r="G89" s="2085"/>
      <c r="H89" s="2086"/>
      <c r="I89" s="608"/>
      <c r="J89" s="287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2"/>
      <c r="D90" s="2798"/>
      <c r="E90" s="74" t="s">
        <v>1856</v>
      </c>
      <c r="F90" s="2085"/>
      <c r="G90" s="75" t="s">
        <v>1857</v>
      </c>
      <c r="H90" s="1488"/>
      <c r="I90" s="608"/>
      <c r="J90" s="2878"/>
      <c r="K90" s="2973" t="s">
        <v>2815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7">
        <f>ROUND(C90*D91,0)</f>
        <v>0</v>
      </c>
      <c r="D91" s="2798">
        <f>'数据-取费表'!E36+'数据-取费表'!E37</f>
        <v>3.0499999999999999E-2</v>
      </c>
      <c r="E91" s="74" t="s">
        <v>1858</v>
      </c>
      <c r="F91" s="2085"/>
      <c r="G91" s="2085"/>
      <c r="H91" s="2086"/>
      <c r="I91" s="608"/>
      <c r="J91" s="287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2"/>
      <c r="D92" s="2798"/>
      <c r="E92" s="74" t="str">
        <f>IF(H90="-","土地取得成本中已包含该笔费用"," ")</f>
        <v xml:space="preserve"> </v>
      </c>
      <c r="F92" s="2085"/>
      <c r="G92" s="4016" t="s">
        <v>2732</v>
      </c>
      <c r="H92" s="4043"/>
      <c r="I92" s="608"/>
      <c r="J92" s="2878"/>
      <c r="K92" s="2973" t="s">
        <v>2816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7">
        <f>IF(H93="——",成本法!C33,I93)</f>
        <v>0</v>
      </c>
      <c r="D93" s="2798"/>
      <c r="E93" s="3955" t="s">
        <v>1861</v>
      </c>
      <c r="F93" s="3956"/>
      <c r="G93" s="3956"/>
      <c r="H93" s="1489" t="s">
        <v>1862</v>
      </c>
      <c r="I93" s="2803"/>
      <c r="J93" s="288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7">
        <f>ROUND((C89+C92+C93)*D94,0)</f>
        <v>0</v>
      </c>
      <c r="D94" s="2798">
        <v>0.1</v>
      </c>
      <c r="E94" s="3955" t="s">
        <v>1864</v>
      </c>
      <c r="F94" s="3956"/>
      <c r="G94" s="3956"/>
      <c r="H94" s="3957"/>
      <c r="I94" s="608"/>
      <c r="J94" s="2878"/>
      <c r="K94" s="2974" t="s">
        <v>2817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7">
        <f>ROUND(D47*D95/(1+'数据-取费表'!F30),0)</f>
        <v>0</v>
      </c>
      <c r="D95" s="2798">
        <f>'数据-取费表'!E31</f>
        <v>6.000000000000001E-3</v>
      </c>
      <c r="E95" s="3955" t="s">
        <v>1849</v>
      </c>
      <c r="F95" s="3956"/>
      <c r="G95" s="3956"/>
      <c r="H95" s="3957"/>
      <c r="I95" s="608"/>
      <c r="J95" s="287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7">
        <f>ROUND((C89+C92+C93)*D96,0)</f>
        <v>0</v>
      </c>
      <c r="D96" s="2798">
        <v>0.2</v>
      </c>
      <c r="E96" s="3955" t="s">
        <v>1866</v>
      </c>
      <c r="F96" s="3956"/>
      <c r="G96" s="3956"/>
      <c r="H96" s="3957"/>
      <c r="I96" s="608"/>
      <c r="J96" s="287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89">
        <f>ROUND(C87-C88,0)</f>
        <v>0</v>
      </c>
      <c r="D97" s="50" t="s">
        <v>41</v>
      </c>
      <c r="E97" s="2087"/>
      <c r="F97" s="2088"/>
      <c r="G97" s="2088"/>
      <c r="H97" s="73"/>
      <c r="I97" s="608"/>
      <c r="J97" s="287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4002" t="s">
        <v>1868</v>
      </c>
      <c r="B101" s="4003"/>
      <c r="C101" s="4003"/>
      <c r="D101" s="4004"/>
      <c r="E101" s="1461"/>
      <c r="F101" s="4038" t="s">
        <v>2774</v>
      </c>
      <c r="G101" s="4039"/>
      <c r="H101" s="4039"/>
      <c r="I101" s="4040"/>
      <c r="J101" s="2881"/>
    </row>
    <row r="102" spans="1:36" ht="15">
      <c r="A102" s="4014" t="s">
        <v>1870</v>
      </c>
      <c r="B102" s="4015"/>
      <c r="C102" s="2804">
        <f>C4</f>
        <v>0</v>
      </c>
      <c r="D102" s="2805">
        <f>D4</f>
        <v>0</v>
      </c>
      <c r="E102" s="1461"/>
      <c r="F102" s="3927" t="s">
        <v>2775</v>
      </c>
      <c r="G102" s="3928"/>
      <c r="H102" s="3933" t="s">
        <v>2776</v>
      </c>
      <c r="I102" s="3926"/>
      <c r="J102" s="2861"/>
    </row>
    <row r="103" spans="1:36" ht="12.75">
      <c r="A103" s="4035" t="s">
        <v>2770</v>
      </c>
      <c r="B103" s="2306" t="str">
        <f>IF(H19="元","总价（元）","总价（万元）")</f>
        <v>总价（元）</v>
      </c>
      <c r="C103" s="1307" t="e">
        <f ca="1">C19</f>
        <v>#REF!</v>
      </c>
      <c r="D103" s="2808" t="e">
        <f ca="1">D19</f>
        <v>#REF!</v>
      </c>
      <c r="E103" s="1461"/>
      <c r="F103" s="4036"/>
      <c r="G103" s="4037"/>
      <c r="H103" s="3925">
        <f>典型户型修正!B25</f>
        <v>0</v>
      </c>
      <c r="I103" s="3926"/>
      <c r="J103" s="2861"/>
    </row>
    <row r="104" spans="1:36" ht="12.75">
      <c r="A104" s="4035"/>
      <c r="B104" s="2306" t="s">
        <v>2771</v>
      </c>
      <c r="C104" s="2809" t="e">
        <f ca="1">C20</f>
        <v>#REF!</v>
      </c>
      <c r="D104" s="2810" t="e">
        <f ca="1">D20</f>
        <v>#REF!</v>
      </c>
      <c r="E104" s="1461"/>
      <c r="F104" s="3937" t="s">
        <v>2777</v>
      </c>
      <c r="G104" s="3938"/>
      <c r="H104" s="2818" t="str">
        <f>C110</f>
        <v>总价（元）</v>
      </c>
      <c r="I104" s="2819">
        <f>H125</f>
        <v>0</v>
      </c>
      <c r="J104" s="2861"/>
    </row>
    <row r="105" spans="1:36" ht="12.75">
      <c r="A105" s="4035" t="s">
        <v>2772</v>
      </c>
      <c r="B105" s="2244" t="str">
        <f>B103</f>
        <v>总价（元）</v>
      </c>
      <c r="C105" s="12" t="e">
        <f ca="1">ROUND(IF('数据-取费表'!B4="总价",G19,IF(H19="元",G20*'数据-取费表'!E5,G20*'数据-取费表'!E5/10000)),0)</f>
        <v>#REF!</v>
      </c>
      <c r="D105" s="2811"/>
      <c r="E105" s="1461"/>
      <c r="F105" s="3937"/>
      <c r="G105" s="3938"/>
      <c r="H105" s="2818" t="s">
        <v>2778</v>
      </c>
      <c r="I105" s="52" t="e">
        <f>I125</f>
        <v>#DIV/0!</v>
      </c>
      <c r="J105" s="2845"/>
    </row>
    <row r="106" spans="1:36" ht="12.75">
      <c r="A106" s="4035"/>
      <c r="B106" s="2306" t="s">
        <v>2771</v>
      </c>
      <c r="C106" s="1481" t="e">
        <f ca="1">ROUND(IF('数据-取费表'!B4="楼面单价",G20,IF(H19="元",G19/'数据-取费表'!E5,G19*10000/'数据-取费表'!E5)),0)</f>
        <v>#REF!</v>
      </c>
      <c r="D106" s="2811"/>
      <c r="E106" s="1461"/>
      <c r="F106" s="3937"/>
      <c r="G106" s="3938"/>
      <c r="H106" s="3996"/>
      <c r="I106" s="3997"/>
      <c r="J106" s="2862"/>
    </row>
    <row r="107" spans="1:36" ht="12.75">
      <c r="A107" s="4029" t="s">
        <v>2773</v>
      </c>
      <c r="B107" s="2812" t="str">
        <f>B103</f>
        <v>总价（元）</v>
      </c>
      <c r="C107" s="2813">
        <f>H125</f>
        <v>0</v>
      </c>
      <c r="D107" s="2814"/>
      <c r="E107" s="1461"/>
      <c r="F107" s="4000" t="s">
        <v>2779</v>
      </c>
      <c r="G107" s="4001"/>
      <c r="H107" s="2820" t="str">
        <f>C112</f>
        <v>总额（元）</v>
      </c>
      <c r="I107" s="2819">
        <f>SUMIF(I108:I110,"&lt;9E307")</f>
        <v>0</v>
      </c>
      <c r="J107" s="2861"/>
    </row>
    <row r="108" spans="1:36" ht="15" thickBot="1">
      <c r="A108" s="3995"/>
      <c r="B108" s="2815" t="s">
        <v>2771</v>
      </c>
      <c r="C108" s="2816" t="e">
        <f>I125</f>
        <v>#DIV/0!</v>
      </c>
      <c r="D108" s="2817"/>
      <c r="E108" s="1461"/>
      <c r="F108" s="3939" t="s">
        <v>2780</v>
      </c>
      <c r="G108" s="3940"/>
      <c r="H108" s="2820" t="str">
        <f>C113</f>
        <v>总额（元）</v>
      </c>
      <c r="I108" s="2821">
        <f>IF(D38="同一抵押权人同一抵押物续贷",C38&amp;"（续贷，未扣减，详见特别提示）",C38)</f>
        <v>0</v>
      </c>
      <c r="J108" s="2845"/>
      <c r="L108" s="1464" t="str">
        <f>IF(D125=0,"本次评估不存在"&amp;A125&amp;"。","本次评估"&amp;A125&amp;"为"&amp;D125&amp;"元人民币。")</f>
        <v>本次评估不存在北京市房地产。</v>
      </c>
      <c r="M108" s="1461"/>
      <c r="N108" s="1461"/>
      <c r="O108" s="1461"/>
      <c r="P108" s="1461"/>
      <c r="Q108" s="1461"/>
    </row>
    <row r="109" spans="1:36" ht="15">
      <c r="A109" s="4032" t="s">
        <v>1871</v>
      </c>
      <c r="B109" s="4033"/>
      <c r="C109" s="4033"/>
      <c r="D109" s="4034"/>
      <c r="E109" s="1461"/>
      <c r="F109" s="3939" t="s">
        <v>2781</v>
      </c>
      <c r="G109" s="3940"/>
      <c r="H109" s="2820" t="str">
        <f>C114</f>
        <v>总额（元）</v>
      </c>
      <c r="I109" s="52">
        <f>C39</f>
        <v>0</v>
      </c>
      <c r="J109" s="2845"/>
    </row>
    <row r="110" spans="1:36" ht="12.75">
      <c r="A110" s="3937" t="s">
        <v>2784</v>
      </c>
      <c r="B110" s="3938"/>
      <c r="C110" s="2818" t="str">
        <f>B103</f>
        <v>总价（元）</v>
      </c>
      <c r="D110" s="2819">
        <f>H125</f>
        <v>0</v>
      </c>
      <c r="E110" s="1461"/>
      <c r="F110" s="3939" t="s">
        <v>2782</v>
      </c>
      <c r="G110" s="3940"/>
      <c r="H110" s="2820" t="str">
        <f>C115</f>
        <v>总额（元）</v>
      </c>
      <c r="I110" s="52">
        <f>C40</f>
        <v>0</v>
      </c>
      <c r="J110" s="2845"/>
    </row>
    <row r="111" spans="1:36" ht="12.75">
      <c r="A111" s="3937"/>
      <c r="B111" s="3938"/>
      <c r="C111" s="2818" t="s">
        <v>2785</v>
      </c>
      <c r="D111" s="52" t="e">
        <f>I125</f>
        <v>#DIV/0!</v>
      </c>
      <c r="E111" s="1461"/>
      <c r="F111" s="3937"/>
      <c r="G111" s="3938"/>
      <c r="H111" s="3998"/>
      <c r="I111" s="3999"/>
      <c r="J111" s="2863"/>
    </row>
    <row r="112" spans="1:36" ht="28.5" customHeight="1">
      <c r="A112" s="3944" t="s">
        <v>2779</v>
      </c>
      <c r="B112" s="3945"/>
      <c r="C112" s="2820" t="str">
        <f>IF(H19="元","总额（元）","总额（万元）")</f>
        <v>总额（元）</v>
      </c>
      <c r="D112" s="2819">
        <f>IF(D38="正常操作",I108+I109+I110,I109+I110)</f>
        <v>0</v>
      </c>
      <c r="E112" s="1461"/>
      <c r="F112" s="3929" t="str">
        <f>IF(项目基本情况!F5="已注销","——","3.房地产抵押价值")</f>
        <v>3.房地产抵押价值</v>
      </c>
      <c r="G112" s="3930"/>
      <c r="H112" s="1481" t="str">
        <f>C116</f>
        <v>总价（元）</v>
      </c>
      <c r="I112" s="2819">
        <f>IF(F112="——","——",I104-I107)</f>
        <v>0</v>
      </c>
      <c r="J112" s="2861"/>
    </row>
    <row r="113" spans="1:27" ht="12.75">
      <c r="A113" s="3939" t="s">
        <v>2786</v>
      </c>
      <c r="B113" s="3940"/>
      <c r="C113" s="2820" t="str">
        <f>C112</f>
        <v>总额（元）</v>
      </c>
      <c r="D113" s="52">
        <f>IF(D38="同一抵押权人同一抵押物续贷",C38&amp;"（未扣减，详见特别提示）",C38)</f>
        <v>0</v>
      </c>
      <c r="E113" s="1461"/>
      <c r="F113" s="4027"/>
      <c r="G113" s="4028"/>
      <c r="H113" s="2818" t="s">
        <v>2778</v>
      </c>
      <c r="I113" s="2822" t="e">
        <f>D117</f>
        <v>#DIV/0!</v>
      </c>
      <c r="J113" s="2864"/>
    </row>
    <row r="114" spans="1:27" ht="12.75">
      <c r="A114" s="3939" t="s">
        <v>2787</v>
      </c>
      <c r="B114" s="3940"/>
      <c r="C114" s="2820" t="str">
        <f>C112</f>
        <v>总额（元）</v>
      </c>
      <c r="D114" s="52">
        <f>C39</f>
        <v>0</v>
      </c>
      <c r="E114" s="1461"/>
      <c r="F114" s="3929" t="str">
        <f>IF(项目基本情况!F5="已注销及未注销","4.抵押担保权已注销时的房地产抵押价值",IF(项目基本情况!F5="已注销","3.抵押担保权已注销时的房地产抵押价值","——"))</f>
        <v>——</v>
      </c>
      <c r="G114" s="3930"/>
      <c r="H114" s="1481" t="str">
        <f>C118</f>
        <v>总价（元）</v>
      </c>
      <c r="I114" s="2819" t="str">
        <f>IF(F114="——","——",I104-I109-I110)</f>
        <v>——</v>
      </c>
      <c r="J114" s="2861"/>
    </row>
    <row r="115" spans="1:27" ht="12.75">
      <c r="A115" s="3939" t="s">
        <v>2788</v>
      </c>
      <c r="B115" s="3940"/>
      <c r="C115" s="2820" t="str">
        <f>C112</f>
        <v>总额（元）</v>
      </c>
      <c r="D115" s="52">
        <f>C40</f>
        <v>0</v>
      </c>
      <c r="E115" s="1461"/>
      <c r="F115" s="4027"/>
      <c r="G115" s="4028"/>
      <c r="H115" s="2818" t="s">
        <v>2778</v>
      </c>
      <c r="I115" s="52" t="str">
        <f>D119</f>
        <v>——</v>
      </c>
      <c r="J115" s="2845"/>
    </row>
    <row r="116" spans="1:27" ht="12.75">
      <c r="A116" s="3937" t="str">
        <f>IF(项目基本情况!F5="已注销","——","3.房地产抵押价值")</f>
        <v>3.房地产抵押价值</v>
      </c>
      <c r="B116" s="3938"/>
      <c r="C116" s="2818" t="str">
        <f>B103</f>
        <v>总价（元）</v>
      </c>
      <c r="D116" s="2819">
        <f>IF(A116="——","——",D110-D112)</f>
        <v>0</v>
      </c>
      <c r="E116" s="1461"/>
      <c r="F116" s="3929" t="str">
        <f>IF(项目基本情况!G5="抵押净值",IF(OR(项目基本情况!F5="已注销",项目基本情况!F5="房地产抵押价值"),"4.抵押净值","5.抵押净值"),"——")</f>
        <v>——</v>
      </c>
      <c r="G116" s="3930"/>
      <c r="H116" s="2818" t="str">
        <f>C120</f>
        <v>总价（元）</v>
      </c>
      <c r="I116" s="2819" t="str">
        <f>IF(F116="——","——",O61)</f>
        <v>——</v>
      </c>
      <c r="J116" s="2861"/>
    </row>
    <row r="117" spans="1:27" ht="13.5" thickBot="1">
      <c r="A117" s="3937"/>
      <c r="B117" s="3938"/>
      <c r="C117" s="2818" t="s">
        <v>2785</v>
      </c>
      <c r="D117" s="52" t="e">
        <f>ROUND(IF(D116=D110,D111,IF(H19="元",D116/B125,D116*10000/B125)),0)</f>
        <v>#DIV/0!</v>
      </c>
      <c r="E117" s="1461"/>
      <c r="F117" s="3931"/>
      <c r="G117" s="3932"/>
      <c r="H117" s="2823" t="s">
        <v>2778</v>
      </c>
      <c r="I117" s="2807" t="str">
        <f>D121</f>
        <v>——</v>
      </c>
      <c r="J117" s="2845"/>
    </row>
    <row r="118" spans="1:27" ht="15.75">
      <c r="A118" s="3937" t="str">
        <f>IF(项目基本情况!F5="已注销及未注销","4.抵押担保权已注销时的房地产抵押价值",IF(项目基本情况!F5="已注销","3.抵押担保权已注销时的房地产抵押价值","——"))</f>
        <v>——</v>
      </c>
      <c r="B118" s="3938"/>
      <c r="C118" s="2818" t="str">
        <f>B103</f>
        <v>总价（元）</v>
      </c>
      <c r="D118" s="2819" t="str">
        <f>IF(A118="——","——",D110-D114-D115)</f>
        <v>——</v>
      </c>
      <c r="E118" s="1461"/>
      <c r="F118" s="4022"/>
      <c r="G118" s="4022"/>
      <c r="H118" s="3986"/>
      <c r="I118" s="3986"/>
      <c r="J118" s="2865"/>
      <c r="O118" s="32"/>
      <c r="P118" s="32"/>
    </row>
    <row r="119" spans="1:27" s="1308" customFormat="1" ht="12.75">
      <c r="A119" s="3937"/>
      <c r="B119" s="3938"/>
      <c r="C119" s="2818" t="s">
        <v>2785</v>
      </c>
      <c r="D119" s="52" t="str">
        <f>IF(A118="——","——",IF(H19="元",ROUND(D118/B125,0),ROUND(D118*10000/B125,0)))</f>
        <v>——</v>
      </c>
      <c r="E119" s="1461"/>
      <c r="F119" s="4031" t="str">
        <f>IF(B33="总价","（以上估价结果中楼面单价为总价除以建筑面积得出）","（以上估价结果中总价为楼面单价乘以建筑面积得出）")</f>
        <v>（以上估价结果中总价为楼面单价乘以建筑面积得出）</v>
      </c>
      <c r="G119" s="4031"/>
      <c r="H119" s="4031"/>
      <c r="I119" s="4031"/>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937" t="str">
        <f>IF(项目基本情况!G5="抵押净值",IF(OR(项目基本情况!F5="已注销",项目基本情况!F5="房地产抵押价值"),"4.抵押净值","5.抵押净值"),"——")</f>
        <v>——</v>
      </c>
      <c r="B120" s="3938"/>
      <c r="C120" s="2818" t="str">
        <f>B103</f>
        <v>总价（元）</v>
      </c>
      <c r="D120" s="2819" t="str">
        <f>IF(A120="——","——",O61)</f>
        <v>——</v>
      </c>
      <c r="E120" s="1461"/>
      <c r="F120" s="1515"/>
      <c r="G120" s="1515"/>
      <c r="H120" s="1515"/>
      <c r="I120" s="1515"/>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942"/>
      <c r="B121" s="3943"/>
      <c r="C121" s="2823" t="s">
        <v>2785</v>
      </c>
      <c r="D121" s="2807" t="str">
        <f>IF(D120=D110,D111,IF(A120="——","——",O63))</f>
        <v>——</v>
      </c>
      <c r="E121" s="1461"/>
      <c r="F121" s="1515"/>
      <c r="G121" s="1515"/>
      <c r="H121" s="1515"/>
      <c r="I121" s="1515"/>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987" t="s">
        <v>1910</v>
      </c>
      <c r="B122" s="3988"/>
      <c r="C122" s="3988"/>
      <c r="D122" s="3988"/>
      <c r="E122" s="3988"/>
      <c r="F122" s="3988"/>
      <c r="G122" s="3988"/>
      <c r="H122" s="3988"/>
      <c r="I122" s="3988"/>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922" t="s">
        <v>2789</v>
      </c>
      <c r="B123" s="3948" t="s">
        <v>2790</v>
      </c>
      <c r="C123" s="3948" t="s">
        <v>2796</v>
      </c>
      <c r="D123" s="4009" t="s">
        <v>2791</v>
      </c>
      <c r="E123" s="4010"/>
      <c r="F123" s="3923" t="s">
        <v>2797</v>
      </c>
      <c r="G123" s="3923"/>
      <c r="H123" s="3923" t="s">
        <v>2792</v>
      </c>
      <c r="I123" s="4008"/>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922"/>
      <c r="B124" s="3949"/>
      <c r="C124" s="3949"/>
      <c r="D124" s="2091" t="s">
        <v>2793</v>
      </c>
      <c r="E124" s="2091" t="s">
        <v>2798</v>
      </c>
      <c r="F124" s="2091" t="s">
        <v>2793</v>
      </c>
      <c r="G124" s="2091" t="s">
        <v>2794</v>
      </c>
      <c r="H124" s="2091" t="s">
        <v>2793</v>
      </c>
      <c r="I124" s="52" t="s">
        <v>2794</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922" t="s">
        <v>2795</v>
      </c>
      <c r="B126" s="3923"/>
      <c r="C126" s="3923"/>
      <c r="D126" s="3950" t="str">
        <f>IF(H19="元",NUMBERSTRING(INT(D125),2)&amp;"元整",NUMBERSTRING(INT(D125*10000),2)&amp;"元整")</f>
        <v>零元整</v>
      </c>
      <c r="E126" s="3992"/>
      <c r="F126" s="3950" t="str">
        <f>IF(H19="元",NUMBERSTRING(INT(F125),2)&amp;"元整",NUMBERSTRING(INT(F125*10000),2)&amp;"元整")</f>
        <v>零元整</v>
      </c>
      <c r="G126" s="3992"/>
      <c r="H126" s="3950" t="str">
        <f>IF(H19="元",NUMBERSTRING(INT(H125),2)&amp;"元整",NUMBERSTRING(INT(H125*10000),2)&amp;"元整")</f>
        <v>零元整</v>
      </c>
      <c r="I126" s="3951"/>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927" t="str">
        <f>IF(项目基本情况!D5="房地产市场价值","——",MID(A112,3,LEN(A112)-2))</f>
        <v>——</v>
      </c>
      <c r="B127" s="3933"/>
      <c r="C127" s="3928"/>
      <c r="D127" s="3925">
        <f>I107</f>
        <v>0</v>
      </c>
      <c r="E127" s="3933"/>
      <c r="F127" s="3933"/>
      <c r="G127" s="3933"/>
      <c r="H127" s="3933"/>
      <c r="I127" s="3926"/>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993" t="s">
        <v>2795</v>
      </c>
      <c r="B128" s="3961"/>
      <c r="C128" s="3962"/>
      <c r="D128" s="3934">
        <f>H111</f>
        <v>0</v>
      </c>
      <c r="E128" s="3935"/>
      <c r="F128" s="3935"/>
      <c r="G128" s="3935"/>
      <c r="H128" s="3935"/>
      <c r="I128" s="3936"/>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937" t="str">
        <f>IF(项目基本情况!D5="房地产市场价值","——",MID(A116,3,LEN(A116)-2))</f>
        <v>——</v>
      </c>
      <c r="B129" s="3938"/>
      <c r="C129" s="3938"/>
      <c r="D129" s="3925">
        <f>I112</f>
        <v>0</v>
      </c>
      <c r="E129" s="3933"/>
      <c r="F129" s="3933"/>
      <c r="G129" s="3933"/>
      <c r="H129" s="3933"/>
      <c r="I129" s="3926"/>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922" t="s">
        <v>2795</v>
      </c>
      <c r="B130" s="3923"/>
      <c r="C130" s="3923"/>
      <c r="D130" s="3934" t="e">
        <f>I113</f>
        <v>#DIV/0!</v>
      </c>
      <c r="E130" s="3935"/>
      <c r="F130" s="3935"/>
      <c r="G130" s="3935"/>
      <c r="H130" s="3935"/>
      <c r="I130" s="3936"/>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937" t="str">
        <f>IF(项目基本情况!D5="房地产市场价值","——",MID(A118,3,LEN(A118)-2))</f>
        <v>——</v>
      </c>
      <c r="B131" s="3938"/>
      <c r="C131" s="3938"/>
      <c r="D131" s="3969" t="str">
        <f>I114</f>
        <v>——</v>
      </c>
      <c r="E131" s="3970"/>
      <c r="F131" s="3970"/>
      <c r="G131" s="3970"/>
      <c r="H131" s="3970"/>
      <c r="I131" s="4021"/>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922" t="s">
        <v>2795</v>
      </c>
      <c r="B132" s="3923"/>
      <c r="C132" s="3924"/>
      <c r="D132" s="3985" t="str">
        <f>I115</f>
        <v>——</v>
      </c>
      <c r="E132" s="3985"/>
      <c r="F132" s="3985"/>
      <c r="G132" s="3985"/>
      <c r="H132" s="3985"/>
      <c r="I132" s="3985"/>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937" t="str">
        <f>IF(项目基本情况!D5="房地产市场价值","——",MID(F116,3,LEN(F116)-2))</f>
        <v>——</v>
      </c>
      <c r="B133" s="3938"/>
      <c r="C133" s="3925"/>
      <c r="D133" s="3941" t="str">
        <f>I116</f>
        <v>——</v>
      </c>
      <c r="E133" s="3941"/>
      <c r="F133" s="3941"/>
      <c r="G133" s="3941"/>
      <c r="H133" s="3941"/>
      <c r="I133" s="3941"/>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946" t="s">
        <v>2795</v>
      </c>
      <c r="B134" s="3947"/>
      <c r="C134" s="3947"/>
      <c r="D134" s="3952">
        <f>H118</f>
        <v>0</v>
      </c>
      <c r="E134" s="3953"/>
      <c r="F134" s="3953"/>
      <c r="G134" s="3953"/>
      <c r="H134" s="3953"/>
      <c r="I134" s="3954"/>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920" t="str">
        <f>IF(B33="总价","（以上估价结果中楼面单价为总价除以建筑面积得出）","（以上估价结果中总价为楼面单价乘以建筑面积得出）")</f>
        <v>（以上估价结果中总价为楼面单价乘以建筑面积得出）</v>
      </c>
      <c r="B136" s="3920"/>
      <c r="C136" s="3920"/>
      <c r="D136" s="3920"/>
      <c r="E136" s="3920"/>
      <c r="F136" s="3920"/>
      <c r="G136" s="3920"/>
      <c r="H136" s="3920"/>
      <c r="I136" s="3920"/>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3"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92021</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300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-91936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-91936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-2758</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0.05</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-14204</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-14204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92021</v>
      </c>
      <c r="D32" s="214"/>
      <c r="E32" s="214"/>
      <c r="F32" s="214"/>
      <c r="G32" s="216" t="s">
        <v>1350</v>
      </c>
      <c r="H32" s="214"/>
      <c r="I32" s="214"/>
      <c r="J32" s="214"/>
      <c r="K32" s="217"/>
    </row>
    <row r="34" ht="12.75" customHeight="1"/>
  </sheetData>
  <sheetProtection password="C66D" sheet="1" objects="1" scenarios="1" formatCells="0" formatColumns="0" formatRows="0"/>
  <phoneticPr fontId="17" type="noConversion"/>
  <dataValidations count="1">
    <dataValidation type="list" allowBlank="1" showInputMessage="1" showErrorMessage="1" sqref="C1" xr:uid="{00000000-0002-0000-10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92D050"/>
    <pageSetUpPr fitToPage="1"/>
  </sheetPr>
  <dimension ref="A1:AK75"/>
  <sheetViews>
    <sheetView view="pageBreakPreview" zoomScale="90" zoomScaleNormal="60" zoomScaleSheetLayoutView="90" workbookViewId="0">
      <selection activeCell="F9" sqref="F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4" t="s">
        <v>2744</v>
      </c>
      <c r="E1" s="1625" t="s">
        <v>1240</v>
      </c>
      <c r="F1" s="1626"/>
      <c r="G1" s="1627"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-1589126</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-3457</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0</v>
      </c>
      <c r="D5" s="1632" t="s">
        <v>2722</v>
      </c>
      <c r="E5" s="927"/>
      <c r="F5" s="1056"/>
      <c r="G5" s="951"/>
      <c r="H5" s="232">
        <v>1</v>
      </c>
      <c r="I5" s="233" t="s">
        <v>2010</v>
      </c>
      <c r="J5" s="234">
        <f ca="1">J6+J10+J12</f>
        <v>0</v>
      </c>
      <c r="K5" s="1520" t="s">
        <v>2011</v>
      </c>
      <c r="L5" s="927"/>
      <c r="M5" s="1056"/>
    </row>
    <row r="6" spans="1:37" ht="18" customHeight="1">
      <c r="A6" s="1057" t="s">
        <v>2012</v>
      </c>
      <c r="B6" s="1442" t="s">
        <v>2013</v>
      </c>
      <c r="C6" s="234">
        <f>ROUND(F6*F8*F7*(1-F9),0)</f>
        <v>0</v>
      </c>
      <c r="D6" s="36" t="s">
        <v>2697</v>
      </c>
      <c r="E6" s="235" t="s">
        <v>2014</v>
      </c>
      <c r="F6" s="236">
        <f>'数据-取费表'!B30</f>
        <v>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365</v>
      </c>
      <c r="G8" s="951"/>
      <c r="H8" s="237"/>
      <c r="I8" s="238"/>
      <c r="J8" s="239"/>
      <c r="K8" s="240"/>
      <c r="L8" s="235" t="s">
        <v>2017</v>
      </c>
      <c r="M8" s="236">
        <f>'数据-取费表'!B43</f>
        <v>365</v>
      </c>
    </row>
    <row r="9" spans="1:37" ht="18" customHeight="1">
      <c r="A9" s="1119"/>
      <c r="B9" s="238"/>
      <c r="C9" s="239"/>
      <c r="D9" s="244"/>
      <c r="E9" s="235" t="s">
        <v>2018</v>
      </c>
      <c r="F9" s="245">
        <f>'数据-取费表'!B33</f>
        <v>0.1</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0</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3149467</v>
      </c>
      <c r="D13" s="1094" t="s">
        <v>2029</v>
      </c>
      <c r="E13" s="1094" t="s">
        <v>2030</v>
      </c>
      <c r="F13" s="1095">
        <f>'数据-取费表'!E20</f>
        <v>0.8</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2528240</v>
      </c>
      <c r="D14" s="1328" t="s">
        <v>2033</v>
      </c>
      <c r="E14" s="1329"/>
      <c r="F14" s="799"/>
      <c r="G14" s="952"/>
      <c r="H14" s="253" t="s">
        <v>2012</v>
      </c>
      <c r="I14" s="235" t="s">
        <v>2034</v>
      </c>
      <c r="J14" s="13">
        <f ca="1">C29</f>
        <v>3936834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126412</v>
      </c>
      <c r="D15" s="255" t="s">
        <v>2037</v>
      </c>
      <c r="E15" s="255" t="s">
        <v>2038</v>
      </c>
      <c r="F15" s="256">
        <f>'数据-取费表'!E21</f>
        <v>0.05</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59053</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137904</v>
      </c>
      <c r="D17" s="235" t="s">
        <v>2047</v>
      </c>
      <c r="E17" s="235" t="s">
        <v>2048</v>
      </c>
      <c r="F17" s="15">
        <f>'数据-取费表'!E23</f>
        <v>300</v>
      </c>
      <c r="G17" s="952"/>
      <c r="H17" s="253" t="s">
        <v>2049</v>
      </c>
      <c r="I17" s="235" t="s">
        <v>2050</v>
      </c>
      <c r="J17" s="2826">
        <f>ROUND(IF(AND(项目基本情况!B7="自然人",项目基本情况!B6="北京市"),J6*M17/(1+'数据-取费表'!F30),J18+J19+J20),0)</f>
        <v>0</v>
      </c>
      <c r="K17" s="1328" t="s">
        <v>2051</v>
      </c>
      <c r="L17" s="1331" t="s">
        <v>2052</v>
      </c>
      <c r="M17" s="282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37924</v>
      </c>
      <c r="D18" s="235" t="s">
        <v>2037</v>
      </c>
      <c r="E18" s="235" t="s">
        <v>2038</v>
      </c>
      <c r="F18" s="258">
        <f>'数据-取费表'!E24</f>
        <v>1.4999999999999999E-2</v>
      </c>
      <c r="G18" s="951"/>
      <c r="H18" s="253" t="s">
        <v>2055</v>
      </c>
      <c r="I18" s="235" t="s">
        <v>2056</v>
      </c>
      <c r="J18" s="13" t="str">
        <f>IF(项目基本情况!B7="自然人","——",ROUND(J6*M18/(1+'数据-取费表'!F30),0))</f>
        <v>——</v>
      </c>
      <c r="K18" s="1331" t="s">
        <v>2724</v>
      </c>
      <c r="L18" s="235" t="s">
        <v>2038</v>
      </c>
      <c r="M18" s="258">
        <f>'数据-取费表'!E29</f>
        <v>5.6000000000000001E-2</v>
      </c>
    </row>
    <row r="19" spans="1:37" s="257" customFormat="1" ht="18" customHeight="1">
      <c r="A19" s="253" t="s">
        <v>2049</v>
      </c>
      <c r="B19" s="235" t="s">
        <v>2057</v>
      </c>
      <c r="C19" s="13">
        <f>SUM(C14:C18)</f>
        <v>2830480</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84914</v>
      </c>
      <c r="D20" s="259" t="s">
        <v>2062</v>
      </c>
      <c r="E20" s="235" t="s">
        <v>2063</v>
      </c>
      <c r="F20" s="258">
        <f>'数据-取费表'!E25</f>
        <v>0.03</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0.05</v>
      </c>
      <c r="D21" s="259" t="s">
        <v>2069</v>
      </c>
      <c r="E21" s="235" t="s">
        <v>2070</v>
      </c>
      <c r="F21" s="258">
        <f>'数据-取费表'!E26</f>
        <v>0.05</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59053</v>
      </c>
      <c r="K22" s="1331"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138481</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2.3999999999999998E-3</v>
      </c>
      <c r="D24" s="1432" t="str">
        <f>IF(F23&lt;=1,"销售费用×利率×(建设周期÷2)","销售费用×((1+利率)^(建设周期÷2)-1)")</f>
        <v>销售费用×((1+利率)^(建设周期÷2)-1)</v>
      </c>
      <c r="E24" s="235" t="s">
        <v>2083</v>
      </c>
      <c r="F24" s="267">
        <f ca="1">'数据-取费表'!E27</f>
        <v>4.7500000000000001E-2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-59053</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437309</v>
      </c>
      <c r="D26" s="259" t="s">
        <v>2091</v>
      </c>
      <c r="E26" s="246" t="s">
        <v>2092</v>
      </c>
      <c r="F26" s="245">
        <f>'数据-取费表'!E28</f>
        <v>0.15</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3936834</v>
      </c>
      <c r="D29" s="1105"/>
      <c r="E29" s="1103"/>
      <c r="F29" s="1106"/>
      <c r="G29" s="652"/>
      <c r="H29" s="271" t="s">
        <v>24</v>
      </c>
      <c r="I29" s="272" t="s">
        <v>2107</v>
      </c>
      <c r="J29" s="273">
        <f ca="1">ROUND(J26/(1+F40)^F41,0)</f>
        <v>0</v>
      </c>
      <c r="K29" s="274" t="s">
        <v>2108</v>
      </c>
      <c r="L29" s="275"/>
      <c r="M29" s="276">
        <f>IF(D1="仅计算典型户型",'数据-取费表'!E5,'数据-取费表'!B5)</f>
        <v>459.68</v>
      </c>
    </row>
    <row r="30" spans="1:37" ht="18" customHeight="1" thickTop="1">
      <c r="A30" s="1092" t="s">
        <v>14</v>
      </c>
      <c r="B30" s="1093" t="s">
        <v>2109</v>
      </c>
      <c r="C30" s="243">
        <f ca="1">ROUND(C31+C36+C37+C38,0)</f>
        <v>63777</v>
      </c>
      <c r="D30" s="1099" t="s">
        <v>2110</v>
      </c>
      <c r="E30" s="1100"/>
      <c r="F30" s="1101"/>
      <c r="G30" s="652"/>
      <c r="H30" s="931"/>
      <c r="I30" s="932"/>
      <c r="J30" s="933"/>
      <c r="K30" s="934"/>
      <c r="L30" s="935"/>
      <c r="M30" s="936"/>
    </row>
    <row r="31" spans="1:37" ht="18" customHeight="1">
      <c r="A31" s="253" t="s">
        <v>2012</v>
      </c>
      <c r="B31" s="235" t="s">
        <v>2050</v>
      </c>
      <c r="C31" s="2826">
        <f>ROUND(IF(AND(项目基本情况!B7="自然人",项目基本情况!B6="北京市"),C6*F31/(1+'数据-取费表'!F30),C32+C33+C34),0)</f>
        <v>0</v>
      </c>
      <c r="D31" s="1328" t="s">
        <v>2111</v>
      </c>
      <c r="E31" s="1331" t="s">
        <v>2112</v>
      </c>
      <c r="F31" s="282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2723</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220463</v>
      </c>
      <c r="K34" s="945"/>
      <c r="L34" s="946"/>
      <c r="M34" s="946"/>
    </row>
    <row r="35" spans="1:18" ht="24.6" customHeight="1">
      <c r="A35" s="1061"/>
      <c r="B35" s="244"/>
      <c r="C35" s="17"/>
      <c r="D35" s="264"/>
      <c r="E35" s="235" t="s">
        <v>2071</v>
      </c>
      <c r="F35" s="236">
        <f>IF(D1="仅计算典型户型",'数据-取费表'!E6,'数据-取费表'!B6)</f>
        <v>0</v>
      </c>
      <c r="G35" s="652" t="s">
        <v>2812</v>
      </c>
      <c r="H35" s="931"/>
      <c r="I35" s="282" t="s">
        <v>2117</v>
      </c>
      <c r="J35" s="283">
        <f>'数据-取费表'!B18</f>
        <v>7.0000000000000007E-2</v>
      </c>
      <c r="K35" s="944"/>
      <c r="L35" s="943"/>
      <c r="M35" s="943"/>
    </row>
    <row r="36" spans="1:18" ht="18" customHeight="1">
      <c r="A36" s="1060" t="s">
        <v>2019</v>
      </c>
      <c r="B36" s="235" t="s">
        <v>2118</v>
      </c>
      <c r="C36" s="13">
        <f ca="1">ROUND(C29*F36,0)</f>
        <v>59053</v>
      </c>
      <c r="D36" s="1331" t="s">
        <v>2119</v>
      </c>
      <c r="E36" s="235" t="s">
        <v>2063</v>
      </c>
      <c r="F36" s="265">
        <f>'数据-取费表'!B45</f>
        <v>1.4999999999999999E-2</v>
      </c>
      <c r="G36" s="652"/>
      <c r="H36" s="943"/>
      <c r="I36" s="284" t="s">
        <v>2120</v>
      </c>
      <c r="J36" s="285"/>
      <c r="K36" s="947"/>
      <c r="L36" s="943"/>
      <c r="M36" s="943"/>
    </row>
    <row r="37" spans="1:18" ht="18" customHeight="1">
      <c r="A37" s="253" t="s">
        <v>2067</v>
      </c>
      <c r="B37" s="235" t="s">
        <v>2078</v>
      </c>
      <c r="C37" s="13">
        <f ca="1">ROUND(C13*F37,0)</f>
        <v>4724</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0</v>
      </c>
      <c r="D38" s="1105" t="s">
        <v>2084</v>
      </c>
      <c r="E38" s="1103" t="s">
        <v>2080</v>
      </c>
      <c r="F38" s="1098">
        <f>'数据-取费表'!B47</f>
        <v>0.01</v>
      </c>
      <c r="G38" s="652"/>
      <c r="H38" s="943"/>
      <c r="I38" s="280" t="s">
        <v>2122</v>
      </c>
      <c r="J38" s="136">
        <f ca="1">ROUND(J34/C39,3)</f>
        <v>-3.4569999999999999</v>
      </c>
      <c r="K38" s="948"/>
      <c r="L38" s="943"/>
      <c r="M38" s="943"/>
    </row>
    <row r="39" spans="1:18" ht="18" customHeight="1" thickTop="1">
      <c r="A39" s="1092" t="s">
        <v>22</v>
      </c>
      <c r="B39" s="1107" t="s">
        <v>2123</v>
      </c>
      <c r="C39" s="243">
        <f ca="1">C5-C30</f>
        <v>-63777</v>
      </c>
      <c r="D39" s="1108" t="s">
        <v>2124</v>
      </c>
      <c r="E39" s="1109"/>
      <c r="F39" s="1110"/>
      <c r="G39" s="652"/>
      <c r="H39" s="943"/>
      <c r="I39" s="280" t="s">
        <v>2125</v>
      </c>
      <c r="J39" s="136">
        <f ca="1">1-J38</f>
        <v>4.4569999999999999</v>
      </c>
      <c r="K39" s="948"/>
      <c r="L39" s="943"/>
      <c r="M39" s="943"/>
    </row>
    <row r="40" spans="1:18" s="652" customFormat="1" ht="18" customHeight="1">
      <c r="A40" s="232" t="s">
        <v>23</v>
      </c>
      <c r="B40" s="233" t="s">
        <v>2126</v>
      </c>
      <c r="C40" s="234">
        <f ca="1">ROUND(C39*(1-((1+F42)/(1+F40))^F41)/(F40-F42),0)</f>
        <v>-1589126</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35.869999999999997</v>
      </c>
      <c r="H41" s="950"/>
      <c r="I41" s="135" t="s">
        <v>2000</v>
      </c>
      <c r="J41" s="136">
        <f ca="1">ROUND(C13/C40,3)</f>
        <v>-1.982</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2.9820000000000002</v>
      </c>
      <c r="K42" s="947"/>
      <c r="L42" s="950"/>
      <c r="M42" s="950"/>
      <c r="Q42" s="656"/>
    </row>
    <row r="43" spans="1:18" s="652" customFormat="1" ht="18" customHeight="1" thickBot="1">
      <c r="A43" s="271" t="s">
        <v>24</v>
      </c>
      <c r="B43" s="272" t="s">
        <v>2129</v>
      </c>
      <c r="C43" s="273">
        <f ca="1">ROUND(C40/F43,0)</f>
        <v>-3457</v>
      </c>
      <c r="D43" s="274" t="s">
        <v>2130</v>
      </c>
      <c r="E43" s="275" t="s">
        <v>2131</v>
      </c>
      <c r="F43" s="276">
        <f>IF(D1="仅计算典型户型",'数据-取费表'!E5,'数据-取费表'!B5)</f>
        <v>459.68</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-1589126</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535219</v>
      </c>
      <c r="D47" s="1528" t="str">
        <f>C2</f>
        <v>元</v>
      </c>
      <c r="E47" s="649"/>
      <c r="F47" s="649"/>
      <c r="I47" s="1529" t="s">
        <v>2142</v>
      </c>
      <c r="J47" s="1023"/>
      <c r="K47" s="1024"/>
      <c r="L47" s="1037" t="str">
        <f>IF(M48="住宅",0,IF(L49&gt;J52,L61,J61))</f>
        <v>0</v>
      </c>
      <c r="O47" s="1051" t="s">
        <v>951</v>
      </c>
      <c r="P47" s="1048" t="s">
        <v>2143</v>
      </c>
      <c r="Q47" s="1049">
        <f ca="1">C29</f>
        <v>3936834</v>
      </c>
      <c r="R47" s="1050" t="s">
        <v>2138</v>
      </c>
    </row>
    <row r="48" spans="1:18" s="652" customFormat="1" ht="15.75" thickBot="1">
      <c r="A48" s="228" t="s">
        <v>2144</v>
      </c>
      <c r="B48" s="229" t="s">
        <v>2145</v>
      </c>
      <c r="C48" s="229" t="s">
        <v>2146</v>
      </c>
      <c r="D48" s="229" t="s">
        <v>2147</v>
      </c>
      <c r="E48" s="986" t="s">
        <v>2148</v>
      </c>
      <c r="F48" s="987"/>
      <c r="I48" s="1530" t="s">
        <v>2149</v>
      </c>
      <c r="J48" s="1531" t="s">
        <v>2897</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2898</v>
      </c>
      <c r="K49" s="1535" t="s">
        <v>2154</v>
      </c>
      <c r="L49" s="863">
        <f>'数据-取费表'!B13</f>
        <v>35.869999999999997</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2004</v>
      </c>
      <c r="K50" s="1537" t="s">
        <v>2159</v>
      </c>
      <c r="L50" s="1026"/>
      <c r="O50" s="1051" t="s">
        <v>954</v>
      </c>
      <c r="P50" s="1048" t="s">
        <v>2160</v>
      </c>
      <c r="Q50" s="1049">
        <f>J54</f>
        <v>35.869999999999997</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-1589126</v>
      </c>
      <c r="R51" s="1050" t="s">
        <v>956</v>
      </c>
    </row>
    <row r="52" spans="1:18" s="652" customFormat="1" ht="16.5" thickBot="1">
      <c r="A52" s="237"/>
      <c r="B52" s="238"/>
      <c r="C52" s="239"/>
      <c r="D52" s="240"/>
      <c r="E52" s="235" t="s">
        <v>2017</v>
      </c>
      <c r="F52" s="236">
        <f>F8</f>
        <v>365</v>
      </c>
      <c r="I52" s="1538" t="s">
        <v>2164</v>
      </c>
      <c r="J52" s="1028">
        <f>IF(J50="",J51,J50+J51-YEAR('数据-取费表'!B2))</f>
        <v>48</v>
      </c>
      <c r="K52" s="1539" t="s">
        <v>2165</v>
      </c>
      <c r="L52" s="1029">
        <f ca="1">ROUND(-PV('数据-取费表'!B15,J52,(C40-C13*J35)),0)</f>
        <v>-35351413</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8" t="s">
        <v>2707</v>
      </c>
      <c r="J54" s="1031">
        <f>IF(M48="住宅",IF(E1="——",MAX(J52,L49),MAX(J52,L49-'数据-取费表'!B26)),IF(E1="——",MIN(J52,L49),MIN(J52,L49-'数据-取费表'!B26)))</f>
        <v>35.869999999999997</v>
      </c>
      <c r="K54" s="4058" t="s">
        <v>2696</v>
      </c>
      <c r="L54" s="4059"/>
      <c r="O54" s="1047" t="s">
        <v>949</v>
      </c>
      <c r="P54" s="1048" t="s">
        <v>2137</v>
      </c>
      <c r="Q54" s="1049">
        <f ca="1">C40+J29</f>
        <v>-1589126</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3149467</v>
      </c>
      <c r="D57" s="983"/>
      <c r="E57" s="984"/>
      <c r="F57" s="991"/>
      <c r="I57" s="1547" t="s">
        <v>2174</v>
      </c>
      <c r="J57" s="1035" t="s">
        <v>2899</v>
      </c>
      <c r="K57" s="1533" t="s">
        <v>2175</v>
      </c>
      <c r="L57" s="863" t="str">
        <f>IF(L49&lt;J52,"——",L49-J52)</f>
        <v>——</v>
      </c>
      <c r="O57" s="1051" t="s">
        <v>952</v>
      </c>
      <c r="P57" s="1048" t="s">
        <v>2176</v>
      </c>
      <c r="Q57" s="1052">
        <f>L53</f>
        <v>0</v>
      </c>
      <c r="R57" s="1050"/>
    </row>
    <row r="58" spans="1:18" s="652" customFormat="1" ht="29.25" thickBot="1">
      <c r="A58" s="990"/>
      <c r="B58" s="235" t="s">
        <v>2106</v>
      </c>
      <c r="C58" s="104">
        <f ca="1">C29</f>
        <v>3936834</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63777</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6">
        <f>ROUND(IF(AND(项目基本情况!B7="自然人",项目基本情况!B6="北京市"),C50*F60/(1+'数据-取费表'!F30),C61+C62+C63),0)</f>
        <v>0</v>
      </c>
      <c r="D60" s="1328" t="s">
        <v>2111</v>
      </c>
      <c r="E60" s="1331" t="s">
        <v>2112</v>
      </c>
      <c r="F60" s="2825">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-1589126</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-1589126</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59053</v>
      </c>
      <c r="D65" s="1331" t="s">
        <v>2119</v>
      </c>
      <c r="E65" s="235" t="s">
        <v>2063</v>
      </c>
      <c r="F65" s="265">
        <f t="shared" si="0"/>
        <v>1.4999999999999999E-2</v>
      </c>
      <c r="I65" s="1551" t="s">
        <v>2199</v>
      </c>
      <c r="J65" s="1323">
        <v>50</v>
      </c>
      <c r="K65" s="1323">
        <v>35</v>
      </c>
      <c r="L65" s="1323">
        <v>60</v>
      </c>
      <c r="M65" s="1322">
        <v>0</v>
      </c>
      <c r="O65" s="1051" t="s">
        <v>951</v>
      </c>
      <c r="P65" s="1048" t="s">
        <v>2173</v>
      </c>
      <c r="Q65" s="1053">
        <f ca="1">L52</f>
        <v>-35351413</v>
      </c>
      <c r="R65" s="1054" t="s">
        <v>2200</v>
      </c>
    </row>
    <row r="66" spans="1:18" s="652" customFormat="1" ht="20.25" thickBot="1">
      <c r="A66" s="253" t="s">
        <v>20</v>
      </c>
      <c r="B66" s="235" t="s">
        <v>2078</v>
      </c>
      <c r="C66" s="13">
        <f ca="1">ROUND(C57*F66,0)</f>
        <v>4724</v>
      </c>
      <c r="D66" s="1331" t="s">
        <v>2079</v>
      </c>
      <c r="E66" s="235" t="s">
        <v>2080</v>
      </c>
      <c r="F66" s="266">
        <f t="shared" si="0"/>
        <v>1.5E-3</v>
      </c>
      <c r="I66" s="1551" t="s">
        <v>2201</v>
      </c>
      <c r="J66" s="1323">
        <v>40</v>
      </c>
      <c r="K66" s="1323">
        <v>30</v>
      </c>
      <c r="L66" s="1323">
        <v>50</v>
      </c>
      <c r="M66" s="1321">
        <v>0.02</v>
      </c>
      <c r="O66" s="1051" t="s">
        <v>952</v>
      </c>
      <c r="P66" s="1055" t="s">
        <v>2202</v>
      </c>
      <c r="Q66" s="1049">
        <f ca="1">ROUND(Q67-Q68*Q69,0)</f>
        <v>-284240</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-63777</v>
      </c>
      <c r="R67" s="1050" t="s">
        <v>2138</v>
      </c>
    </row>
    <row r="68" spans="1:18" ht="15.75" thickBot="1">
      <c r="A68" s="248" t="s">
        <v>22</v>
      </c>
      <c r="B68" s="41" t="s">
        <v>2088</v>
      </c>
      <c r="C68" s="250">
        <f ca="1">C49-C59</f>
        <v>-63777</v>
      </c>
      <c r="D68" s="1328" t="s">
        <v>2089</v>
      </c>
      <c r="E68" s="1330"/>
      <c r="F68" s="268"/>
      <c r="H68" s="652"/>
      <c r="I68" s="652"/>
      <c r="J68" s="652"/>
      <c r="K68" s="652"/>
      <c r="L68" s="652"/>
      <c r="M68" s="652"/>
      <c r="O68" s="1051" t="s">
        <v>958</v>
      </c>
      <c r="P68" s="1055" t="s">
        <v>2204</v>
      </c>
      <c r="Q68" s="1049">
        <f ca="1">C13</f>
        <v>3149467</v>
      </c>
      <c r="R68" s="1050" t="s">
        <v>2138</v>
      </c>
    </row>
    <row r="69" spans="1:18" ht="15.75" thickBot="1">
      <c r="A69" s="232" t="s">
        <v>23</v>
      </c>
      <c r="B69" s="233" t="s">
        <v>2126</v>
      </c>
      <c r="C69" s="234">
        <f ca="1">ROUND(C68*(1-((1+F71)/(1+F69))^F70)/(F69-F71),0)</f>
        <v>-1053907</v>
      </c>
      <c r="D69" s="261" t="s">
        <v>2094</v>
      </c>
      <c r="E69" s="235" t="s">
        <v>2095</v>
      </c>
      <c r="F69" s="245">
        <f>F40</f>
        <v>0.05</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35.869999999999997</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-2293</v>
      </c>
      <c r="D72" s="274" t="s">
        <v>2130</v>
      </c>
      <c r="E72" s="275" t="s">
        <v>2131</v>
      </c>
      <c r="F72" s="276">
        <f>F43</f>
        <v>459.68</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-1589126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6"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100-000000000000}">
      <formula1>"按租金收入计税,按房产原值计税"</formula1>
    </dataValidation>
    <dataValidation type="list" allowBlank="1" showInputMessage="1" showErrorMessage="1" sqref="D33 D62" xr:uid="{00000000-0002-0000-1100-000001000000}">
      <formula1>"按租金收入计税,按房产原值计税,按票据"</formula1>
    </dataValidation>
    <dataValidation type="list" allowBlank="1" showInputMessage="1" showErrorMessage="1" sqref="D1" xr:uid="{00000000-0002-0000-1100-000002000000}">
      <formula1>"估价对象,仅计算典型户型"</formula1>
    </dataValidation>
    <dataValidation type="list" allowBlank="1" showInputMessage="1" showErrorMessage="1" sqref="J57" xr:uid="{00000000-0002-0000-1100-000003000000}">
      <formula1>判定</formula1>
    </dataValidation>
    <dataValidation type="list" allowBlank="1" showInputMessage="1" showErrorMessage="1" sqref="J49" xr:uid="{00000000-0002-0000-1100-000004000000}">
      <formula1>"非生产用房,生产用房,受腐蚀的生产用房"</formula1>
    </dataValidation>
    <dataValidation type="list" allowBlank="1" showInputMessage="1" showErrorMessage="1" sqref="J48" xr:uid="{00000000-0002-0000-1100-000005000000}">
      <formula1>"钢,钢混,砖混"</formula1>
    </dataValidation>
    <dataValidation type="list" allowBlank="1" showInputMessage="1" showErrorMessage="1" sqref="L56" xr:uid="{00000000-0002-0000-1100-000006000000}">
      <formula1>"比较法,基准地价,收益还原"</formula1>
    </dataValidation>
    <dataValidation type="list" allowBlank="1" showInputMessage="1" showErrorMessage="1" sqref="F10 M10 F54" xr:uid="{00000000-0002-0000-1100-000007000000}">
      <formula1>"押一,押二,押三,自定义"</formula1>
    </dataValidation>
    <dataValidation type="list" allowBlank="1" showInputMessage="1" showErrorMessage="1" sqref="E41" xr:uid="{00000000-0002-0000-1100-000008000000}">
      <formula1>"收益年期(n),设定收益年期(n)"</formula1>
    </dataValidation>
    <dataValidation type="list" allowBlank="1" showInputMessage="1" showErrorMessage="1" sqref="E1" xr:uid="{00000000-0002-0000-11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4076" t="s">
        <v>1013</v>
      </c>
      <c r="B1" s="4077"/>
      <c r="C1" s="4078"/>
      <c r="D1" s="4079">
        <f>SUM(I10,I15,I20,I21,I23)</f>
        <v>0</v>
      </c>
      <c r="E1" s="4079"/>
      <c r="F1" s="4079"/>
      <c r="G1" s="4079"/>
      <c r="H1" s="4079"/>
      <c r="I1" s="4080"/>
    </row>
    <row r="2" spans="1:9">
      <c r="A2" s="4066" t="s">
        <v>1014</v>
      </c>
      <c r="B2" s="4067" t="s">
        <v>963</v>
      </c>
      <c r="C2" s="4067"/>
      <c r="D2" s="1062" t="s">
        <v>964</v>
      </c>
      <c r="E2" s="1062" t="s">
        <v>965</v>
      </c>
      <c r="F2" s="1062" t="s">
        <v>966</v>
      </c>
      <c r="G2" s="1062" t="s">
        <v>967</v>
      </c>
      <c r="H2" s="1062" t="s">
        <v>968</v>
      </c>
      <c r="I2" s="1063" t="s">
        <v>969</v>
      </c>
    </row>
    <row r="3" spans="1:9">
      <c r="A3" s="4066"/>
      <c r="B3" s="4067" t="s">
        <v>970</v>
      </c>
      <c r="C3" s="4067"/>
      <c r="D3" s="1064"/>
      <c r="E3" s="1062"/>
      <c r="F3" s="1065"/>
      <c r="G3" s="1065"/>
      <c r="H3" s="1066"/>
      <c r="I3" s="1067">
        <f>ROUND(D3*E3*F3*G3*H3/10000,0)</f>
        <v>0</v>
      </c>
    </row>
    <row r="4" spans="1:9">
      <c r="A4" s="4066"/>
      <c r="B4" s="4067" t="s">
        <v>971</v>
      </c>
      <c r="C4" s="4067"/>
      <c r="D4" s="1064"/>
      <c r="E4" s="1062"/>
      <c r="F4" s="1065"/>
      <c r="G4" s="1065"/>
      <c r="H4" s="1066"/>
      <c r="I4" s="1067">
        <f t="shared" ref="I4:I9" si="0">ROUND(D4*E4*F4*G4*H4/10000,0)</f>
        <v>0</v>
      </c>
    </row>
    <row r="5" spans="1:9">
      <c r="A5" s="4066"/>
      <c r="B5" s="4067" t="s">
        <v>972</v>
      </c>
      <c r="C5" s="4067"/>
      <c r="D5" s="1064"/>
      <c r="E5" s="1062"/>
      <c r="F5" s="1065"/>
      <c r="G5" s="1065"/>
      <c r="H5" s="1066"/>
      <c r="I5" s="1067">
        <f t="shared" si="0"/>
        <v>0</v>
      </c>
    </row>
    <row r="6" spans="1:9">
      <c r="A6" s="4066"/>
      <c r="B6" s="4067" t="s">
        <v>973</v>
      </c>
      <c r="C6" s="4067"/>
      <c r="D6" s="1064"/>
      <c r="E6" s="1062"/>
      <c r="F6" s="1065"/>
      <c r="G6" s="1065"/>
      <c r="H6" s="1066"/>
      <c r="I6" s="1067">
        <f t="shared" si="0"/>
        <v>0</v>
      </c>
    </row>
    <row r="7" spans="1:9">
      <c r="A7" s="4066"/>
      <c r="B7" s="4067" t="s">
        <v>974</v>
      </c>
      <c r="C7" s="4067"/>
      <c r="D7" s="1064"/>
      <c r="E7" s="1062"/>
      <c r="F7" s="1065"/>
      <c r="G7" s="1065"/>
      <c r="H7" s="1066"/>
      <c r="I7" s="1067">
        <f t="shared" si="0"/>
        <v>0</v>
      </c>
    </row>
    <row r="8" spans="1:9">
      <c r="A8" s="4066"/>
      <c r="B8" s="4067" t="s">
        <v>975</v>
      </c>
      <c r="C8" s="4067"/>
      <c r="D8" s="1064"/>
      <c r="E8" s="1062"/>
      <c r="F8" s="1065"/>
      <c r="G8" s="1065"/>
      <c r="H8" s="1066"/>
      <c r="I8" s="1067">
        <f t="shared" si="0"/>
        <v>0</v>
      </c>
    </row>
    <row r="9" spans="1:9">
      <c r="A9" s="4066"/>
      <c r="B9" s="4067" t="s">
        <v>976</v>
      </c>
      <c r="C9" s="4067"/>
      <c r="D9" s="1064"/>
      <c r="E9" s="1062"/>
      <c r="F9" s="1065"/>
      <c r="G9" s="1065"/>
      <c r="H9" s="1066"/>
      <c r="I9" s="1067">
        <f t="shared" si="0"/>
        <v>0</v>
      </c>
    </row>
    <row r="10" spans="1:9">
      <c r="A10" s="4066"/>
      <c r="B10" s="4068" t="s">
        <v>977</v>
      </c>
      <c r="C10" s="4068"/>
      <c r="D10" s="1068">
        <v>527</v>
      </c>
      <c r="E10" s="1068" t="e">
        <f>ROUND(D1*10000/D10/H9,0)</f>
        <v>#DIV/0!</v>
      </c>
      <c r="F10" s="1069"/>
      <c r="G10" s="1069"/>
      <c r="H10" s="1070"/>
      <c r="I10" s="1071">
        <f>SUM(I3:I9)</f>
        <v>0</v>
      </c>
    </row>
    <row r="11" spans="1:9" ht="14.25">
      <c r="A11" s="4066" t="s">
        <v>1015</v>
      </c>
      <c r="B11" s="4067" t="s">
        <v>978</v>
      </c>
      <c r="C11" s="4067"/>
      <c r="D11" s="1064" t="s">
        <v>979</v>
      </c>
      <c r="E11" s="1064" t="s">
        <v>980</v>
      </c>
      <c r="F11" s="1065" t="s">
        <v>981</v>
      </c>
      <c r="G11" s="1065" t="s">
        <v>968</v>
      </c>
      <c r="H11" s="1072" t="s">
        <v>982</v>
      </c>
      <c r="I11" s="1063" t="s">
        <v>969</v>
      </c>
    </row>
    <row r="12" spans="1:9">
      <c r="A12" s="4066"/>
      <c r="B12" s="4067" t="s">
        <v>983</v>
      </c>
      <c r="C12" s="4067"/>
      <c r="D12" s="1064"/>
      <c r="E12" s="1064"/>
      <c r="F12" s="1065"/>
      <c r="G12" s="1066"/>
      <c r="H12" s="1073"/>
      <c r="I12" s="1063">
        <f>ROUND(D12*E12*F12*G12/10000,0)</f>
        <v>0</v>
      </c>
    </row>
    <row r="13" spans="1:9">
      <c r="A13" s="4066"/>
      <c r="B13" s="4067" t="s">
        <v>984</v>
      </c>
      <c r="C13" s="4067"/>
      <c r="D13" s="1064"/>
      <c r="E13" s="1064"/>
      <c r="F13" s="1065"/>
      <c r="G13" s="1066"/>
      <c r="H13" s="1073"/>
      <c r="I13" s="1063">
        <f>ROUND(D13*E13*F13*G13/10000,0)</f>
        <v>0</v>
      </c>
    </row>
    <row r="14" spans="1:9">
      <c r="A14" s="4066"/>
      <c r="B14" s="4067" t="s">
        <v>985</v>
      </c>
      <c r="C14" s="4067"/>
      <c r="D14" s="1064"/>
      <c r="E14" s="1064"/>
      <c r="F14" s="1065"/>
      <c r="G14" s="1066"/>
      <c r="H14" s="1073"/>
      <c r="I14" s="1063">
        <f>ROUND(D14*E14*F14*G14/10000,0)</f>
        <v>0</v>
      </c>
    </row>
    <row r="15" spans="1:9">
      <c r="A15" s="4066"/>
      <c r="B15" s="4068" t="s">
        <v>977</v>
      </c>
      <c r="C15" s="4068"/>
      <c r="D15" s="1068"/>
      <c r="E15" s="1068">
        <f>SUM(E12:E14)</f>
        <v>0</v>
      </c>
      <c r="F15" s="1069"/>
      <c r="G15" s="1066"/>
      <c r="H15" s="1073"/>
      <c r="I15" s="1074">
        <f>SUM(I12:I14)</f>
        <v>0</v>
      </c>
    </row>
    <row r="16" spans="1:9" ht="24">
      <c r="A16" s="4066" t="s">
        <v>1016</v>
      </c>
      <c r="B16" s="4067" t="s">
        <v>986</v>
      </c>
      <c r="C16" s="4067"/>
      <c r="D16" s="1064" t="s">
        <v>964</v>
      </c>
      <c r="E16" s="1075" t="s">
        <v>987</v>
      </c>
      <c r="F16" s="1065" t="s">
        <v>988</v>
      </c>
      <c r="G16" s="1066" t="s">
        <v>968</v>
      </c>
      <c r="H16" s="1072" t="s">
        <v>982</v>
      </c>
      <c r="I16" s="1063" t="s">
        <v>969</v>
      </c>
    </row>
    <row r="17" spans="1:9" ht="14.25">
      <c r="A17" s="4066"/>
      <c r="B17" s="4067" t="s">
        <v>989</v>
      </c>
      <c r="C17" s="4067"/>
      <c r="D17" s="1064"/>
      <c r="E17" s="1064"/>
      <c r="F17" s="1065"/>
      <c r="G17" s="1066"/>
      <c r="H17" s="1076"/>
      <c r="I17" s="1077">
        <f>ROUND(D17*E17*F17*G17/10000,0)</f>
        <v>0</v>
      </c>
    </row>
    <row r="18" spans="1:9" ht="14.25">
      <c r="A18" s="4066"/>
      <c r="B18" s="4067" t="s">
        <v>990</v>
      </c>
      <c r="C18" s="4067"/>
      <c r="D18" s="1064"/>
      <c r="E18" s="1064"/>
      <c r="F18" s="1065"/>
      <c r="G18" s="1066"/>
      <c r="H18" s="1076"/>
      <c r="I18" s="1077">
        <f>ROUND(D18*E18*F18*G18/10000,0)</f>
        <v>0</v>
      </c>
    </row>
    <row r="19" spans="1:9" ht="14.25">
      <c r="A19" s="4066"/>
      <c r="B19" s="4067" t="s">
        <v>991</v>
      </c>
      <c r="C19" s="4067"/>
      <c r="D19" s="1064"/>
      <c r="E19" s="1064"/>
      <c r="F19" s="1065"/>
      <c r="G19" s="1066"/>
      <c r="H19" s="1076"/>
      <c r="I19" s="1077">
        <f>ROUND(D19*E19*F19*G19/10000,0)</f>
        <v>0</v>
      </c>
    </row>
    <row r="20" spans="1:9">
      <c r="A20" s="4066"/>
      <c r="B20" s="4068" t="s">
        <v>977</v>
      </c>
      <c r="C20" s="4068"/>
      <c r="D20" s="1068">
        <f>SUM(D17:D19)</f>
        <v>0</v>
      </c>
      <c r="E20" s="1068"/>
      <c r="F20" s="1069"/>
      <c r="G20" s="1066"/>
      <c r="H20" s="1073"/>
      <c r="I20" s="1074">
        <f>SUM(I17:I19)</f>
        <v>0</v>
      </c>
    </row>
    <row r="21" spans="1:9">
      <c r="A21" s="4066" t="s">
        <v>1017</v>
      </c>
      <c r="B21" s="4069"/>
      <c r="C21" s="4069"/>
      <c r="D21" s="4069"/>
      <c r="E21" s="4069"/>
      <c r="F21" s="4069"/>
      <c r="G21" s="4069"/>
      <c r="H21" s="1078">
        <v>0.1</v>
      </c>
      <c r="I21" s="1071">
        <f>ROUND(I10*H21,0)</f>
        <v>0</v>
      </c>
    </row>
    <row r="22" spans="1:9" ht="14.25">
      <c r="A22" s="4070" t="s">
        <v>1018</v>
      </c>
      <c r="B22" s="4071"/>
      <c r="C22" s="4072"/>
      <c r="D22" s="1079" t="s">
        <v>992</v>
      </c>
      <c r="E22" s="1079" t="s">
        <v>993</v>
      </c>
      <c r="F22" s="1080" t="s">
        <v>968</v>
      </c>
      <c r="G22" s="1080" t="s">
        <v>994</v>
      </c>
      <c r="H22" s="1072" t="s">
        <v>982</v>
      </c>
      <c r="I22" s="1063" t="s">
        <v>969</v>
      </c>
    </row>
    <row r="23" spans="1:9" ht="14.25" thickBot="1">
      <c r="A23" s="4073"/>
      <c r="B23" s="4074"/>
      <c r="C23" s="4075"/>
      <c r="D23" s="1081"/>
      <c r="E23" s="1081"/>
      <c r="F23" s="1081"/>
      <c r="G23" s="1082"/>
      <c r="H23" s="1083"/>
      <c r="I23" s="1084">
        <f>ROUND(E23*D23*F23*(1-G23)/10000,0)</f>
        <v>0</v>
      </c>
    </row>
    <row r="26" spans="1:9">
      <c r="A26" s="1085" t="s">
        <v>995</v>
      </c>
      <c r="B26" s="1085"/>
      <c r="C26" s="1085"/>
      <c r="D26" s="1085"/>
      <c r="E26" s="4063">
        <f>C27-C30-C31-C32</f>
        <v>0</v>
      </c>
      <c r="F26" s="4063"/>
      <c r="G26" s="4063"/>
      <c r="H26" s="1304" t="s">
        <v>1206</v>
      </c>
    </row>
    <row r="27" spans="1:9">
      <c r="A27" s="1086">
        <v>1</v>
      </c>
      <c r="B27" s="1087" t="s">
        <v>996</v>
      </c>
      <c r="C27" s="1087">
        <f>C28+C29</f>
        <v>0</v>
      </c>
      <c r="D27" s="1087"/>
      <c r="E27" s="4064"/>
      <c r="F27" s="4064"/>
      <c r="G27" s="4064"/>
    </row>
    <row r="28" spans="1:9">
      <c r="A28" s="1088" t="s">
        <v>997</v>
      </c>
      <c r="B28" s="1087" t="s">
        <v>998</v>
      </c>
      <c r="C28" s="1087"/>
      <c r="D28" s="1087"/>
      <c r="E28" s="4064"/>
      <c r="F28" s="4064"/>
      <c r="G28" s="406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4065"/>
      <c r="F32" s="4065"/>
      <c r="G32" s="4065"/>
    </row>
    <row r="33" spans="1:7" hidden="1">
      <c r="A33" s="4060" t="s">
        <v>1007</v>
      </c>
      <c r="B33" s="4061"/>
      <c r="C33" s="4061"/>
      <c r="D33" s="4062"/>
      <c r="E33" s="4063"/>
      <c r="F33" s="4063"/>
      <c r="G33" s="4063"/>
    </row>
    <row r="34" spans="1:7" hidden="1">
      <c r="A34" s="1090">
        <v>1</v>
      </c>
      <c r="B34" s="1087" t="s">
        <v>1008</v>
      </c>
      <c r="C34" s="1087"/>
      <c r="D34" s="1087"/>
      <c r="E34" s="4064"/>
      <c r="F34" s="4064"/>
      <c r="G34" s="4064"/>
    </row>
    <row r="35" spans="1:7" hidden="1">
      <c r="A35" s="1090">
        <v>2</v>
      </c>
      <c r="B35" s="1087" t="s">
        <v>1009</v>
      </c>
      <c r="C35" s="1087"/>
      <c r="D35" s="1087"/>
      <c r="E35" s="4064"/>
      <c r="F35" s="4064"/>
      <c r="G35" s="4064"/>
    </row>
    <row r="36" spans="1:7" hidden="1">
      <c r="A36" s="1090">
        <v>3</v>
      </c>
      <c r="B36" s="1087" t="s">
        <v>1010</v>
      </c>
      <c r="C36" s="1087"/>
      <c r="D36" s="1087"/>
      <c r="E36" s="4064"/>
      <c r="F36" s="4064"/>
      <c r="G36" s="4064"/>
    </row>
    <row r="37" spans="1:7" hidden="1">
      <c r="A37" s="1090">
        <v>4</v>
      </c>
      <c r="B37" s="1087" t="s">
        <v>1011</v>
      </c>
      <c r="C37" s="1087"/>
      <c r="D37" s="1087"/>
      <c r="E37" s="4064"/>
      <c r="F37" s="4064"/>
      <c r="G37" s="4064"/>
    </row>
    <row r="38" spans="1:7" hidden="1">
      <c r="A38" s="4060" t="s">
        <v>1012</v>
      </c>
      <c r="B38" s="4061"/>
      <c r="C38" s="4061"/>
      <c r="D38" s="4062"/>
      <c r="E38" s="4063"/>
      <c r="F38" s="4063"/>
      <c r="G38" s="40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8"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4084" t="s">
        <v>2211</v>
      </c>
      <c r="D4" s="4085"/>
      <c r="E4" s="4085"/>
      <c r="F4" s="4085"/>
      <c r="G4" s="4085"/>
      <c r="H4" s="4085"/>
      <c r="I4" s="4085"/>
      <c r="J4" s="4085"/>
      <c r="K4" s="4085"/>
      <c r="L4" s="4085"/>
      <c r="M4" s="4085"/>
      <c r="N4" s="4085"/>
      <c r="O4" s="4085"/>
      <c r="P4" s="4085"/>
      <c r="Q4" s="4085"/>
      <c r="R4" s="4085"/>
      <c r="S4" s="4086"/>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4" t="s">
        <v>2227</v>
      </c>
      <c r="V24" s="2987"/>
      <c r="W24" s="2988" t="s">
        <v>2228</v>
      </c>
      <c r="X24" s="2244" t="s">
        <v>2229</v>
      </c>
      <c r="Y24" s="2987"/>
      <c r="Z24" s="2989" t="s">
        <v>2228</v>
      </c>
    </row>
    <row r="25" spans="1:45">
      <c r="A25" s="250" t="s">
        <v>2230</v>
      </c>
      <c r="B25" s="13">
        <f>SUM(B27:B10000)</f>
        <v>0</v>
      </c>
      <c r="C25" s="4081" t="s">
        <v>45</v>
      </c>
      <c r="D25" s="4082"/>
      <c r="E25" s="4082"/>
      <c r="F25" s="4082"/>
      <c r="G25" s="4082"/>
      <c r="H25" s="4082"/>
      <c r="I25" s="4082"/>
      <c r="J25" s="4082"/>
      <c r="K25" s="4082"/>
      <c r="L25" s="4082"/>
      <c r="M25" s="4082"/>
      <c r="N25" s="4082"/>
      <c r="O25" s="4082"/>
      <c r="P25" s="4082"/>
      <c r="Q25" s="4083"/>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2"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300-000000000000}">
      <formula1>一修多修正项2</formula1>
    </dataValidation>
    <dataValidation type="list" allowBlank="1" showInputMessage="1" showErrorMessage="1" sqref="F27:F527" xr:uid="{00000000-0002-0000-1300-000001000000}">
      <formula1>一修多修正项3</formula1>
    </dataValidation>
    <dataValidation type="list" allowBlank="1" showInputMessage="1" showErrorMessage="1" sqref="H27:H527" xr:uid="{00000000-0002-0000-1300-000002000000}">
      <formula1>一修多修正项4</formula1>
    </dataValidation>
    <dataValidation type="list" allowBlank="1" showInputMessage="1" showErrorMessage="1" sqref="J27:J527" xr:uid="{00000000-0002-0000-1300-000003000000}">
      <formula1>一修多修正项5</formula1>
    </dataValidation>
    <dataValidation type="list" allowBlank="1" showInputMessage="1" showErrorMessage="1" sqref="L27:L527" xr:uid="{00000000-0002-0000-1300-000004000000}">
      <formula1>一修多修正项6</formula1>
    </dataValidation>
    <dataValidation type="list" allowBlank="1" showInputMessage="1" showErrorMessage="1" sqref="N27:N527" xr:uid="{00000000-0002-0000-1300-000005000000}">
      <formula1>一修多修正项7</formula1>
    </dataValidation>
    <dataValidation type="list" allowBlank="1" showInputMessage="1" showErrorMessage="1" sqref="P27:P527" xr:uid="{00000000-0002-0000-1300-000006000000}">
      <formula1>一修多修正项8</formula1>
    </dataValidation>
    <dataValidation type="list" allowBlank="1" showInputMessage="1" showErrorMessage="1" sqref="F23" xr:uid="{00000000-0002-0000-1300-000007000000}">
      <formula1>"需扣减承租人权益,——"</formula1>
    </dataValidation>
    <dataValidation type="list" allowBlank="1" showInputMessage="1" showErrorMessage="1" sqref="J23" xr:uid="{00000000-0002-0000-13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2241</v>
      </c>
      <c r="C1" s="1638"/>
      <c r="D1" s="1639"/>
      <c r="E1" s="1640" t="s">
        <v>1224</v>
      </c>
      <c r="F1" s="1641" t="s">
        <v>2242</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1912</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92"/>
      <c r="I2" s="2992"/>
      <c r="J2" s="2992"/>
      <c r="K2" s="2993"/>
      <c r="L2" s="2994"/>
      <c r="M2" s="2992"/>
      <c r="N2" s="2992"/>
      <c r="O2" s="2992"/>
      <c r="P2" s="1655"/>
      <c r="Q2" s="1656"/>
      <c r="R2" s="1656"/>
      <c r="S2" s="1656"/>
      <c r="T2" s="1656"/>
      <c r="U2" s="1656"/>
      <c r="V2" s="1656"/>
      <c r="W2" s="1656"/>
      <c r="X2" s="1656"/>
      <c r="Y2" s="1656"/>
      <c r="Z2" s="1656"/>
      <c r="AA2" s="1656"/>
      <c r="AB2" s="1656"/>
      <c r="AC2" s="1657"/>
    </row>
    <row r="3" spans="1:29" s="277" customFormat="1" ht="28.5" customHeight="1" thickBot="1">
      <c r="A3" s="1658" t="s">
        <v>1913</v>
      </c>
      <c r="B3" s="1659" t="e">
        <f ca="1">ROUND(IF(D2="——",C49,IF(C2="万元",B2*10000/D3,B2/D3)),0)</f>
        <v>#DIV/0!</v>
      </c>
      <c r="C3" s="1659" t="s">
        <v>2243</v>
      </c>
      <c r="D3" s="1659">
        <f>IF(C1="仅计算典型户型",'数据-取费表'!E5,'数据-取费表'!B5)</f>
        <v>459.68</v>
      </c>
      <c r="E3" s="2992"/>
      <c r="F3" s="2995"/>
      <c r="G3" s="2992"/>
      <c r="H3" s="2992"/>
      <c r="I3" s="2992"/>
      <c r="J3" s="2992"/>
      <c r="K3" s="2993"/>
      <c r="L3" s="2994"/>
      <c r="M3" s="2992"/>
      <c r="N3" s="2992"/>
      <c r="O3" s="2992"/>
      <c r="P3" s="1660"/>
      <c r="Q3" s="1656"/>
      <c r="R3" s="1656"/>
      <c r="S3" s="1656"/>
      <c r="T3" s="1656"/>
      <c r="U3" s="1656"/>
      <c r="V3" s="1656"/>
      <c r="W3" s="1656"/>
      <c r="X3" s="1656"/>
      <c r="Y3" s="1656"/>
      <c r="Z3" s="1656"/>
      <c r="AA3" s="1656"/>
      <c r="AB3" s="1656"/>
      <c r="AC3" s="1661"/>
    </row>
    <row r="4" spans="1:29" ht="15">
      <c r="A4" s="1662" t="s">
        <v>2244</v>
      </c>
      <c r="B4" s="1663"/>
      <c r="C4" s="3860" t="s">
        <v>2245</v>
      </c>
      <c r="D4" s="3861"/>
      <c r="E4" s="3862" t="s">
        <v>2246</v>
      </c>
      <c r="F4" s="3863"/>
      <c r="G4" s="3860" t="s">
        <v>2247</v>
      </c>
      <c r="H4" s="3861"/>
      <c r="I4" s="3860" t="s">
        <v>2248</v>
      </c>
      <c r="J4" s="3861"/>
      <c r="K4" s="1664" t="s">
        <v>2249</v>
      </c>
      <c r="L4" s="2996"/>
      <c r="M4" s="2997"/>
      <c r="N4" s="2997"/>
      <c r="O4" s="2997"/>
      <c r="P4" s="3864" t="s">
        <v>2250</v>
      </c>
      <c r="Q4" s="3865"/>
      <c r="R4" s="3847" t="s">
        <v>2246</v>
      </c>
      <c r="S4" s="3848"/>
      <c r="T4" s="3847" t="s">
        <v>2247</v>
      </c>
      <c r="U4" s="3848"/>
      <c r="V4" s="3870" t="s">
        <v>2248</v>
      </c>
      <c r="W4" s="3870"/>
      <c r="X4" s="1665"/>
      <c r="Y4" s="3847" t="s">
        <v>2250</v>
      </c>
      <c r="Z4" s="3848"/>
      <c r="AA4" s="3857" t="s">
        <v>2246</v>
      </c>
      <c r="AB4" s="3857" t="s">
        <v>2247</v>
      </c>
      <c r="AC4" s="3857" t="s">
        <v>2248</v>
      </c>
    </row>
    <row r="5" spans="1:29" ht="15">
      <c r="A5" s="1667"/>
      <c r="B5" s="1668"/>
      <c r="C5" s="3873" t="s">
        <v>2251</v>
      </c>
      <c r="D5" s="3874"/>
      <c r="E5" s="4095" t="s">
        <v>2252</v>
      </c>
      <c r="F5" s="3872"/>
      <c r="G5" s="3873" t="s">
        <v>2253</v>
      </c>
      <c r="H5" s="3874"/>
      <c r="I5" s="3873" t="s">
        <v>2254</v>
      </c>
      <c r="J5" s="3874"/>
      <c r="K5" s="1669"/>
      <c r="L5" s="2996"/>
      <c r="M5" s="2997"/>
      <c r="N5" s="2997"/>
      <c r="O5" s="2997"/>
      <c r="P5" s="3866"/>
      <c r="Q5" s="3867"/>
      <c r="R5" s="3849"/>
      <c r="S5" s="3850"/>
      <c r="T5" s="3849"/>
      <c r="U5" s="3850"/>
      <c r="V5" s="3870"/>
      <c r="W5" s="3870"/>
      <c r="X5" s="1665"/>
      <c r="Y5" s="3849"/>
      <c r="Z5" s="3850"/>
      <c r="AA5" s="3858"/>
      <c r="AB5" s="3858"/>
      <c r="AC5" s="3858"/>
    </row>
    <row r="6" spans="1:29" ht="15.75" thickBot="1">
      <c r="A6" s="1670"/>
      <c r="B6" s="1671"/>
      <c r="C6" s="3875" t="s">
        <v>2255</v>
      </c>
      <c r="D6" s="3876"/>
      <c r="E6" s="3878" t="s">
        <v>2255</v>
      </c>
      <c r="F6" s="3879"/>
      <c r="G6" s="3875" t="s">
        <v>2255</v>
      </c>
      <c r="H6" s="3876"/>
      <c r="I6" s="3875" t="s">
        <v>2255</v>
      </c>
      <c r="J6" s="3876"/>
      <c r="K6" s="1669" t="s">
        <v>2256</v>
      </c>
      <c r="L6" s="2996"/>
      <c r="M6" s="2997"/>
      <c r="N6" s="2997"/>
      <c r="O6" s="2997"/>
      <c r="P6" s="3868"/>
      <c r="Q6" s="3869"/>
      <c r="R6" s="3849"/>
      <c r="S6" s="3850"/>
      <c r="T6" s="3851"/>
      <c r="U6" s="3852"/>
      <c r="V6" s="3870"/>
      <c r="W6" s="3870"/>
      <c r="X6" s="1665"/>
      <c r="Y6" s="3851"/>
      <c r="Z6" s="3852"/>
      <c r="AA6" s="3859"/>
      <c r="AB6" s="3859"/>
      <c r="AC6" s="3859"/>
    </row>
    <row r="7" spans="1:29" s="1684" customFormat="1" ht="15.75" thickBot="1">
      <c r="A7" s="1672" t="s">
        <v>2257</v>
      </c>
      <c r="B7" s="1673"/>
      <c r="C7" s="1674">
        <f>'数据-取费表'!B2</f>
        <v>42558</v>
      </c>
      <c r="D7" s="1675">
        <v>100</v>
      </c>
      <c r="E7" s="1676"/>
      <c r="F7" s="1677">
        <f>SUMIF(58:58,YEAR(E7)&amp;"-"&amp;MONTH(E7),59:59)</f>
        <v>0</v>
      </c>
      <c r="G7" s="1676"/>
      <c r="H7" s="1675">
        <f>SUMIF(58:58,YEAR(G7)&amp;"-"&amp;MONTH(G7),59:59)</f>
        <v>0</v>
      </c>
      <c r="I7" s="1676"/>
      <c r="J7" s="1675">
        <f>SUMIF(58:58,YEAR(I7)&amp;"-"&amp;MONTH(I7),59:59)</f>
        <v>0</v>
      </c>
      <c r="K7" s="1678"/>
      <c r="L7" s="2996"/>
      <c r="M7" s="2969"/>
      <c r="N7" s="2969"/>
      <c r="O7" s="2969"/>
      <c r="P7" s="3845" t="s">
        <v>2258</v>
      </c>
      <c r="Q7" s="3853"/>
      <c r="R7" s="1680" t="s">
        <v>34</v>
      </c>
      <c r="S7" s="1681">
        <f t="shared" ref="S7:S15" si="0">F7</f>
        <v>0</v>
      </c>
      <c r="T7" s="1680" t="s">
        <v>34</v>
      </c>
      <c r="U7" s="1681">
        <f t="shared" ref="U7:U15" si="1">H7</f>
        <v>0</v>
      </c>
      <c r="V7" s="1680" t="s">
        <v>34</v>
      </c>
      <c r="W7" s="1681">
        <f t="shared" ref="W7:W15" si="2">J7</f>
        <v>0</v>
      </c>
      <c r="X7" s="1682"/>
      <c r="Y7" s="3845" t="s">
        <v>2258</v>
      </c>
      <c r="Z7" s="3846"/>
      <c r="AA7" s="1683" t="e">
        <f>D7/F7</f>
        <v>#DIV/0!</v>
      </c>
      <c r="AB7" s="1683" t="e">
        <f>D7/H7</f>
        <v>#DIV/0!</v>
      </c>
      <c r="AC7" s="1683" t="e">
        <f>D7/J7</f>
        <v>#DIV/0!</v>
      </c>
    </row>
    <row r="8" spans="1:29" s="1684" customFormat="1" ht="15.75" thickBot="1">
      <c r="A8" s="1672" t="s">
        <v>2259</v>
      </c>
      <c r="B8" s="1673"/>
      <c r="C8" s="1685" t="s">
        <v>2260</v>
      </c>
      <c r="D8" s="1675">
        <v>100</v>
      </c>
      <c r="E8" s="1686"/>
      <c r="F8" s="1677">
        <f>SUMIF(61:61,E8,62:62)-SUMIF(61:61,C8,62:62)+100</f>
        <v>0</v>
      </c>
      <c r="G8" s="1685"/>
      <c r="H8" s="1675">
        <f>SUMIF(61:61,G8,62:62)-SUMIF(61:61,C8,62:62)+100</f>
        <v>0</v>
      </c>
      <c r="I8" s="1686"/>
      <c r="J8" s="1675">
        <f>SUMIF(61:61,I8,62:62)-SUMIF(61:61,C8,62:62)+100</f>
        <v>0</v>
      </c>
      <c r="K8" s="1678"/>
      <c r="L8" s="2996"/>
      <c r="M8" s="2969"/>
      <c r="N8" s="2969"/>
      <c r="O8" s="2969"/>
      <c r="P8" s="3845" t="s">
        <v>2261</v>
      </c>
      <c r="Q8" s="3846"/>
      <c r="R8" s="1680" t="s">
        <v>34</v>
      </c>
      <c r="S8" s="1681">
        <f t="shared" si="0"/>
        <v>0</v>
      </c>
      <c r="T8" s="1680" t="s">
        <v>34</v>
      </c>
      <c r="U8" s="1681">
        <f t="shared" si="1"/>
        <v>0</v>
      </c>
      <c r="V8" s="1680" t="s">
        <v>34</v>
      </c>
      <c r="W8" s="1681">
        <f t="shared" si="2"/>
        <v>0</v>
      </c>
      <c r="X8" s="1682"/>
      <c r="Y8" s="3845" t="s">
        <v>2261</v>
      </c>
      <c r="Z8" s="3846"/>
      <c r="AA8" s="1683" t="e">
        <f t="shared" ref="AA8:AA46" si="3">D8/F8</f>
        <v>#DIV/0!</v>
      </c>
      <c r="AB8" s="1683" t="e">
        <f t="shared" ref="AB8:AB46" si="4">D8/H8</f>
        <v>#DIV/0!</v>
      </c>
      <c r="AC8" s="1683" t="e">
        <f t="shared" ref="AC8:AC46" si="5">D8/J8</f>
        <v>#DIV/0!</v>
      </c>
    </row>
    <row r="9" spans="1:29" s="1684" customFormat="1">
      <c r="A9" s="1635" t="s">
        <v>2262</v>
      </c>
      <c r="B9" s="1687" t="s">
        <v>2263</v>
      </c>
      <c r="C9" s="1688"/>
      <c r="D9" s="1689">
        <v>100</v>
      </c>
      <c r="E9" s="1690"/>
      <c r="F9" s="1691">
        <f>SUMIF(63:63,E9,64:64)-SUMIF(63:63,C9,64:64)+100</f>
        <v>100</v>
      </c>
      <c r="G9" s="1692"/>
      <c r="H9" s="1689">
        <f>SUMIF(63:63,G9,64:64)-SUMIF(63:63,C9,64:64)+100</f>
        <v>100</v>
      </c>
      <c r="I9" s="1692"/>
      <c r="J9" s="1689">
        <f>SUMIF(63:63,I9,64:64)-SUMIF(63:63,C9,64:64)+100</f>
        <v>100</v>
      </c>
      <c r="K9" s="1678"/>
      <c r="L9" s="2996"/>
      <c r="M9" s="2969"/>
      <c r="N9" s="2969"/>
      <c r="O9" s="2969"/>
      <c r="P9" s="4094" t="s">
        <v>2264</v>
      </c>
      <c r="Q9" s="1634" t="str">
        <f t="shared" ref="Q9:Q15" si="6">B9</f>
        <v>用途</v>
      </c>
      <c r="R9" s="1680" t="s">
        <v>25</v>
      </c>
      <c r="S9" s="1681">
        <f t="shared" si="0"/>
        <v>100</v>
      </c>
      <c r="T9" s="1680" t="s">
        <v>25</v>
      </c>
      <c r="U9" s="1681">
        <f t="shared" si="1"/>
        <v>100</v>
      </c>
      <c r="V9" s="1680" t="s">
        <v>25</v>
      </c>
      <c r="W9" s="1681">
        <f t="shared" si="2"/>
        <v>100</v>
      </c>
      <c r="X9" s="1682"/>
      <c r="Y9" s="3856"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8"/>
      <c r="F10" s="1699">
        <f>SUMIF(65:65,E10,66:66)-SUMIF(65:65,C10,66:66)+100</f>
        <v>100</v>
      </c>
      <c r="G10" s="1696"/>
      <c r="H10" s="1697">
        <f>SUMIF(65:65,G10,66:66)-SUMIF(65:65,C10,66:66)+100</f>
        <v>100</v>
      </c>
      <c r="I10" s="1696"/>
      <c r="J10" s="1697">
        <f>SUMIF(65:65,I10,66:66)-SUMIF(65:65,C10,66:66)+100</f>
        <v>100</v>
      </c>
      <c r="K10" s="1700"/>
      <c r="L10" s="2998"/>
      <c r="M10" s="2999"/>
      <c r="N10" s="2999"/>
      <c r="O10" s="2999"/>
      <c r="P10" s="4094"/>
      <c r="Q10" s="1634" t="str">
        <f t="shared" si="6"/>
        <v>土地使用年限（年）</v>
      </c>
      <c r="R10" s="1680" t="s">
        <v>25</v>
      </c>
      <c r="S10" s="1681">
        <f t="shared" si="0"/>
        <v>100</v>
      </c>
      <c r="T10" s="1680" t="s">
        <v>25</v>
      </c>
      <c r="U10" s="1681">
        <f t="shared" si="1"/>
        <v>100</v>
      </c>
      <c r="V10" s="1680" t="s">
        <v>25</v>
      </c>
      <c r="W10" s="1681">
        <f t="shared" si="2"/>
        <v>100</v>
      </c>
      <c r="X10" s="1682"/>
      <c r="Y10" s="3856"/>
      <c r="Z10" s="1693" t="str">
        <f t="shared" si="7"/>
        <v>土地使用年限（年）</v>
      </c>
      <c r="AA10" s="1683">
        <f t="shared" si="3"/>
        <v>1</v>
      </c>
      <c r="AB10" s="1683">
        <f t="shared" si="4"/>
        <v>1</v>
      </c>
      <c r="AC10" s="1683">
        <f t="shared" si="5"/>
        <v>1</v>
      </c>
    </row>
    <row r="11" spans="1:29" ht="15">
      <c r="A11" s="1702"/>
      <c r="B11" s="1695" t="s">
        <v>2267</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0"/>
      <c r="M11" s="2997"/>
      <c r="N11" s="2997"/>
      <c r="O11" s="2997"/>
      <c r="P11" s="4094"/>
      <c r="Q11" s="1634" t="str">
        <f t="shared" si="6"/>
        <v>容积率</v>
      </c>
      <c r="R11" s="1680" t="s">
        <v>28</v>
      </c>
      <c r="S11" s="1681" t="e">
        <f t="shared" si="0"/>
        <v>#N/A</v>
      </c>
      <c r="T11" s="1680" t="s">
        <v>28</v>
      </c>
      <c r="U11" s="1681" t="e">
        <f t="shared" si="1"/>
        <v>#N/A</v>
      </c>
      <c r="V11" s="1680" t="s">
        <v>28</v>
      </c>
      <c r="W11" s="1681" t="e">
        <f t="shared" si="2"/>
        <v>#N/A</v>
      </c>
      <c r="X11" s="1682"/>
      <c r="Y11" s="385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6"/>
      <c r="M12" s="2969"/>
      <c r="N12" s="2969"/>
      <c r="O12" s="2969"/>
      <c r="P12" s="4094"/>
      <c r="Q12" s="1634">
        <f t="shared" si="6"/>
        <v>111</v>
      </c>
      <c r="R12" s="1680" t="s">
        <v>28</v>
      </c>
      <c r="S12" s="1681">
        <f t="shared" si="0"/>
        <v>100</v>
      </c>
      <c r="T12" s="1680" t="s">
        <v>28</v>
      </c>
      <c r="U12" s="1681">
        <f t="shared" si="1"/>
        <v>100</v>
      </c>
      <c r="V12" s="1680" t="s">
        <v>28</v>
      </c>
      <c r="W12" s="1681">
        <f t="shared" si="2"/>
        <v>100</v>
      </c>
      <c r="X12" s="1682"/>
      <c r="Y12" s="385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1"/>
      <c r="M13" s="2997"/>
      <c r="N13" s="2997"/>
      <c r="O13" s="2997"/>
      <c r="P13" s="4094"/>
      <c r="Q13" s="1634">
        <f t="shared" si="6"/>
        <v>111</v>
      </c>
      <c r="R13" s="1680" t="s">
        <v>28</v>
      </c>
      <c r="S13" s="1681">
        <f t="shared" si="0"/>
        <v>100</v>
      </c>
      <c r="T13" s="1680" t="s">
        <v>28</v>
      </c>
      <c r="U13" s="1681">
        <f t="shared" si="1"/>
        <v>100</v>
      </c>
      <c r="V13" s="1680" t="s">
        <v>28</v>
      </c>
      <c r="W13" s="1681">
        <f t="shared" si="2"/>
        <v>100</v>
      </c>
      <c r="X13" s="1682"/>
      <c r="Y13" s="3856"/>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1"/>
      <c r="M14" s="2997"/>
      <c r="N14" s="2997"/>
      <c r="O14" s="2997"/>
      <c r="P14" s="4094"/>
      <c r="Q14" s="1634">
        <f t="shared" si="6"/>
        <v>111</v>
      </c>
      <c r="R14" s="1680" t="s">
        <v>28</v>
      </c>
      <c r="S14" s="1681">
        <f t="shared" si="0"/>
        <v>100</v>
      </c>
      <c r="T14" s="1680" t="s">
        <v>28</v>
      </c>
      <c r="U14" s="1681">
        <f t="shared" si="1"/>
        <v>100</v>
      </c>
      <c r="V14" s="1680" t="s">
        <v>28</v>
      </c>
      <c r="W14" s="1681">
        <f t="shared" si="2"/>
        <v>100</v>
      </c>
      <c r="X14" s="1682"/>
      <c r="Y14" s="3856"/>
      <c r="Z14" s="1693">
        <f t="shared" si="7"/>
        <v>111</v>
      </c>
      <c r="AA14" s="1683">
        <f t="shared" si="3"/>
        <v>1</v>
      </c>
      <c r="AB14" s="1683">
        <f t="shared" si="4"/>
        <v>1</v>
      </c>
      <c r="AC14" s="1683">
        <f t="shared" si="5"/>
        <v>1</v>
      </c>
    </row>
    <row r="15" spans="1:29" ht="99.75">
      <c r="A15" s="1717" t="s">
        <v>2268</v>
      </c>
      <c r="B15" s="1718" t="s">
        <v>1702</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1"/>
      <c r="M15" s="2997"/>
      <c r="N15" s="2997"/>
      <c r="O15" s="2997"/>
      <c r="P15" s="4089" t="s">
        <v>2269</v>
      </c>
      <c r="Q15" s="1615" t="str">
        <f t="shared" si="6"/>
        <v>居住社区成熟度</v>
      </c>
      <c r="R15" s="1725" t="s">
        <v>28</v>
      </c>
      <c r="S15" s="1726">
        <f t="shared" si="0"/>
        <v>100</v>
      </c>
      <c r="T15" s="1725" t="s">
        <v>28</v>
      </c>
      <c r="U15" s="1726">
        <f t="shared" si="1"/>
        <v>100</v>
      </c>
      <c r="V15" s="1725" t="s">
        <v>28</v>
      </c>
      <c r="W15" s="1726">
        <f t="shared" si="2"/>
        <v>100</v>
      </c>
      <c r="X15" s="1665"/>
      <c r="Y15" s="3854" t="s">
        <v>2269</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1"/>
      <c r="M16" s="2997"/>
      <c r="N16" s="2997"/>
      <c r="O16" s="2997"/>
      <c r="P16" s="4090"/>
      <c r="Q16" s="1615"/>
      <c r="R16" s="1725"/>
      <c r="S16" s="1726"/>
      <c r="T16" s="1725"/>
      <c r="U16" s="1726"/>
      <c r="V16" s="1725"/>
      <c r="W16" s="1726"/>
      <c r="X16" s="1665"/>
      <c r="Y16" s="3855"/>
      <c r="Z16" s="1727"/>
      <c r="AA16" s="1728">
        <v>1</v>
      </c>
      <c r="AB16" s="1728">
        <v>1</v>
      </c>
      <c r="AC16" s="1728">
        <v>1</v>
      </c>
    </row>
    <row r="17" spans="1:29" ht="142.5">
      <c r="A17" s="1702"/>
      <c r="B17" s="1737" t="s">
        <v>1704</v>
      </c>
      <c r="C17" s="1738" t="str">
        <f>估价对象房地状况!C6</f>
        <v>估价对象临近知春路，距离地铁10、13号线知春路站约100米，周边有专168路、311路、319路、630路等公交车通达，停车便捷程度较好，综合评价交通便捷度好</v>
      </c>
      <c r="D17" s="1735">
        <v>100</v>
      </c>
      <c r="E17" s="1739"/>
      <c r="F17" s="1740">
        <f>SUMIF(78:78,E18,79:79)-SUMIF(78:78,C18,79:79)+100</f>
        <v>100</v>
      </c>
      <c r="G17" s="1741"/>
      <c r="H17" s="1742">
        <f>SUMIF(78:78,G18,79:79)-SUMIF(78:78,C18,79:79)+100</f>
        <v>100</v>
      </c>
      <c r="I17" s="1739"/>
      <c r="J17" s="1742">
        <f>SUMIF(78:78,I18,79:79)-SUMIF(78:78,C18,79:79)+100</f>
        <v>100</v>
      </c>
      <c r="K17" s="1724"/>
      <c r="L17" s="3001"/>
      <c r="M17" s="2997"/>
      <c r="N17" s="2997"/>
      <c r="O17" s="2997"/>
      <c r="P17" s="4090"/>
      <c r="Q17" s="1615" t="str">
        <f>B17</f>
        <v>交通便捷度</v>
      </c>
      <c r="R17" s="1725" t="s">
        <v>28</v>
      </c>
      <c r="S17" s="1726">
        <f>F17</f>
        <v>100</v>
      </c>
      <c r="T17" s="1725" t="s">
        <v>28</v>
      </c>
      <c r="U17" s="1726">
        <f>H17</f>
        <v>100</v>
      </c>
      <c r="V17" s="1725" t="s">
        <v>28</v>
      </c>
      <c r="W17" s="1726">
        <f>J17</f>
        <v>100</v>
      </c>
      <c r="X17" s="1665"/>
      <c r="Y17" s="3855"/>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1"/>
      <c r="M18" s="2997"/>
      <c r="N18" s="2997"/>
      <c r="O18" s="2997"/>
      <c r="P18" s="4090"/>
      <c r="Q18" s="1615"/>
      <c r="R18" s="1725"/>
      <c r="S18" s="1726"/>
      <c r="T18" s="1725"/>
      <c r="U18" s="1726"/>
      <c r="V18" s="1725"/>
      <c r="W18" s="1726"/>
      <c r="X18" s="1665"/>
      <c r="Y18" s="3855"/>
      <c r="Z18" s="1727"/>
      <c r="AA18" s="1728">
        <v>1</v>
      </c>
      <c r="AB18" s="1728">
        <v>1</v>
      </c>
      <c r="AC18" s="1728">
        <v>1</v>
      </c>
    </row>
    <row r="19" spans="1:29" ht="313.5">
      <c r="A19" s="1702"/>
      <c r="B19" s="1737" t="s">
        <v>1703</v>
      </c>
      <c r="C19" s="1738"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1747"/>
      <c r="F19" s="1748">
        <f>SUMIF(80:80,E20,81:81)-SUMIF(80:80,C20,81:81)+100</f>
        <v>100</v>
      </c>
      <c r="G19" s="1749"/>
      <c r="H19" s="1735">
        <f>SUMIF(80:80,G20,81:81)-SUMIF(80:80,C20,81:81)+100</f>
        <v>100</v>
      </c>
      <c r="I19" s="1747"/>
      <c r="J19" s="1735">
        <f>SUMIF(80:80,I20,81:81)-SUMIF(80:80,C20,81:81)+100</f>
        <v>100</v>
      </c>
      <c r="K19" s="1724"/>
      <c r="L19" s="3001"/>
      <c r="M19" s="2997"/>
      <c r="N19" s="2997"/>
      <c r="O19" s="2997"/>
      <c r="P19" s="4090"/>
      <c r="Q19" s="1615" t="str">
        <f>B19</f>
        <v>公共配套设施</v>
      </c>
      <c r="R19" s="1725" t="s">
        <v>28</v>
      </c>
      <c r="S19" s="1726">
        <f>F19</f>
        <v>100</v>
      </c>
      <c r="T19" s="1725" t="s">
        <v>28</v>
      </c>
      <c r="U19" s="1726">
        <f>H19</f>
        <v>100</v>
      </c>
      <c r="V19" s="1725" t="s">
        <v>28</v>
      </c>
      <c r="W19" s="1726">
        <f>J19</f>
        <v>100</v>
      </c>
      <c r="X19" s="1665"/>
      <c r="Y19" s="3855"/>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1"/>
      <c r="M20" s="2997"/>
      <c r="N20" s="2997"/>
      <c r="O20" s="2997"/>
      <c r="P20" s="4090"/>
      <c r="Q20" s="1615"/>
      <c r="R20" s="1725"/>
      <c r="S20" s="1726"/>
      <c r="T20" s="1725"/>
      <c r="U20" s="1726"/>
      <c r="V20" s="1725"/>
      <c r="W20" s="1726"/>
      <c r="X20" s="1665"/>
      <c r="Y20" s="3855"/>
      <c r="Z20" s="1727"/>
      <c r="AA20" s="1728">
        <v>1</v>
      </c>
      <c r="AB20" s="1728">
        <v>1</v>
      </c>
      <c r="AC20" s="1728">
        <v>1</v>
      </c>
    </row>
    <row r="21" spans="1:29" ht="42.75">
      <c r="A21" s="1702"/>
      <c r="B21" s="1750" t="s">
        <v>1705</v>
      </c>
      <c r="C21" s="1738" t="str">
        <f>估价对象房地状况!C8</f>
        <v>估价对象所在区域基础设施水平-七通</v>
      </c>
      <c r="D21" s="1742">
        <v>100</v>
      </c>
      <c r="E21" s="1747"/>
      <c r="F21" s="1748">
        <f>SUMIF(82:82,E22,83:83)-SUMIF(82:82,C22,83:83)+100</f>
        <v>100</v>
      </c>
      <c r="G21" s="1749"/>
      <c r="H21" s="1735">
        <f>SUMIF(82:82,G22,83:83)-SUMIF(82:82,C22,83:83)+100</f>
        <v>100</v>
      </c>
      <c r="I21" s="1747"/>
      <c r="J21" s="1735">
        <f>SUMIF(82:82,I22,83:83)-SUMIF(82:82,C22,83:83)+100</f>
        <v>100</v>
      </c>
      <c r="K21" s="1724"/>
      <c r="L21" s="3001"/>
      <c r="M21" s="2997"/>
      <c r="N21" s="2997"/>
      <c r="O21" s="2997"/>
      <c r="P21" s="4090"/>
      <c r="Q21" s="1615" t="str">
        <f>B21</f>
        <v>基础设施水平</v>
      </c>
      <c r="R21" s="1725" t="s">
        <v>28</v>
      </c>
      <c r="S21" s="1726">
        <f>F21</f>
        <v>100</v>
      </c>
      <c r="T21" s="1725" t="s">
        <v>28</v>
      </c>
      <c r="U21" s="1726">
        <f>H21</f>
        <v>100</v>
      </c>
      <c r="V21" s="1725" t="s">
        <v>28</v>
      </c>
      <c r="W21" s="1726">
        <f>J21</f>
        <v>100</v>
      </c>
      <c r="X21" s="1665"/>
      <c r="Y21" s="3855"/>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1"/>
      <c r="M22" s="2997"/>
      <c r="N22" s="2997"/>
      <c r="O22" s="2997"/>
      <c r="P22" s="4090"/>
      <c r="Q22" s="1615"/>
      <c r="R22" s="1725"/>
      <c r="S22" s="1726"/>
      <c r="T22" s="1725"/>
      <c r="U22" s="1726"/>
      <c r="V22" s="1725"/>
      <c r="W22" s="1726"/>
      <c r="X22" s="1665"/>
      <c r="Y22" s="3855"/>
      <c r="Z22" s="1727"/>
      <c r="AA22" s="1728">
        <v>1</v>
      </c>
      <c r="AB22" s="1728">
        <v>1</v>
      </c>
      <c r="AC22" s="1728">
        <v>1</v>
      </c>
    </row>
    <row r="23" spans="1:29" ht="114">
      <c r="A23" s="1702"/>
      <c r="B23" s="1737" t="s">
        <v>1706</v>
      </c>
      <c r="C23" s="1738" t="str">
        <f>估价对象房地状况!C9</f>
        <v>区域自然环境：知春公园、双榆树公园；人文环境；首体足球场、大运村网球场；
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c r="L23" s="3001"/>
      <c r="M23" s="2997"/>
      <c r="N23" s="2997"/>
      <c r="O23" s="2997"/>
      <c r="P23" s="4090"/>
      <c r="Q23" s="1615" t="str">
        <f>B23</f>
        <v>自然及人文环境</v>
      </c>
      <c r="R23" s="1725" t="s">
        <v>28</v>
      </c>
      <c r="S23" s="1726">
        <f>F23</f>
        <v>100</v>
      </c>
      <c r="T23" s="1725" t="s">
        <v>28</v>
      </c>
      <c r="U23" s="1726">
        <f>H23</f>
        <v>100</v>
      </c>
      <c r="V23" s="1725" t="s">
        <v>28</v>
      </c>
      <c r="W23" s="1726">
        <f>J23</f>
        <v>100</v>
      </c>
      <c r="X23" s="1665"/>
      <c r="Y23" s="3855"/>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1"/>
      <c r="M24" s="2997"/>
      <c r="N24" s="2997"/>
      <c r="O24" s="2997"/>
      <c r="P24" s="4090"/>
      <c r="Q24" s="1615"/>
      <c r="R24" s="1725"/>
      <c r="S24" s="1726"/>
      <c r="T24" s="1725"/>
      <c r="U24" s="1726"/>
      <c r="V24" s="1725"/>
      <c r="W24" s="1726"/>
      <c r="X24" s="1665"/>
      <c r="Y24" s="3855"/>
      <c r="Z24" s="1727"/>
      <c r="AA24" s="1728">
        <v>1</v>
      </c>
      <c r="AB24" s="1728">
        <v>1</v>
      </c>
      <c r="AC24" s="1728">
        <v>1</v>
      </c>
    </row>
    <row r="25" spans="1:29" ht="15">
      <c r="A25" s="1702"/>
      <c r="B25" s="1695" t="s">
        <v>2270</v>
      </c>
      <c r="C25" s="1752"/>
      <c r="D25" s="1711">
        <v>100</v>
      </c>
      <c r="E25" s="1753"/>
      <c r="F25" s="1754">
        <f>SUMIF(86:86,E25,87:87)-SUMIF(86:86,C25,87:87)+100</f>
        <v>100</v>
      </c>
      <c r="G25" s="1755"/>
      <c r="H25" s="1711">
        <f>SUMIF(86:86,G25,87:87)-SUMIF(86:86,C25,87:87)+100</f>
        <v>100</v>
      </c>
      <c r="I25" s="1753"/>
      <c r="J25" s="1711">
        <f>SUMIF(86:86,I25,87:87)-SUMIF(86:86,C25,87:87)+100</f>
        <v>100</v>
      </c>
      <c r="K25" s="1700"/>
      <c r="L25" s="3001"/>
      <c r="M25" s="2997"/>
      <c r="N25" s="2997"/>
      <c r="O25" s="2997"/>
      <c r="P25" s="4090"/>
      <c r="Q25" s="1615" t="str">
        <f t="shared" ref="Q25:Q46" si="11">B25</f>
        <v>楼层-1</v>
      </c>
      <c r="R25" s="1725" t="s">
        <v>28</v>
      </c>
      <c r="S25" s="1726">
        <f>F25</f>
        <v>100</v>
      </c>
      <c r="T25" s="1725" t="s">
        <v>28</v>
      </c>
      <c r="U25" s="1726">
        <f>H25</f>
        <v>100</v>
      </c>
      <c r="V25" s="1725" t="s">
        <v>28</v>
      </c>
      <c r="W25" s="1726">
        <f>J25</f>
        <v>100</v>
      </c>
      <c r="X25" s="1665"/>
      <c r="Y25" s="3855"/>
      <c r="Z25" s="1727" t="str">
        <f>Q25</f>
        <v>楼层-1</v>
      </c>
      <c r="AA25" s="1728">
        <f t="shared" si="3"/>
        <v>1</v>
      </c>
      <c r="AB25" s="1728">
        <f t="shared" si="4"/>
        <v>1</v>
      </c>
      <c r="AC25" s="1728">
        <f t="shared" si="5"/>
        <v>1</v>
      </c>
    </row>
    <row r="26" spans="1:29" ht="15">
      <c r="A26" s="1702"/>
      <c r="B26" s="1695" t="s">
        <v>2271</v>
      </c>
      <c r="C26" s="1752"/>
      <c r="D26" s="1711">
        <v>100</v>
      </c>
      <c r="E26" s="1753"/>
      <c r="F26" s="1754">
        <f>SUMIF(88:88,E26,89:89)-SUMIF(88:88,C26,89:89)+100</f>
        <v>100</v>
      </c>
      <c r="G26" s="1755"/>
      <c r="H26" s="1711">
        <f>SUMIF(88:88,G26,89:89)-SUMIF(88:88,C26,89:89)+100</f>
        <v>100</v>
      </c>
      <c r="I26" s="1753"/>
      <c r="J26" s="1711">
        <f>SUMIF(88:88,I26,89:89)-SUMIF(88:88,C26,89:89)+100</f>
        <v>100</v>
      </c>
      <c r="K26" s="1700"/>
      <c r="L26" s="3001"/>
      <c r="M26" s="2997"/>
      <c r="N26" s="2997"/>
      <c r="O26" s="2997"/>
      <c r="P26" s="4090"/>
      <c r="Q26" s="1615" t="str">
        <f t="shared" si="11"/>
        <v>朝向</v>
      </c>
      <c r="R26" s="1725" t="s">
        <v>28</v>
      </c>
      <c r="S26" s="1726">
        <f>F26</f>
        <v>100</v>
      </c>
      <c r="T26" s="1725" t="s">
        <v>28</v>
      </c>
      <c r="U26" s="1726">
        <f>H26</f>
        <v>100</v>
      </c>
      <c r="V26" s="1725" t="s">
        <v>28</v>
      </c>
      <c r="W26" s="1726">
        <f>J26</f>
        <v>100</v>
      </c>
      <c r="X26" s="1665"/>
      <c r="Y26" s="3855"/>
      <c r="Z26" s="1727" t="str">
        <f>Q26</f>
        <v>朝向</v>
      </c>
      <c r="AA26" s="1728">
        <f t="shared" si="3"/>
        <v>1</v>
      </c>
      <c r="AB26" s="1728">
        <f t="shared" si="4"/>
        <v>1</v>
      </c>
      <c r="AC26" s="1728">
        <f t="shared" si="5"/>
        <v>1</v>
      </c>
    </row>
    <row r="27" spans="1:29" s="1684" customFormat="1" ht="15">
      <c r="A27" s="1705"/>
      <c r="B27" s="1706" t="s">
        <v>2272</v>
      </c>
      <c r="C27" s="1707"/>
      <c r="D27" s="1756">
        <v>100</v>
      </c>
      <c r="E27" s="1757"/>
      <c r="F27" s="1758">
        <f>SUMIF(90:90,E27,91:91)-SUMIF(90:90,C27,91:91)+100</f>
        <v>100</v>
      </c>
      <c r="G27" s="1759"/>
      <c r="H27" s="1756">
        <f>SUMIF(90:90,G27,91:91)-SUMIF(90:90,C27,91:91)+100</f>
        <v>100</v>
      </c>
      <c r="I27" s="1757"/>
      <c r="J27" s="1756">
        <f>SUMIF(90:90,I27,91:91)-SUMIF(90:90,C27,91:91)+100</f>
        <v>100</v>
      </c>
      <c r="K27" s="1709"/>
      <c r="L27" s="2996"/>
      <c r="M27" s="2969"/>
      <c r="N27" s="2969"/>
      <c r="O27" s="2969"/>
      <c r="P27" s="4090"/>
      <c r="Q27" s="1634" t="str">
        <f t="shared" si="11"/>
        <v>道路级别</v>
      </c>
      <c r="R27" s="1680" t="s">
        <v>28</v>
      </c>
      <c r="S27" s="1681">
        <f>F27</f>
        <v>100</v>
      </c>
      <c r="T27" s="1680" t="s">
        <v>28</v>
      </c>
      <c r="U27" s="1681">
        <f>H27</f>
        <v>100</v>
      </c>
      <c r="V27" s="1680" t="s">
        <v>28</v>
      </c>
      <c r="W27" s="1681">
        <f>J27</f>
        <v>100</v>
      </c>
      <c r="X27" s="1682"/>
      <c r="Y27" s="3855"/>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1"/>
      <c r="M28" s="2997"/>
      <c r="N28" s="2997"/>
      <c r="O28" s="2997"/>
      <c r="P28" s="4090"/>
      <c r="Q28" s="1615">
        <f t="shared" si="11"/>
        <v>111</v>
      </c>
      <c r="R28" s="1725" t="s">
        <v>28</v>
      </c>
      <c r="S28" s="1726">
        <f t="shared" ref="S28:S46" si="12">F28</f>
        <v>100</v>
      </c>
      <c r="T28" s="1725" t="s">
        <v>28</v>
      </c>
      <c r="U28" s="1726">
        <f t="shared" ref="U28:U46" si="13">H28</f>
        <v>100</v>
      </c>
      <c r="V28" s="1725" t="s">
        <v>28</v>
      </c>
      <c r="W28" s="1726">
        <f t="shared" ref="W28:W46" si="14">J28</f>
        <v>100</v>
      </c>
      <c r="X28" s="1665"/>
      <c r="Y28" s="3855"/>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1"/>
      <c r="M29" s="2997"/>
      <c r="N29" s="2997"/>
      <c r="O29" s="2997"/>
      <c r="P29" s="4090"/>
      <c r="Q29" s="1615">
        <f t="shared" si="11"/>
        <v>111</v>
      </c>
      <c r="R29" s="1725" t="s">
        <v>28</v>
      </c>
      <c r="S29" s="1726">
        <f t="shared" si="12"/>
        <v>100</v>
      </c>
      <c r="T29" s="1725" t="s">
        <v>28</v>
      </c>
      <c r="U29" s="1726">
        <f t="shared" si="13"/>
        <v>100</v>
      </c>
      <c r="V29" s="1725" t="s">
        <v>28</v>
      </c>
      <c r="W29" s="1726">
        <f t="shared" si="14"/>
        <v>100</v>
      </c>
      <c r="X29" s="1665"/>
      <c r="Y29" s="3855"/>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1"/>
      <c r="M30" s="2997"/>
      <c r="N30" s="2997"/>
      <c r="O30" s="2997"/>
      <c r="P30" s="4090"/>
      <c r="Q30" s="1615">
        <f t="shared" si="11"/>
        <v>111</v>
      </c>
      <c r="R30" s="1725" t="s">
        <v>28</v>
      </c>
      <c r="S30" s="1726">
        <f t="shared" si="12"/>
        <v>100</v>
      </c>
      <c r="T30" s="1725" t="s">
        <v>28</v>
      </c>
      <c r="U30" s="1726">
        <f t="shared" si="13"/>
        <v>100</v>
      </c>
      <c r="V30" s="1725" t="s">
        <v>28</v>
      </c>
      <c r="W30" s="1726">
        <f t="shared" si="14"/>
        <v>100</v>
      </c>
      <c r="X30" s="1665"/>
      <c r="Y30" s="3855"/>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1"/>
      <c r="M31" s="2997"/>
      <c r="N31" s="2997"/>
      <c r="O31" s="2997"/>
      <c r="P31" s="4090"/>
      <c r="Q31" s="1615">
        <f t="shared" si="11"/>
        <v>111</v>
      </c>
      <c r="R31" s="1725" t="s">
        <v>28</v>
      </c>
      <c r="S31" s="1726">
        <f t="shared" si="12"/>
        <v>100</v>
      </c>
      <c r="T31" s="1725" t="s">
        <v>28</v>
      </c>
      <c r="U31" s="1726">
        <f t="shared" si="13"/>
        <v>100</v>
      </c>
      <c r="V31" s="1725" t="s">
        <v>28</v>
      </c>
      <c r="W31" s="1726">
        <f t="shared" si="14"/>
        <v>100</v>
      </c>
      <c r="X31" s="1665"/>
      <c r="Y31" s="3855"/>
      <c r="Z31" s="1727">
        <f t="shared" si="15"/>
        <v>111</v>
      </c>
      <c r="AA31" s="1728">
        <f t="shared" si="3"/>
        <v>1</v>
      </c>
      <c r="AB31" s="1728">
        <f t="shared" si="4"/>
        <v>1</v>
      </c>
      <c r="AC31" s="1728">
        <f t="shared" si="5"/>
        <v>1</v>
      </c>
    </row>
    <row r="32" spans="1:29" ht="15">
      <c r="A32" s="1717" t="s">
        <v>2273</v>
      </c>
      <c r="B32" s="1687" t="s">
        <v>2274</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1"/>
      <c r="M32" s="2997"/>
      <c r="N32" s="2997"/>
      <c r="O32" s="2997"/>
      <c r="P32" s="4091" t="s">
        <v>2275</v>
      </c>
      <c r="Q32" s="1615" t="str">
        <f t="shared" si="11"/>
        <v>建筑类型</v>
      </c>
      <c r="R32" s="1725" t="s">
        <v>28</v>
      </c>
      <c r="S32" s="1726">
        <f t="shared" si="12"/>
        <v>100</v>
      </c>
      <c r="T32" s="1725" t="s">
        <v>28</v>
      </c>
      <c r="U32" s="1726">
        <f t="shared" si="13"/>
        <v>100</v>
      </c>
      <c r="V32" s="1725" t="s">
        <v>28</v>
      </c>
      <c r="W32" s="1726">
        <f t="shared" si="14"/>
        <v>100</v>
      </c>
      <c r="X32" s="1665"/>
      <c r="Y32" s="3843" t="s">
        <v>2275</v>
      </c>
      <c r="Z32" s="1727" t="str">
        <f t="shared" si="15"/>
        <v>建筑类型</v>
      </c>
      <c r="AA32" s="1728">
        <f t="shared" si="3"/>
        <v>1</v>
      </c>
      <c r="AB32" s="1728">
        <f t="shared" si="4"/>
        <v>1</v>
      </c>
      <c r="AC32" s="1728">
        <f t="shared" si="5"/>
        <v>1</v>
      </c>
    </row>
    <row r="33" spans="1:29" s="1771" customFormat="1" ht="15">
      <c r="A33" s="1764"/>
      <c r="B33" s="1695" t="s">
        <v>2276</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0"/>
      <c r="M33" s="2059"/>
      <c r="N33" s="2059"/>
      <c r="O33" s="2059"/>
      <c r="P33" s="4092"/>
      <c r="Q33" s="1766" t="str">
        <f t="shared" si="11"/>
        <v>项目建筑规模</v>
      </c>
      <c r="R33" s="1767" t="s">
        <v>28</v>
      </c>
      <c r="S33" s="1768" t="e">
        <f t="shared" si="12"/>
        <v>#N/A</v>
      </c>
      <c r="T33" s="1767" t="s">
        <v>28</v>
      </c>
      <c r="U33" s="1768" t="e">
        <f t="shared" si="13"/>
        <v>#N/A</v>
      </c>
      <c r="V33" s="1767" t="s">
        <v>28</v>
      </c>
      <c r="W33" s="1768" t="e">
        <f t="shared" si="14"/>
        <v>#N/A</v>
      </c>
      <c r="X33" s="1769"/>
      <c r="Y33" s="3843"/>
      <c r="Z33" s="1770" t="str">
        <f t="shared" si="15"/>
        <v>项目建筑规模</v>
      </c>
      <c r="AA33" s="1728" t="e">
        <f t="shared" si="3"/>
        <v>#N/A</v>
      </c>
      <c r="AB33" s="1728" t="e">
        <f t="shared" si="4"/>
        <v>#N/A</v>
      </c>
      <c r="AC33" s="1728" t="e">
        <f t="shared" si="5"/>
        <v>#N/A</v>
      </c>
    </row>
    <row r="34" spans="1:29" ht="15">
      <c r="A34" s="1772"/>
      <c r="B34" s="1695" t="s">
        <v>2277</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1"/>
      <c r="M34" s="2997"/>
      <c r="N34" s="2997"/>
      <c r="O34" s="2997"/>
      <c r="P34" s="4092"/>
      <c r="Q34" s="1615" t="str">
        <f t="shared" si="11"/>
        <v>建筑结构</v>
      </c>
      <c r="R34" s="1725" t="s">
        <v>28</v>
      </c>
      <c r="S34" s="1726">
        <f t="shared" si="12"/>
        <v>100</v>
      </c>
      <c r="T34" s="1725" t="s">
        <v>28</v>
      </c>
      <c r="U34" s="1726">
        <f t="shared" si="13"/>
        <v>100</v>
      </c>
      <c r="V34" s="1725" t="s">
        <v>28</v>
      </c>
      <c r="W34" s="1726">
        <f t="shared" si="14"/>
        <v>100</v>
      </c>
      <c r="X34" s="1665"/>
      <c r="Y34" s="3843"/>
      <c r="Z34" s="1727" t="str">
        <f t="shared" si="15"/>
        <v>建筑结构</v>
      </c>
      <c r="AA34" s="1728">
        <f t="shared" si="3"/>
        <v>1</v>
      </c>
      <c r="AB34" s="1728">
        <f t="shared" si="4"/>
        <v>1</v>
      </c>
      <c r="AC34" s="1728">
        <f t="shared" si="5"/>
        <v>1</v>
      </c>
    </row>
    <row r="35" spans="1:29" ht="15">
      <c r="A35" s="1772"/>
      <c r="B35" s="1695" t="s">
        <v>2278</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1"/>
      <c r="M35" s="2997"/>
      <c r="N35" s="2997"/>
      <c r="O35" s="2997"/>
      <c r="P35" s="4092"/>
      <c r="Q35" s="1615" t="str">
        <f t="shared" si="11"/>
        <v>建筑品质</v>
      </c>
      <c r="R35" s="1725" t="s">
        <v>28</v>
      </c>
      <c r="S35" s="1726">
        <f t="shared" si="12"/>
        <v>100</v>
      </c>
      <c r="T35" s="1725" t="s">
        <v>28</v>
      </c>
      <c r="U35" s="1726">
        <f t="shared" si="13"/>
        <v>100</v>
      </c>
      <c r="V35" s="1725" t="s">
        <v>28</v>
      </c>
      <c r="W35" s="1726">
        <f t="shared" si="14"/>
        <v>100</v>
      </c>
      <c r="X35" s="1665"/>
      <c r="Y35" s="3843"/>
      <c r="Z35" s="1727" t="str">
        <f t="shared" si="15"/>
        <v>建筑品质</v>
      </c>
      <c r="AA35" s="1728">
        <f t="shared" si="3"/>
        <v>1</v>
      </c>
      <c r="AB35" s="1728">
        <f t="shared" si="4"/>
        <v>1</v>
      </c>
      <c r="AC35" s="1728">
        <f t="shared" si="5"/>
        <v>1</v>
      </c>
    </row>
    <row r="36" spans="1:29" ht="15">
      <c r="A36" s="1772"/>
      <c r="B36" s="1695" t="s">
        <v>2279</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1"/>
      <c r="M36" s="2997"/>
      <c r="N36" s="2997"/>
      <c r="O36" s="2997"/>
      <c r="P36" s="4092"/>
      <c r="Q36" s="1615" t="str">
        <f t="shared" si="11"/>
        <v>公共部分装修</v>
      </c>
      <c r="R36" s="1725" t="s">
        <v>28</v>
      </c>
      <c r="S36" s="1726">
        <f t="shared" si="12"/>
        <v>100</v>
      </c>
      <c r="T36" s="1725" t="s">
        <v>28</v>
      </c>
      <c r="U36" s="1726">
        <f t="shared" si="13"/>
        <v>100</v>
      </c>
      <c r="V36" s="1725" t="s">
        <v>28</v>
      </c>
      <c r="W36" s="1726">
        <f t="shared" si="14"/>
        <v>100</v>
      </c>
      <c r="X36" s="1665"/>
      <c r="Y36" s="3843"/>
      <c r="Z36" s="1727" t="str">
        <f t="shared" si="15"/>
        <v>公共部分装修</v>
      </c>
      <c r="AA36" s="1728">
        <f t="shared" si="3"/>
        <v>1</v>
      </c>
      <c r="AB36" s="1728">
        <f t="shared" si="4"/>
        <v>1</v>
      </c>
      <c r="AC36" s="1728">
        <f t="shared" si="5"/>
        <v>1</v>
      </c>
    </row>
    <row r="37" spans="1:29" s="1684" customFormat="1" ht="15">
      <c r="A37" s="1775"/>
      <c r="B37" s="1695" t="s">
        <v>2280</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6"/>
      <c r="M37" s="2969"/>
      <c r="N37" s="2969"/>
      <c r="O37" s="2969"/>
      <c r="P37" s="4092"/>
      <c r="Q37" s="1634" t="str">
        <f t="shared" si="11"/>
        <v>成新度</v>
      </c>
      <c r="R37" s="1680" t="s">
        <v>28</v>
      </c>
      <c r="S37" s="1681" t="e">
        <f t="shared" si="12"/>
        <v>#N/A</v>
      </c>
      <c r="T37" s="1680" t="s">
        <v>28</v>
      </c>
      <c r="U37" s="1681" t="e">
        <f t="shared" si="13"/>
        <v>#N/A</v>
      </c>
      <c r="V37" s="1680" t="s">
        <v>28</v>
      </c>
      <c r="W37" s="1681" t="e">
        <f t="shared" si="14"/>
        <v>#N/A</v>
      </c>
      <c r="X37" s="1682"/>
      <c r="Y37" s="3843"/>
      <c r="Z37" s="1693" t="str">
        <f t="shared" si="15"/>
        <v>成新度</v>
      </c>
      <c r="AA37" s="1683" t="e">
        <f t="shared" si="3"/>
        <v>#N/A</v>
      </c>
      <c r="AB37" s="1683" t="e">
        <f t="shared" si="4"/>
        <v>#N/A</v>
      </c>
      <c r="AC37" s="1683" t="e">
        <f t="shared" si="5"/>
        <v>#N/A</v>
      </c>
    </row>
    <row r="38" spans="1:29" ht="15">
      <c r="A38" s="1772"/>
      <c r="B38" s="1695" t="s">
        <v>2281</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1"/>
      <c r="M38" s="2997"/>
      <c r="N38" s="2997"/>
      <c r="O38" s="2997"/>
      <c r="P38" s="4092" t="s">
        <v>2275</v>
      </c>
      <c r="Q38" s="1615" t="str">
        <f t="shared" si="11"/>
        <v>物业管理</v>
      </c>
      <c r="R38" s="1725" t="s">
        <v>28</v>
      </c>
      <c r="S38" s="1726">
        <f t="shared" si="12"/>
        <v>100</v>
      </c>
      <c r="T38" s="1725" t="s">
        <v>28</v>
      </c>
      <c r="U38" s="1726">
        <f t="shared" si="13"/>
        <v>100</v>
      </c>
      <c r="V38" s="1725" t="s">
        <v>28</v>
      </c>
      <c r="W38" s="1726">
        <f t="shared" si="14"/>
        <v>100</v>
      </c>
      <c r="X38" s="1665"/>
      <c r="Y38" s="3843" t="s">
        <v>2275</v>
      </c>
      <c r="Z38" s="1727" t="str">
        <f t="shared" si="15"/>
        <v>物业管理</v>
      </c>
      <c r="AA38" s="1728">
        <f t="shared" si="3"/>
        <v>1</v>
      </c>
      <c r="AB38" s="1728">
        <f t="shared" si="4"/>
        <v>1</v>
      </c>
      <c r="AC38" s="1728">
        <f t="shared" si="5"/>
        <v>1</v>
      </c>
    </row>
    <row r="39" spans="1:29" ht="15">
      <c r="A39" s="1772"/>
      <c r="B39" s="1695" t="s">
        <v>2282</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1"/>
      <c r="M39" s="2997"/>
      <c r="N39" s="2997"/>
      <c r="O39" s="2997"/>
      <c r="P39" s="4092"/>
      <c r="Q39" s="1615" t="str">
        <f t="shared" si="11"/>
        <v>市政基础设施</v>
      </c>
      <c r="R39" s="1725" t="s">
        <v>28</v>
      </c>
      <c r="S39" s="1726">
        <f t="shared" si="12"/>
        <v>100</v>
      </c>
      <c r="T39" s="1725" t="s">
        <v>28</v>
      </c>
      <c r="U39" s="1726">
        <f t="shared" si="13"/>
        <v>100</v>
      </c>
      <c r="V39" s="1725" t="s">
        <v>28</v>
      </c>
      <c r="W39" s="1726">
        <f t="shared" si="14"/>
        <v>100</v>
      </c>
      <c r="X39" s="1665"/>
      <c r="Y39" s="3843"/>
      <c r="Z39" s="1727" t="str">
        <f t="shared" si="15"/>
        <v>市政基础设施</v>
      </c>
      <c r="AA39" s="1728">
        <f t="shared" si="3"/>
        <v>1</v>
      </c>
      <c r="AB39" s="1728">
        <f t="shared" si="4"/>
        <v>1</v>
      </c>
      <c r="AC39" s="1728">
        <f t="shared" si="5"/>
        <v>1</v>
      </c>
    </row>
    <row r="40" spans="1:29" ht="15">
      <c r="A40" s="1772"/>
      <c r="B40" s="1695" t="s">
        <v>2283</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1"/>
      <c r="M40" s="2997"/>
      <c r="N40" s="2997"/>
      <c r="O40" s="2997"/>
      <c r="P40" s="4092"/>
      <c r="Q40" s="1615" t="str">
        <f t="shared" si="11"/>
        <v>房型</v>
      </c>
      <c r="R40" s="1725" t="s">
        <v>28</v>
      </c>
      <c r="S40" s="1726">
        <f t="shared" si="12"/>
        <v>100</v>
      </c>
      <c r="T40" s="1725" t="s">
        <v>28</v>
      </c>
      <c r="U40" s="1726">
        <f t="shared" si="13"/>
        <v>100</v>
      </c>
      <c r="V40" s="1725" t="s">
        <v>28</v>
      </c>
      <c r="W40" s="1726">
        <f t="shared" si="14"/>
        <v>100</v>
      </c>
      <c r="X40" s="1665"/>
      <c r="Y40" s="3843"/>
      <c r="Z40" s="1727" t="str">
        <f t="shared" si="15"/>
        <v>房型</v>
      </c>
      <c r="AA40" s="1728">
        <f t="shared" si="3"/>
        <v>1</v>
      </c>
      <c r="AB40" s="1728">
        <f t="shared" si="4"/>
        <v>1</v>
      </c>
      <c r="AC40" s="1728">
        <f t="shared" si="5"/>
        <v>1</v>
      </c>
    </row>
    <row r="41" spans="1:29" s="1771" customFormat="1" ht="28.5">
      <c r="A41" s="1764"/>
      <c r="B41" s="1695" t="s">
        <v>2284</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0"/>
      <c r="M41" s="2059"/>
      <c r="N41" s="2059"/>
      <c r="O41" s="2059"/>
      <c r="P41" s="4092"/>
      <c r="Q41" s="1766" t="str">
        <f t="shared" si="11"/>
        <v>单套/主力户型建筑面积</v>
      </c>
      <c r="R41" s="1767" t="s">
        <v>28</v>
      </c>
      <c r="S41" s="1768">
        <f t="shared" si="12"/>
        <v>100</v>
      </c>
      <c r="T41" s="1767" t="s">
        <v>28</v>
      </c>
      <c r="U41" s="1768">
        <f t="shared" si="13"/>
        <v>100</v>
      </c>
      <c r="V41" s="1767" t="s">
        <v>28</v>
      </c>
      <c r="W41" s="1768">
        <f t="shared" si="14"/>
        <v>100</v>
      </c>
      <c r="X41" s="1769"/>
      <c r="Y41" s="3843"/>
      <c r="Z41" s="1770" t="str">
        <f t="shared" si="15"/>
        <v>单套/主力户型建筑面积</v>
      </c>
      <c r="AA41" s="1728">
        <f t="shared" si="3"/>
        <v>1</v>
      </c>
      <c r="AB41" s="1728">
        <f t="shared" si="4"/>
        <v>1</v>
      </c>
      <c r="AC41" s="1728">
        <f t="shared" si="5"/>
        <v>1</v>
      </c>
    </row>
    <row r="42" spans="1:29" ht="15">
      <c r="A42" s="1772"/>
      <c r="B42" s="1695" t="s">
        <v>2285</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1"/>
      <c r="M42" s="2997"/>
      <c r="N42" s="2997"/>
      <c r="O42" s="2997"/>
      <c r="P42" s="4092"/>
      <c r="Q42" s="1615" t="str">
        <f t="shared" si="11"/>
        <v>内部装修</v>
      </c>
      <c r="R42" s="1725" t="s">
        <v>28</v>
      </c>
      <c r="S42" s="1726">
        <f t="shared" si="12"/>
        <v>100</v>
      </c>
      <c r="T42" s="1725" t="s">
        <v>28</v>
      </c>
      <c r="U42" s="1726">
        <f t="shared" si="13"/>
        <v>100</v>
      </c>
      <c r="V42" s="1725" t="s">
        <v>28</v>
      </c>
      <c r="W42" s="1726">
        <f t="shared" si="14"/>
        <v>100</v>
      </c>
      <c r="X42" s="1665"/>
      <c r="Y42" s="3843"/>
      <c r="Z42" s="1727" t="str">
        <f t="shared" si="15"/>
        <v>内部装修</v>
      </c>
      <c r="AA42" s="1728">
        <f t="shared" si="3"/>
        <v>1</v>
      </c>
      <c r="AB42" s="1728">
        <f t="shared" si="4"/>
        <v>1</v>
      </c>
      <c r="AC42" s="1728">
        <f t="shared" si="5"/>
        <v>1</v>
      </c>
    </row>
    <row r="43" spans="1:29" ht="15">
      <c r="A43" s="1772"/>
      <c r="B43" s="1695" t="s">
        <v>2286</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1"/>
      <c r="M43" s="2997"/>
      <c r="N43" s="2997"/>
      <c r="O43" s="2997"/>
      <c r="P43" s="4092"/>
      <c r="Q43" s="1615" t="str">
        <f t="shared" si="11"/>
        <v>内部装修维护情况</v>
      </c>
      <c r="R43" s="1725" t="s">
        <v>28</v>
      </c>
      <c r="S43" s="1726">
        <f t="shared" si="12"/>
        <v>100</v>
      </c>
      <c r="T43" s="1725" t="s">
        <v>28</v>
      </c>
      <c r="U43" s="1726">
        <f t="shared" si="13"/>
        <v>100</v>
      </c>
      <c r="V43" s="1725" t="s">
        <v>28</v>
      </c>
      <c r="W43" s="1726">
        <f t="shared" si="14"/>
        <v>100</v>
      </c>
      <c r="X43" s="1665"/>
      <c r="Y43" s="3843"/>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6"/>
      <c r="M44" s="2969"/>
      <c r="N44" s="2969"/>
      <c r="O44" s="2969"/>
      <c r="P44" s="4092"/>
      <c r="Q44" s="1634">
        <f t="shared" si="11"/>
        <v>111</v>
      </c>
      <c r="R44" s="1680" t="s">
        <v>28</v>
      </c>
      <c r="S44" s="1681">
        <f t="shared" si="12"/>
        <v>100</v>
      </c>
      <c r="T44" s="1680" t="s">
        <v>28</v>
      </c>
      <c r="U44" s="1681">
        <f t="shared" si="13"/>
        <v>100</v>
      </c>
      <c r="V44" s="1680" t="s">
        <v>28</v>
      </c>
      <c r="W44" s="1681">
        <f t="shared" si="14"/>
        <v>100</v>
      </c>
      <c r="X44" s="1682"/>
      <c r="Y44" s="3843"/>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1"/>
      <c r="M45" s="2997"/>
      <c r="N45" s="2997"/>
      <c r="O45" s="2997"/>
      <c r="P45" s="4092"/>
      <c r="Q45" s="1615">
        <f t="shared" si="11"/>
        <v>111</v>
      </c>
      <c r="R45" s="1725" t="s">
        <v>28</v>
      </c>
      <c r="S45" s="1726">
        <f t="shared" si="12"/>
        <v>100</v>
      </c>
      <c r="T45" s="1725" t="s">
        <v>28</v>
      </c>
      <c r="U45" s="1726">
        <f t="shared" si="13"/>
        <v>100</v>
      </c>
      <c r="V45" s="1725" t="s">
        <v>28</v>
      </c>
      <c r="W45" s="1726">
        <f t="shared" si="14"/>
        <v>100</v>
      </c>
      <c r="X45" s="1665"/>
      <c r="Y45" s="3843"/>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1"/>
      <c r="M46" s="2997"/>
      <c r="N46" s="2997"/>
      <c r="O46" s="2997"/>
      <c r="P46" s="4093"/>
      <c r="Q46" s="1615">
        <f t="shared" si="11"/>
        <v>111</v>
      </c>
      <c r="R46" s="1725" t="s">
        <v>27</v>
      </c>
      <c r="S46" s="1726">
        <f t="shared" si="12"/>
        <v>100</v>
      </c>
      <c r="T46" s="1725" t="s">
        <v>27</v>
      </c>
      <c r="U46" s="1726">
        <f t="shared" si="13"/>
        <v>100</v>
      </c>
      <c r="V46" s="1725" t="s">
        <v>27</v>
      </c>
      <c r="W46" s="1726">
        <f t="shared" si="14"/>
        <v>100</v>
      </c>
      <c r="X46" s="1665"/>
      <c r="Y46" s="3844"/>
      <c r="Z46" s="1727">
        <f t="shared" si="15"/>
        <v>111</v>
      </c>
      <c r="AA46" s="1728">
        <f t="shared" si="3"/>
        <v>1</v>
      </c>
      <c r="AB46" s="1728">
        <f t="shared" si="4"/>
        <v>1</v>
      </c>
      <c r="AC46" s="1728">
        <f t="shared" si="5"/>
        <v>1</v>
      </c>
    </row>
    <row r="47" spans="1:29" ht="15">
      <c r="A47" s="1781" t="s">
        <v>2287</v>
      </c>
      <c r="B47" s="1782"/>
      <c r="C47" s="1783" t="s">
        <v>26</v>
      </c>
      <c r="D47" s="1784"/>
      <c r="E47" s="1785"/>
      <c r="F47" s="1786"/>
      <c r="G47" s="1787"/>
      <c r="H47" s="1788"/>
      <c r="I47" s="1785"/>
      <c r="J47" s="1788"/>
      <c r="K47" s="1789"/>
      <c r="L47" s="3002"/>
      <c r="N47" s="2997"/>
      <c r="P47" s="3837" t="str">
        <f>A47</f>
        <v>成交单价（元/平方米）</v>
      </c>
      <c r="Q47" s="3837"/>
      <c r="R47" s="3838">
        <f>E47</f>
        <v>0</v>
      </c>
      <c r="S47" s="3838"/>
      <c r="T47" s="3838">
        <f>G47</f>
        <v>0</v>
      </c>
      <c r="U47" s="3838"/>
      <c r="V47" s="3838">
        <f>I47</f>
        <v>0</v>
      </c>
      <c r="W47" s="3838"/>
      <c r="X47" s="1791"/>
      <c r="Y47" s="1792"/>
      <c r="Z47" s="1791"/>
      <c r="AA47" s="1791"/>
      <c r="AB47" s="1791"/>
      <c r="AC47" s="1791"/>
    </row>
    <row r="48" spans="1:29" ht="15.75" thickBot="1">
      <c r="A48" s="1793" t="s">
        <v>2288</v>
      </c>
      <c r="B48" s="1794"/>
      <c r="C48" s="1795" t="e">
        <f>R49</f>
        <v>#DIV/0!</v>
      </c>
      <c r="D48" s="1796" t="s">
        <v>2741</v>
      </c>
      <c r="E48" s="1797" t="e">
        <f>R48</f>
        <v>#DIV/0!</v>
      </c>
      <c r="F48" s="1798"/>
      <c r="G48" s="1795" t="e">
        <f>T48</f>
        <v>#DIV/0!</v>
      </c>
      <c r="H48" s="1798"/>
      <c r="I48" s="1797" t="e">
        <f>V48</f>
        <v>#DIV/0!</v>
      </c>
      <c r="J48" s="1798"/>
      <c r="K48" s="2511">
        <f>F48+H48+J48</f>
        <v>0</v>
      </c>
      <c r="L48" s="3002"/>
      <c r="P48" s="3837" t="str">
        <f>A48</f>
        <v>比较价值（元/平方米）</v>
      </c>
      <c r="Q48" s="3837"/>
      <c r="R48" s="3838" t="e">
        <f>IF(E1="售价",ROUND(PRODUCT(R47,AA7:AA46),0),ROUND(PRODUCT(R47,AA7:AA46),1))</f>
        <v>#DIV/0!</v>
      </c>
      <c r="S48" s="3838"/>
      <c r="T48" s="4087" t="e">
        <f>IF(E1="售价",ROUND(PRODUCT(T47,AB7:AB46),0),ROUND(PRODUCT(T47,AB7:AB46),1))</f>
        <v>#DIV/0!</v>
      </c>
      <c r="U48" s="4088"/>
      <c r="V48" s="3838" t="e">
        <f>IF(E1="售价",ROUND(PRODUCT(V47,AC7:AC46),0),ROUND(PRODUCT(V47,AC7:AC46),1))</f>
        <v>#DIV/0!</v>
      </c>
      <c r="W48" s="3838"/>
      <c r="X48" s="1791"/>
      <c r="Y48" s="1791"/>
      <c r="Z48" s="1791"/>
      <c r="AA48" s="1791"/>
      <c r="AB48" s="1791"/>
      <c r="AC48" s="1791"/>
    </row>
    <row r="49" spans="1:29" ht="15.75" thickBot="1">
      <c r="A49" s="1799" t="s">
        <v>2289</v>
      </c>
      <c r="B49" s="1800"/>
      <c r="C49" s="1801" t="e">
        <f>R49</f>
        <v>#DIV/0!</v>
      </c>
      <c r="D49" s="1802"/>
      <c r="E49" s="1802"/>
      <c r="F49" s="1802"/>
      <c r="G49" s="1802"/>
      <c r="H49" s="1802"/>
      <c r="I49" s="1802"/>
      <c r="J49" s="1802"/>
      <c r="K49" s="1803"/>
      <c r="L49" s="3002"/>
      <c r="P49" s="3839" t="str">
        <f>A49</f>
        <v>估价对象XX用房的比较价值（楼面单价，元/平方米）</v>
      </c>
      <c r="Q49" s="3840"/>
      <c r="R49" s="3841" t="e">
        <f>IF(E1="售价",ROUND(IF(D48="简单平均",AVERAGE(R48:V48),R48*F48+T48*H48+V48*J48),0),ROUND(IF(D48="简单平均",AVERAGE(R48:V48),R48*F48+T48*H48+V48*J48),1))</f>
        <v>#DIV/0!</v>
      </c>
      <c r="S49" s="3841"/>
      <c r="T49" s="3841"/>
      <c r="U49" s="3841"/>
      <c r="V49" s="3841"/>
      <c r="W49" s="3841"/>
      <c r="X49" s="1791"/>
      <c r="Y49" s="1791"/>
      <c r="Z49" s="1791"/>
      <c r="AA49" s="1791"/>
      <c r="AB49" s="1791"/>
      <c r="AC49" s="1791"/>
    </row>
    <row r="50" spans="1:29">
      <c r="G50" s="3006"/>
    </row>
    <row r="52" spans="1:29" ht="13.5" customHeight="1">
      <c r="C52" s="383" t="s">
        <v>2290</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2291</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2292</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1812"/>
    </row>
    <row r="55" spans="1:29" s="1813" customFormat="1">
      <c r="B55" s="3007"/>
      <c r="C55" s="3008"/>
      <c r="K55" s="3009"/>
      <c r="L55" s="3003"/>
      <c r="P55" s="1812"/>
    </row>
    <row r="56" spans="1:29">
      <c r="B56" s="3007"/>
      <c r="C56" s="3008"/>
    </row>
    <row r="57" spans="1:29" ht="21.75" thickBot="1">
      <c r="A57" s="1816" t="s">
        <v>2293</v>
      </c>
      <c r="B57" s="1791"/>
      <c r="C57" s="1817"/>
      <c r="D57" s="1817"/>
      <c r="E57" s="1817"/>
      <c r="F57" s="1817"/>
      <c r="G57" s="1817"/>
      <c r="H57" s="1817"/>
      <c r="I57" s="1817"/>
      <c r="J57" s="1817"/>
      <c r="K57" s="1818"/>
      <c r="L57" s="3004"/>
      <c r="M57" s="3005"/>
      <c r="N57" s="3005"/>
      <c r="O57" s="3005"/>
      <c r="P57" s="1820"/>
      <c r="Q57" s="1821"/>
    </row>
    <row r="58" spans="1:29" s="1827" customFormat="1" ht="15">
      <c r="A58" s="1822" t="s">
        <v>2294</v>
      </c>
      <c r="B58" s="1823"/>
      <c r="C58" s="1824" t="str">
        <f>YEAR(C7)&amp;"-"&amp;MONTH(C7)</f>
        <v>2016-7</v>
      </c>
      <c r="D58" s="1825">
        <f>EDATE(C58,-1)</f>
        <v>42522</v>
      </c>
      <c r="E58" s="1825">
        <f t="shared" ref="E58:O58" si="16">EDATE(D58,-1)</f>
        <v>42491</v>
      </c>
      <c r="F58" s="1825">
        <f t="shared" si="16"/>
        <v>42461</v>
      </c>
      <c r="G58" s="1825">
        <f t="shared" si="16"/>
        <v>42430</v>
      </c>
      <c r="H58" s="1825">
        <f t="shared" si="16"/>
        <v>42401</v>
      </c>
      <c r="I58" s="1825">
        <f t="shared" si="16"/>
        <v>42370</v>
      </c>
      <c r="J58" s="1825">
        <f t="shared" si="16"/>
        <v>42339</v>
      </c>
      <c r="K58" s="1825">
        <f t="shared" si="16"/>
        <v>42309</v>
      </c>
      <c r="L58" s="1825">
        <f t="shared" si="16"/>
        <v>42278</v>
      </c>
      <c r="M58" s="1825">
        <f t="shared" si="16"/>
        <v>42248</v>
      </c>
      <c r="N58" s="1825">
        <f t="shared" si="16"/>
        <v>42217</v>
      </c>
      <c r="O58" s="1825">
        <f t="shared" si="16"/>
        <v>42186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4" customFormat="1" ht="15">
      <c r="A61" s="1839" t="s">
        <v>2296</v>
      </c>
      <c r="B61" s="1829"/>
      <c r="C61" s="1840" t="s">
        <v>2297</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2298</v>
      </c>
      <c r="B63" s="1847" t="s">
        <v>2263</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2266</v>
      </c>
      <c r="C65" s="1859" t="s">
        <v>2299</v>
      </c>
      <c r="D65" s="1859" t="s">
        <v>2300</v>
      </c>
      <c r="E65" s="1859" t="s">
        <v>2301</v>
      </c>
      <c r="F65" s="1859" t="s">
        <v>2302</v>
      </c>
      <c r="G65" s="1859" t="s">
        <v>2303</v>
      </c>
      <c r="H65" s="1859" t="s">
        <v>2304</v>
      </c>
      <c r="I65" s="1859" t="s">
        <v>2305</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2267</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2268</v>
      </c>
      <c r="B76" s="1847" t="s">
        <v>2306</v>
      </c>
      <c r="C76" s="1885" t="s">
        <v>2307</v>
      </c>
      <c r="D76" s="1885" t="s">
        <v>2308</v>
      </c>
      <c r="E76" s="1885" t="s">
        <v>2309</v>
      </c>
      <c r="F76" s="1885" t="s">
        <v>2310</v>
      </c>
      <c r="G76" s="1885" t="s">
        <v>2311</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1705</v>
      </c>
      <c r="C82" s="1859" t="s">
        <v>2314</v>
      </c>
      <c r="D82" s="1859" t="s">
        <v>2315</v>
      </c>
      <c r="E82" s="1859" t="s">
        <v>2316</v>
      </c>
      <c r="F82" s="1859" t="s">
        <v>2317</v>
      </c>
      <c r="G82" s="1859" t="s">
        <v>2318</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2320</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2321</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2273</v>
      </c>
      <c r="B100" s="1847" t="s">
        <v>2322</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2324</v>
      </c>
      <c r="C105" s="468"/>
      <c r="D105" s="468"/>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2325</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2326</v>
      </c>
      <c r="C109" s="468"/>
      <c r="D109" s="468"/>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2328</v>
      </c>
      <c r="C114" s="468"/>
      <c r="D114" s="468"/>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2329</v>
      </c>
      <c r="C116" s="468"/>
      <c r="D116" s="468"/>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2330</v>
      </c>
      <c r="C118" s="1578"/>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2284</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2331</v>
      </c>
      <c r="C122" s="468"/>
      <c r="D122" s="468"/>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8"/>
      <c r="H128" s="1578"/>
      <c r="I128" s="1578"/>
      <c r="J128" s="1578"/>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2333</v>
      </c>
    </row>
    <row r="137" spans="1:17" ht="15">
      <c r="B137" s="1911" t="s">
        <v>2334</v>
      </c>
      <c r="C137" s="1912"/>
      <c r="D137" s="1912"/>
      <c r="E137" s="1912"/>
      <c r="F137" s="1912"/>
      <c r="G137" s="1913"/>
      <c r="H137" s="1914"/>
      <c r="I137" s="1915" t="s">
        <v>2335</v>
      </c>
      <c r="J137" s="1912"/>
      <c r="K137" s="1916"/>
    </row>
    <row r="138" spans="1:17" ht="15">
      <c r="B138" s="1917"/>
      <c r="C138" s="1918" t="s">
        <v>2336</v>
      </c>
      <c r="D138" s="1918" t="s">
        <v>2337</v>
      </c>
      <c r="E138" s="1919" t="s">
        <v>2338</v>
      </c>
      <c r="F138" s="1920" t="s">
        <v>2339</v>
      </c>
      <c r="G138" s="1918" t="s">
        <v>2337</v>
      </c>
      <c r="H138" s="1921" t="s">
        <v>2338</v>
      </c>
      <c r="I138" s="1922"/>
      <c r="J138" s="1918" t="s">
        <v>2340</v>
      </c>
      <c r="K138" s="1921" t="s">
        <v>2341</v>
      </c>
    </row>
    <row r="139" spans="1:17" ht="15">
      <c r="B139" s="1923">
        <v>6</v>
      </c>
      <c r="C139" s="1924">
        <v>96</v>
      </c>
      <c r="D139" s="1925" t="s">
        <v>2342</v>
      </c>
      <c r="E139" s="1926">
        <v>100</v>
      </c>
      <c r="F139" s="1927">
        <v>102.5</v>
      </c>
      <c r="G139" s="1925" t="s">
        <v>2342</v>
      </c>
      <c r="H139" s="1928">
        <v>105</v>
      </c>
      <c r="I139" s="1929" t="s">
        <v>2343</v>
      </c>
      <c r="J139" s="1924">
        <v>20</v>
      </c>
      <c r="K139" s="1930">
        <f>C145/(J139-2)</f>
        <v>4.0555555555555553E-3</v>
      </c>
    </row>
    <row r="140" spans="1:17" ht="15">
      <c r="B140" s="1931">
        <v>5</v>
      </c>
      <c r="C140" s="1932">
        <v>100</v>
      </c>
      <c r="D140" s="1932"/>
      <c r="E140" s="1933"/>
      <c r="F140" s="1934">
        <v>102</v>
      </c>
      <c r="G140" s="1932"/>
      <c r="H140" s="1935"/>
      <c r="I140" s="1936" t="s">
        <v>2344</v>
      </c>
      <c r="J140" s="1937">
        <f>ROUNDUP((J139-1)/2,0)</f>
        <v>10</v>
      </c>
      <c r="K140" s="1938">
        <v>100</v>
      </c>
    </row>
    <row r="141" spans="1:17" ht="15">
      <c r="B141" s="1931">
        <v>4</v>
      </c>
      <c r="C141" s="1932">
        <v>102</v>
      </c>
      <c r="D141" s="1932"/>
      <c r="E141" s="1933"/>
      <c r="F141" s="1934">
        <v>101.5</v>
      </c>
      <c r="G141" s="1932"/>
      <c r="H141" s="1935"/>
      <c r="I141" s="1936" t="s">
        <v>2345</v>
      </c>
      <c r="J141" s="1937">
        <v>1</v>
      </c>
      <c r="K141" s="1939">
        <f>ROUND(100+(J141-J140)*K139*100,1)</f>
        <v>96.4</v>
      </c>
    </row>
    <row r="142" spans="1:17" ht="15">
      <c r="B142" s="1931">
        <v>3</v>
      </c>
      <c r="C142" s="1932">
        <v>103</v>
      </c>
      <c r="D142" s="1932"/>
      <c r="E142" s="1933"/>
      <c r="F142" s="1934">
        <v>101</v>
      </c>
      <c r="G142" s="1932"/>
      <c r="H142" s="1935"/>
      <c r="I142" s="1936" t="s">
        <v>2346</v>
      </c>
      <c r="J142" s="1937">
        <f>J139</f>
        <v>20</v>
      </c>
      <c r="K142" s="1940">
        <v>95</v>
      </c>
    </row>
    <row r="143" spans="1:17" ht="15">
      <c r="B143" s="1931">
        <v>2</v>
      </c>
      <c r="C143" s="1932">
        <v>100</v>
      </c>
      <c r="D143" s="1932"/>
      <c r="E143" s="1933"/>
      <c r="F143" s="1934">
        <v>100.5</v>
      </c>
      <c r="G143" s="1932"/>
      <c r="H143" s="1935"/>
      <c r="I143" s="1936" t="s">
        <v>2347</v>
      </c>
      <c r="J143" s="1932">
        <v>15</v>
      </c>
      <c r="K143" s="1939">
        <f>ROUND(100+(J143-J140)*K139*100,1)</f>
        <v>102</v>
      </c>
    </row>
    <row r="144" spans="1:17" ht="15">
      <c r="B144" s="1931">
        <v>1</v>
      </c>
      <c r="C144" s="1932">
        <v>98</v>
      </c>
      <c r="D144" s="1420" t="s">
        <v>2348</v>
      </c>
      <c r="E144" s="1933">
        <v>102</v>
      </c>
      <c r="F144" s="1941">
        <v>100</v>
      </c>
      <c r="G144" s="1420" t="s">
        <v>2348</v>
      </c>
      <c r="H144" s="1935">
        <v>105</v>
      </c>
      <c r="I144" s="1936" t="s">
        <v>2347</v>
      </c>
      <c r="J144" s="1932">
        <v>18</v>
      </c>
      <c r="K144" s="1939">
        <f>ROUND(100+(J144-J140)*K139*100,1)</f>
        <v>103.2</v>
      </c>
    </row>
    <row r="145" spans="2:11" ht="15.75" thickBot="1">
      <c r="B145" s="1942" t="s">
        <v>2349</v>
      </c>
      <c r="C145" s="1943">
        <f>ROUND(MAX(C139:C144)/MIN(C139:C144)-1,3)</f>
        <v>7.2999999999999995E-2</v>
      </c>
      <c r="D145" s="1944"/>
      <c r="E145" s="1944"/>
      <c r="F145" s="1574" t="s">
        <v>2350</v>
      </c>
      <c r="G145" s="1945"/>
      <c r="H145" s="1946"/>
      <c r="I145" s="1947" t="s">
        <v>2347</v>
      </c>
      <c r="J145" s="1948">
        <v>8</v>
      </c>
      <c r="K145" s="1949">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2"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2353</v>
      </c>
      <c r="C1" s="1638"/>
      <c r="D1" s="2469"/>
      <c r="E1" s="1640"/>
      <c r="F1" s="1641" t="s">
        <v>2242</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1912</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11"/>
      <c r="I2" s="3011"/>
      <c r="J2" s="3011"/>
      <c r="K2" s="3011"/>
      <c r="L2" s="3013"/>
      <c r="M2" s="3011"/>
      <c r="N2" s="3011"/>
      <c r="O2" s="3011"/>
      <c r="P2" s="2471"/>
      <c r="Q2" s="1956"/>
      <c r="R2" s="1956"/>
      <c r="S2" s="1956"/>
      <c r="T2" s="1956"/>
      <c r="U2" s="1956"/>
      <c r="V2" s="1956"/>
      <c r="W2" s="1956"/>
      <c r="X2" s="1956"/>
      <c r="Y2" s="1956"/>
      <c r="Z2" s="1956"/>
      <c r="AA2" s="1956"/>
      <c r="AB2" s="1956"/>
      <c r="AC2" s="1957"/>
    </row>
    <row r="3" spans="1:29" s="1959" customFormat="1" ht="28.5" customHeight="1" thickBot="1">
      <c r="A3" s="1658" t="s">
        <v>1913</v>
      </c>
      <c r="B3" s="1962" t="e">
        <f ca="1">ROUND(IF(D2="——",C49,IF(C2="万元",B2*10000/D3,B2/D3)),0)</f>
        <v>#DIV/0!</v>
      </c>
      <c r="C3" s="1659" t="s">
        <v>2243</v>
      </c>
      <c r="D3" s="1659">
        <f>IF(C1="仅计算典型户型",'数据-取费表'!E5,'数据-取费表'!B5)</f>
        <v>459.68</v>
      </c>
      <c r="F3" s="3010"/>
      <c r="G3" s="3011"/>
      <c r="H3" s="3011"/>
      <c r="I3" s="3011"/>
      <c r="J3" s="3011"/>
      <c r="K3" s="3012"/>
      <c r="L3" s="3013"/>
      <c r="M3" s="3011"/>
      <c r="N3" s="3011"/>
      <c r="O3" s="3011"/>
      <c r="P3" s="2471"/>
      <c r="Q3" s="1956"/>
      <c r="R3" s="1956"/>
      <c r="S3" s="1956"/>
      <c r="T3" s="1956"/>
      <c r="U3" s="1956"/>
      <c r="V3" s="1956"/>
      <c r="W3" s="1956"/>
      <c r="X3" s="1956"/>
      <c r="Y3" s="1956"/>
      <c r="Z3" s="1956"/>
      <c r="AA3" s="1956"/>
      <c r="AB3" s="1956"/>
      <c r="AC3" s="1964"/>
    </row>
    <row r="4" spans="1:29" ht="15">
      <c r="A4" s="1662" t="s">
        <v>2244</v>
      </c>
      <c r="B4" s="1663"/>
      <c r="C4" s="3860" t="s">
        <v>2245</v>
      </c>
      <c r="D4" s="3861"/>
      <c r="E4" s="3862" t="s">
        <v>2246</v>
      </c>
      <c r="F4" s="3863"/>
      <c r="G4" s="3860" t="s">
        <v>2247</v>
      </c>
      <c r="H4" s="3861"/>
      <c r="I4" s="3860" t="s">
        <v>2248</v>
      </c>
      <c r="J4" s="3861"/>
      <c r="K4" s="1965" t="s">
        <v>2249</v>
      </c>
      <c r="L4" s="2996"/>
      <c r="M4" s="2997"/>
      <c r="N4" s="2997"/>
      <c r="O4" s="2997"/>
      <c r="P4" s="3864" t="s">
        <v>2250</v>
      </c>
      <c r="Q4" s="3865"/>
      <c r="R4" s="3847" t="s">
        <v>2246</v>
      </c>
      <c r="S4" s="3848"/>
      <c r="T4" s="3847" t="s">
        <v>2247</v>
      </c>
      <c r="U4" s="3848"/>
      <c r="V4" s="3870" t="s">
        <v>2248</v>
      </c>
      <c r="W4" s="3870"/>
      <c r="X4" s="2074"/>
      <c r="Y4" s="3847" t="s">
        <v>2250</v>
      </c>
      <c r="Z4" s="3848"/>
      <c r="AA4" s="3857" t="s">
        <v>2246</v>
      </c>
      <c r="AB4" s="3870" t="s">
        <v>2247</v>
      </c>
      <c r="AC4" s="3857" t="s">
        <v>2248</v>
      </c>
    </row>
    <row r="5" spans="1:29" ht="15">
      <c r="A5" s="1667"/>
      <c r="B5" s="1668"/>
      <c r="C5" s="3873" t="s">
        <v>2251</v>
      </c>
      <c r="D5" s="3874"/>
      <c r="E5" s="4095" t="s">
        <v>2252</v>
      </c>
      <c r="F5" s="3872"/>
      <c r="G5" s="3873" t="s">
        <v>2253</v>
      </c>
      <c r="H5" s="3874"/>
      <c r="I5" s="3873" t="s">
        <v>2254</v>
      </c>
      <c r="J5" s="3874"/>
      <c r="K5" s="1965"/>
      <c r="L5" s="2996"/>
      <c r="M5" s="2997"/>
      <c r="N5" s="2997"/>
      <c r="O5" s="2997"/>
      <c r="P5" s="3866"/>
      <c r="Q5" s="3867"/>
      <c r="R5" s="3849"/>
      <c r="S5" s="3850"/>
      <c r="T5" s="3849"/>
      <c r="U5" s="3850"/>
      <c r="V5" s="3870"/>
      <c r="W5" s="3870"/>
      <c r="X5" s="2074"/>
      <c r="Y5" s="3849"/>
      <c r="Z5" s="3850"/>
      <c r="AA5" s="3858"/>
      <c r="AB5" s="3870"/>
      <c r="AC5" s="3858"/>
    </row>
    <row r="6" spans="1:29" ht="15.75" thickBot="1">
      <c r="A6" s="1670"/>
      <c r="B6" s="1671"/>
      <c r="C6" s="3875" t="s">
        <v>2255</v>
      </c>
      <c r="D6" s="3876"/>
      <c r="E6" s="3878" t="s">
        <v>2255</v>
      </c>
      <c r="F6" s="3879"/>
      <c r="G6" s="3875" t="s">
        <v>2255</v>
      </c>
      <c r="H6" s="3876"/>
      <c r="I6" s="3875" t="s">
        <v>2255</v>
      </c>
      <c r="J6" s="3876"/>
      <c r="K6" s="1965" t="s">
        <v>2256</v>
      </c>
      <c r="L6" s="2996"/>
      <c r="M6" s="2997"/>
      <c r="N6" s="2997"/>
      <c r="O6" s="2997"/>
      <c r="P6" s="3868"/>
      <c r="Q6" s="3869"/>
      <c r="R6" s="3849"/>
      <c r="S6" s="3850"/>
      <c r="T6" s="3851"/>
      <c r="U6" s="3852"/>
      <c r="V6" s="3870"/>
      <c r="W6" s="3870"/>
      <c r="X6" s="2074"/>
      <c r="Y6" s="3851"/>
      <c r="Z6" s="3852"/>
      <c r="AA6" s="3859"/>
      <c r="AB6" s="3870"/>
      <c r="AC6" s="3859"/>
    </row>
    <row r="7" spans="1:29" s="1684" customFormat="1" ht="15.75" thickBot="1">
      <c r="A7" s="1672" t="s">
        <v>2257</v>
      </c>
      <c r="B7" s="1673"/>
      <c r="C7" s="1674">
        <f>'数据-取费表'!B2</f>
        <v>42558</v>
      </c>
      <c r="D7" s="1675">
        <v>100</v>
      </c>
      <c r="E7" s="1676"/>
      <c r="F7" s="1677">
        <f>SUMIF(58:58,YEAR(E7)&amp;"-"&amp;MONTH(E7),59:59)</f>
        <v>0</v>
      </c>
      <c r="G7" s="1676"/>
      <c r="H7" s="1675">
        <f>SUMIF(58:58,YEAR(G7)&amp;"-"&amp;MONTH(G7),59:59)</f>
        <v>0</v>
      </c>
      <c r="I7" s="1676"/>
      <c r="J7" s="1675">
        <f>SUMIF(58:58,YEAR(I7)&amp;"-"&amp;MONTH(I7),59:59)</f>
        <v>0</v>
      </c>
      <c r="K7" s="1967"/>
      <c r="L7" s="2996"/>
      <c r="M7" s="2969"/>
      <c r="N7" s="2969"/>
      <c r="O7" s="2969"/>
      <c r="P7" s="3845" t="s">
        <v>2258</v>
      </c>
      <c r="Q7" s="3853"/>
      <c r="R7" s="1680" t="s">
        <v>25</v>
      </c>
      <c r="S7" s="1681">
        <f t="shared" ref="S7:S15" si="0">F7</f>
        <v>0</v>
      </c>
      <c r="T7" s="1680" t="s">
        <v>25</v>
      </c>
      <c r="U7" s="1681">
        <f t="shared" ref="U7:U15" si="1">H7</f>
        <v>0</v>
      </c>
      <c r="V7" s="1680" t="s">
        <v>25</v>
      </c>
      <c r="W7" s="1681">
        <f t="shared" ref="W7:W15" si="2">J7</f>
        <v>0</v>
      </c>
      <c r="X7" s="1682"/>
      <c r="Y7" s="3845" t="s">
        <v>2258</v>
      </c>
      <c r="Z7" s="3846"/>
      <c r="AA7" s="1683" t="e">
        <f>D7/F7</f>
        <v>#DIV/0!</v>
      </c>
      <c r="AB7" s="1683" t="e">
        <f>D7/H7</f>
        <v>#DIV/0!</v>
      </c>
      <c r="AC7" s="1683" t="e">
        <f>D7/J7</f>
        <v>#DIV/0!</v>
      </c>
    </row>
    <row r="8" spans="1:29" s="1684" customFormat="1" ht="15.75" thickBot="1">
      <c r="A8" s="1672" t="s">
        <v>2259</v>
      </c>
      <c r="B8" s="1673"/>
      <c r="C8" s="1685" t="s">
        <v>2260</v>
      </c>
      <c r="D8" s="1675">
        <v>100</v>
      </c>
      <c r="E8" s="1685"/>
      <c r="F8" s="1677">
        <f>SUMIF(61:61,E8,62:62)-SUMIF(61:61,C8,62:62)+100</f>
        <v>0</v>
      </c>
      <c r="G8" s="1685"/>
      <c r="H8" s="1675">
        <f>SUMIF(61:61,G8,62:62)-SUMIF(61:61,C8,62:62)+100</f>
        <v>0</v>
      </c>
      <c r="I8" s="1685"/>
      <c r="J8" s="1675">
        <f>SUMIF(61:61,I8,62:62)-SUMIF(61:61,C8,62:62)+100</f>
        <v>0</v>
      </c>
      <c r="K8" s="1967"/>
      <c r="L8" s="2996"/>
      <c r="M8" s="2969"/>
      <c r="N8" s="2969"/>
      <c r="O8" s="2969"/>
      <c r="P8" s="3845" t="s">
        <v>2261</v>
      </c>
      <c r="Q8" s="3846"/>
      <c r="R8" s="1680" t="s">
        <v>25</v>
      </c>
      <c r="S8" s="1681">
        <f t="shared" si="0"/>
        <v>0</v>
      </c>
      <c r="T8" s="1680" t="s">
        <v>25</v>
      </c>
      <c r="U8" s="1681">
        <f t="shared" si="1"/>
        <v>0</v>
      </c>
      <c r="V8" s="1680" t="s">
        <v>25</v>
      </c>
      <c r="W8" s="1681">
        <f t="shared" si="2"/>
        <v>0</v>
      </c>
      <c r="X8" s="1682"/>
      <c r="Y8" s="3845" t="s">
        <v>2261</v>
      </c>
      <c r="Z8" s="3846"/>
      <c r="AA8" s="1683" t="e">
        <f t="shared" ref="AA8:AA46" si="3">D8/F8</f>
        <v>#DIV/0!</v>
      </c>
      <c r="AB8" s="1683" t="e">
        <f t="shared" ref="AB8:AB46" si="4">D8/H8</f>
        <v>#DIV/0!</v>
      </c>
      <c r="AC8" s="1683" t="e">
        <f t="shared" ref="AC8:AC46" si="5">D8/J8</f>
        <v>#DIV/0!</v>
      </c>
    </row>
    <row r="9" spans="1:29" s="1684" customFormat="1">
      <c r="A9" s="2066" t="s">
        <v>2262</v>
      </c>
      <c r="B9" s="1687" t="s">
        <v>2263</v>
      </c>
      <c r="C9" s="1688"/>
      <c r="D9" s="1689">
        <v>100</v>
      </c>
      <c r="E9" s="1690"/>
      <c r="F9" s="1691">
        <f>SUMIF(63:63,E9,64:64)-SUMIF(63:63,C9,64:64)+100</f>
        <v>100</v>
      </c>
      <c r="G9" s="1690"/>
      <c r="H9" s="1689">
        <f>SUMIF(63:63,G9,64:64)-SUMIF(63:63,C9,64:64)+100</f>
        <v>100</v>
      </c>
      <c r="I9" s="1690"/>
      <c r="J9" s="1689">
        <f>SUMIF(63:63,I9,64:64)-SUMIF(63:63,C9,64:64)+100</f>
        <v>100</v>
      </c>
      <c r="K9" s="1967"/>
      <c r="L9" s="2996"/>
      <c r="M9" s="2969"/>
      <c r="N9" s="2969"/>
      <c r="O9" s="2969"/>
      <c r="P9" s="4094" t="s">
        <v>2264</v>
      </c>
      <c r="Q9" s="2065" t="str">
        <f t="shared" ref="Q9:Q15" si="6">B9</f>
        <v>用途</v>
      </c>
      <c r="R9" s="1680" t="s">
        <v>25</v>
      </c>
      <c r="S9" s="1681">
        <f t="shared" si="0"/>
        <v>100</v>
      </c>
      <c r="T9" s="1680" t="s">
        <v>25</v>
      </c>
      <c r="U9" s="1681">
        <f t="shared" si="1"/>
        <v>100</v>
      </c>
      <c r="V9" s="1680" t="s">
        <v>25</v>
      </c>
      <c r="W9" s="1681">
        <f t="shared" si="2"/>
        <v>100</v>
      </c>
      <c r="X9" s="1682"/>
      <c r="Y9" s="3856"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8"/>
      <c r="F10" s="1699">
        <f>SUMIF(65:65,E10,66:66)-SUMIF(65:65,C10,66:66)+100</f>
        <v>100</v>
      </c>
      <c r="G10" s="1696"/>
      <c r="H10" s="1697">
        <f>SUMIF(65:65,G10,66:66)-SUMIF(65:65,C10,66:66)+100</f>
        <v>100</v>
      </c>
      <c r="I10" s="1696"/>
      <c r="J10" s="1697">
        <f>SUMIF(65:65,I10,66:66)-SUMIF(65:65,C10,66:66)+100</f>
        <v>100</v>
      </c>
      <c r="K10" s="1992"/>
      <c r="L10" s="2998"/>
      <c r="M10" s="2999"/>
      <c r="N10" s="2999"/>
      <c r="O10" s="2999"/>
      <c r="P10" s="4094"/>
      <c r="Q10" s="2065" t="str">
        <f t="shared" si="6"/>
        <v>土地使用年限（年）</v>
      </c>
      <c r="R10" s="1680" t="s">
        <v>25</v>
      </c>
      <c r="S10" s="1681">
        <f t="shared" si="0"/>
        <v>100</v>
      </c>
      <c r="T10" s="1680" t="s">
        <v>25</v>
      </c>
      <c r="U10" s="1681">
        <f t="shared" si="1"/>
        <v>100</v>
      </c>
      <c r="V10" s="1680" t="s">
        <v>25</v>
      </c>
      <c r="W10" s="1681">
        <f t="shared" si="2"/>
        <v>100</v>
      </c>
      <c r="X10" s="1682"/>
      <c r="Y10" s="3856"/>
      <c r="Z10" s="1693" t="str">
        <f t="shared" si="7"/>
        <v>土地使用年限（年）</v>
      </c>
      <c r="AA10" s="1683">
        <f t="shared" si="3"/>
        <v>1</v>
      </c>
      <c r="AB10" s="1683">
        <f t="shared" si="4"/>
        <v>1</v>
      </c>
      <c r="AC10" s="1683">
        <f t="shared" si="5"/>
        <v>1</v>
      </c>
    </row>
    <row r="11" spans="1:29" ht="15">
      <c r="A11" s="1702"/>
      <c r="B11" s="1695" t="s">
        <v>2267</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0"/>
      <c r="M11" s="2997"/>
      <c r="N11" s="2997"/>
      <c r="O11" s="2997"/>
      <c r="P11" s="4094"/>
      <c r="Q11" s="2065" t="str">
        <f t="shared" si="6"/>
        <v>容积率</v>
      </c>
      <c r="R11" s="1680" t="s">
        <v>25</v>
      </c>
      <c r="S11" s="1681" t="e">
        <f t="shared" si="0"/>
        <v>#N/A</v>
      </c>
      <c r="T11" s="1680" t="s">
        <v>25</v>
      </c>
      <c r="U11" s="1681" t="e">
        <f t="shared" si="1"/>
        <v>#N/A</v>
      </c>
      <c r="V11" s="1680" t="s">
        <v>25</v>
      </c>
      <c r="W11" s="1681" t="e">
        <f t="shared" si="2"/>
        <v>#N/A</v>
      </c>
      <c r="X11" s="1682"/>
      <c r="Y11" s="3856"/>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6"/>
      <c r="M12" s="2969"/>
      <c r="N12" s="2969"/>
      <c r="O12" s="2969"/>
      <c r="P12" s="4094"/>
      <c r="Q12" s="2065">
        <f t="shared" si="6"/>
        <v>111</v>
      </c>
      <c r="R12" s="1680" t="s">
        <v>25</v>
      </c>
      <c r="S12" s="1681">
        <f t="shared" si="0"/>
        <v>100</v>
      </c>
      <c r="T12" s="1680" t="s">
        <v>25</v>
      </c>
      <c r="U12" s="1681">
        <f t="shared" si="1"/>
        <v>100</v>
      </c>
      <c r="V12" s="1680" t="s">
        <v>25</v>
      </c>
      <c r="W12" s="1681">
        <f t="shared" si="2"/>
        <v>100</v>
      </c>
      <c r="X12" s="1682"/>
      <c r="Y12" s="3856"/>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1"/>
      <c r="M13" s="2997"/>
      <c r="N13" s="2997"/>
      <c r="O13" s="2997"/>
      <c r="P13" s="4094"/>
      <c r="Q13" s="2065">
        <f t="shared" si="6"/>
        <v>111</v>
      </c>
      <c r="R13" s="1680" t="s">
        <v>25</v>
      </c>
      <c r="S13" s="1681">
        <f t="shared" si="0"/>
        <v>100</v>
      </c>
      <c r="T13" s="1680" t="s">
        <v>25</v>
      </c>
      <c r="U13" s="1681">
        <f t="shared" si="1"/>
        <v>100</v>
      </c>
      <c r="V13" s="1680" t="s">
        <v>25</v>
      </c>
      <c r="W13" s="1681">
        <f t="shared" si="2"/>
        <v>100</v>
      </c>
      <c r="X13" s="1682"/>
      <c r="Y13" s="3856"/>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1"/>
      <c r="M14" s="2997"/>
      <c r="N14" s="2997"/>
      <c r="O14" s="2997"/>
      <c r="P14" s="4094"/>
      <c r="Q14" s="2065">
        <f t="shared" si="6"/>
        <v>111</v>
      </c>
      <c r="R14" s="1680" t="s">
        <v>25</v>
      </c>
      <c r="S14" s="1681">
        <f t="shared" si="0"/>
        <v>100</v>
      </c>
      <c r="T14" s="1680" t="s">
        <v>25</v>
      </c>
      <c r="U14" s="1681">
        <f t="shared" si="1"/>
        <v>100</v>
      </c>
      <c r="V14" s="1680" t="s">
        <v>25</v>
      </c>
      <c r="W14" s="1681">
        <f t="shared" si="2"/>
        <v>100</v>
      </c>
      <c r="X14" s="1682"/>
      <c r="Y14" s="3856"/>
      <c r="Z14" s="1693">
        <f t="shared" si="7"/>
        <v>111</v>
      </c>
      <c r="AA14" s="1683">
        <f t="shared" si="3"/>
        <v>1</v>
      </c>
      <c r="AB14" s="1683">
        <f t="shared" si="4"/>
        <v>1</v>
      </c>
      <c r="AC14" s="1683">
        <f t="shared" si="5"/>
        <v>1</v>
      </c>
    </row>
    <row r="15" spans="1:29" ht="71.25">
      <c r="A15" s="1717" t="s">
        <v>2268</v>
      </c>
      <c r="B15" s="1718" t="s">
        <v>2354</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3001"/>
      <c r="M15" s="2997"/>
      <c r="N15" s="2997"/>
      <c r="O15" s="2997"/>
      <c r="P15" s="4089" t="s">
        <v>2269</v>
      </c>
      <c r="Q15" s="2071" t="str">
        <f t="shared" si="6"/>
        <v>商业繁华度</v>
      </c>
      <c r="R15" s="1725" t="s">
        <v>25</v>
      </c>
      <c r="S15" s="1726">
        <f t="shared" si="0"/>
        <v>100</v>
      </c>
      <c r="T15" s="1725" t="s">
        <v>25</v>
      </c>
      <c r="U15" s="1726">
        <f t="shared" si="1"/>
        <v>100</v>
      </c>
      <c r="V15" s="1725" t="s">
        <v>25</v>
      </c>
      <c r="W15" s="1726">
        <f t="shared" si="2"/>
        <v>100</v>
      </c>
      <c r="X15" s="2074"/>
      <c r="Y15" s="3854" t="s">
        <v>2269</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1"/>
      <c r="M16" s="2997"/>
      <c r="N16" s="2997"/>
      <c r="O16" s="2997"/>
      <c r="P16" s="4090"/>
      <c r="Q16" s="2071"/>
      <c r="R16" s="1725"/>
      <c r="S16" s="1726"/>
      <c r="T16" s="1725"/>
      <c r="U16" s="1726"/>
      <c r="V16" s="1725"/>
      <c r="W16" s="1726"/>
      <c r="X16" s="2074"/>
      <c r="Y16" s="3855"/>
      <c r="Z16" s="2078"/>
      <c r="AA16" s="2069">
        <v>1</v>
      </c>
      <c r="AB16" s="2069">
        <v>1</v>
      </c>
      <c r="AC16" s="2069">
        <v>1</v>
      </c>
    </row>
    <row r="17" spans="1:29" ht="156.75">
      <c r="A17" s="1702"/>
      <c r="B17" s="1737" t="s">
        <v>1704</v>
      </c>
      <c r="C17" s="1738" t="str">
        <f>估价对象房地状况!C6</f>
        <v>估价对象临近知春路，距离地铁10、13号线知春路站约100米，周边有专168路、311路、319路、630路等公交车通达，停车便捷程度较好，综合评价交通便捷度好</v>
      </c>
      <c r="D17" s="1735">
        <v>100</v>
      </c>
      <c r="E17" s="1739"/>
      <c r="F17" s="1740">
        <f>SUMIF(78:78,E18,79:79)-SUMIF(78:78,C18,79:79)+100</f>
        <v>100</v>
      </c>
      <c r="G17" s="1741"/>
      <c r="H17" s="1742">
        <f>SUMIF(78:78,G18,79:79)-SUMIF(78:78,C18,79:79)+100</f>
        <v>100</v>
      </c>
      <c r="I17" s="1739"/>
      <c r="J17" s="1742">
        <f>SUMIF(78:78,I18,79:79)-SUMIF(78:78,C18,79:79)+100</f>
        <v>100</v>
      </c>
      <c r="K17" s="2472"/>
      <c r="L17" s="3001"/>
      <c r="M17" s="2997"/>
      <c r="N17" s="2997"/>
      <c r="O17" s="2997"/>
      <c r="P17" s="4090"/>
      <c r="Q17" s="2071" t="str">
        <f>B17</f>
        <v>交通便捷度</v>
      </c>
      <c r="R17" s="1725" t="s">
        <v>25</v>
      </c>
      <c r="S17" s="1726">
        <f>F17</f>
        <v>100</v>
      </c>
      <c r="T17" s="1725" t="s">
        <v>25</v>
      </c>
      <c r="U17" s="1726">
        <f>H17</f>
        <v>100</v>
      </c>
      <c r="V17" s="1725" t="s">
        <v>25</v>
      </c>
      <c r="W17" s="1726">
        <f>J17</f>
        <v>100</v>
      </c>
      <c r="X17" s="2074"/>
      <c r="Y17" s="3855"/>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1"/>
      <c r="M18" s="2997"/>
      <c r="N18" s="2997"/>
      <c r="O18" s="2997"/>
      <c r="P18" s="4090"/>
      <c r="Q18" s="2071"/>
      <c r="R18" s="1725"/>
      <c r="S18" s="1726"/>
      <c r="T18" s="1725"/>
      <c r="U18" s="1726"/>
      <c r="V18" s="1725"/>
      <c r="W18" s="1726"/>
      <c r="X18" s="2074"/>
      <c r="Y18" s="3855"/>
      <c r="Z18" s="2078"/>
      <c r="AA18" s="2069">
        <v>1</v>
      </c>
      <c r="AB18" s="2069">
        <v>1</v>
      </c>
      <c r="AC18" s="2069">
        <v>1</v>
      </c>
    </row>
    <row r="19" spans="1:29" ht="313.5">
      <c r="A19" s="1702"/>
      <c r="B19" s="1737" t="s">
        <v>2355</v>
      </c>
      <c r="C19" s="1738"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1747"/>
      <c r="F19" s="1748">
        <f>SUMIF(80:80,E20,81:81)-SUMIF(80:80,C20,81:81)+100</f>
        <v>100</v>
      </c>
      <c r="G19" s="1749"/>
      <c r="H19" s="1735">
        <f>SUMIF(80:80,G20,81:81)-SUMIF(80:80,C20,81:81)+100</f>
        <v>100</v>
      </c>
      <c r="I19" s="1747"/>
      <c r="J19" s="1735">
        <f>SUMIF(80:80,I20,81:81)-SUMIF(80:80,C20,81:81)+100</f>
        <v>100</v>
      </c>
      <c r="K19" s="2472"/>
      <c r="L19" s="3001"/>
      <c r="M19" s="2997"/>
      <c r="N19" s="2997"/>
      <c r="O19" s="2997"/>
      <c r="P19" s="4090"/>
      <c r="Q19" s="2071" t="str">
        <f>B19</f>
        <v>公共配套设施</v>
      </c>
      <c r="R19" s="1725" t="s">
        <v>25</v>
      </c>
      <c r="S19" s="1726">
        <f>F19</f>
        <v>100</v>
      </c>
      <c r="T19" s="1725" t="s">
        <v>25</v>
      </c>
      <c r="U19" s="1726">
        <f>H19</f>
        <v>100</v>
      </c>
      <c r="V19" s="1725" t="s">
        <v>25</v>
      </c>
      <c r="W19" s="1726">
        <f>J19</f>
        <v>100</v>
      </c>
      <c r="X19" s="2074"/>
      <c r="Y19" s="3855"/>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1"/>
      <c r="M20" s="2997"/>
      <c r="N20" s="2997"/>
      <c r="O20" s="2997"/>
      <c r="P20" s="4090"/>
      <c r="Q20" s="2071"/>
      <c r="R20" s="1725"/>
      <c r="S20" s="1726"/>
      <c r="T20" s="1725"/>
      <c r="U20" s="1726"/>
      <c r="V20" s="1725"/>
      <c r="W20" s="1726"/>
      <c r="X20" s="2074"/>
      <c r="Y20" s="3855"/>
      <c r="Z20" s="2078"/>
      <c r="AA20" s="2069">
        <v>1</v>
      </c>
      <c r="AB20" s="2069">
        <v>1</v>
      </c>
      <c r="AC20" s="2069">
        <v>1</v>
      </c>
    </row>
    <row r="21" spans="1:29" ht="42.75">
      <c r="A21" s="1702"/>
      <c r="B21" s="1750" t="s">
        <v>2356</v>
      </c>
      <c r="C21" s="1738" t="str">
        <f>估价对象房地状况!C8</f>
        <v>估价对象所在区域基础设施水平-七通</v>
      </c>
      <c r="D21" s="1742">
        <v>100</v>
      </c>
      <c r="E21" s="1747"/>
      <c r="F21" s="1748">
        <f>SUMIF(82:82,E22,83:83)-SUMIF(82:82,C22,83:83)+100</f>
        <v>100</v>
      </c>
      <c r="G21" s="1749"/>
      <c r="H21" s="1735">
        <f>SUMIF(82:82,G22,83:83)-SUMIF(82:82,C22,83:83)+100</f>
        <v>100</v>
      </c>
      <c r="I21" s="1747"/>
      <c r="J21" s="1735">
        <f>SUMIF(82:82,I22,83:83)-SUMIF(82:82,C22,83:83)+100</f>
        <v>100</v>
      </c>
      <c r="K21" s="2472"/>
      <c r="L21" s="3001"/>
      <c r="M21" s="2997"/>
      <c r="N21" s="2997"/>
      <c r="O21" s="2997"/>
      <c r="P21" s="4090"/>
      <c r="Q21" s="2071" t="str">
        <f>B21</f>
        <v>基础设施水平</v>
      </c>
      <c r="R21" s="1725" t="s">
        <v>25</v>
      </c>
      <c r="S21" s="1726">
        <f>F21</f>
        <v>100</v>
      </c>
      <c r="T21" s="1725" t="s">
        <v>25</v>
      </c>
      <c r="U21" s="1726">
        <f>H21</f>
        <v>100</v>
      </c>
      <c r="V21" s="1725" t="s">
        <v>25</v>
      </c>
      <c r="W21" s="1726">
        <f>J21</f>
        <v>100</v>
      </c>
      <c r="X21" s="2074"/>
      <c r="Y21" s="3855"/>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1"/>
      <c r="M22" s="2997"/>
      <c r="N22" s="2997"/>
      <c r="O22" s="2997"/>
      <c r="P22" s="4090"/>
      <c r="Q22" s="2071"/>
      <c r="R22" s="1725"/>
      <c r="S22" s="1726"/>
      <c r="T22" s="1725"/>
      <c r="U22" s="1726"/>
      <c r="V22" s="1725"/>
      <c r="W22" s="1726"/>
      <c r="X22" s="2074"/>
      <c r="Y22" s="3855"/>
      <c r="Z22" s="2078"/>
      <c r="AA22" s="2069">
        <v>1</v>
      </c>
      <c r="AB22" s="2069">
        <v>1</v>
      </c>
      <c r="AC22" s="2069">
        <v>1</v>
      </c>
    </row>
    <row r="23" spans="1:29" ht="114">
      <c r="A23" s="1702"/>
      <c r="B23" s="1737" t="s">
        <v>1706</v>
      </c>
      <c r="C23" s="2475" t="str">
        <f>估价对象房地状况!C9</f>
        <v>区域自然环境：知春公园、双榆树公园；人文环境；首体足球场、大运村网球场；
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2"/>
      <c r="L23" s="3001"/>
      <c r="M23" s="2997"/>
      <c r="N23" s="2997"/>
      <c r="O23" s="2997"/>
      <c r="P23" s="4090"/>
      <c r="Q23" s="2071" t="str">
        <f>B23</f>
        <v>自然及人文环境</v>
      </c>
      <c r="R23" s="1725" t="s">
        <v>25</v>
      </c>
      <c r="S23" s="1726">
        <f>F23</f>
        <v>100</v>
      </c>
      <c r="T23" s="1725" t="s">
        <v>25</v>
      </c>
      <c r="U23" s="1726">
        <f>H23</f>
        <v>100</v>
      </c>
      <c r="V23" s="1725" t="s">
        <v>25</v>
      </c>
      <c r="W23" s="1726">
        <f>J23</f>
        <v>100</v>
      </c>
      <c r="X23" s="2074"/>
      <c r="Y23" s="3855"/>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1"/>
      <c r="M24" s="2997"/>
      <c r="N24" s="2997"/>
      <c r="O24" s="2997"/>
      <c r="P24" s="4090"/>
      <c r="Q24" s="2071"/>
      <c r="R24" s="1725"/>
      <c r="S24" s="1726"/>
      <c r="T24" s="1725"/>
      <c r="U24" s="1726"/>
      <c r="V24" s="1725"/>
      <c r="W24" s="1726"/>
      <c r="X24" s="2074"/>
      <c r="Y24" s="3855"/>
      <c r="Z24" s="2078"/>
      <c r="AA24" s="2069">
        <v>1</v>
      </c>
      <c r="AB24" s="2069">
        <v>1</v>
      </c>
      <c r="AC24" s="2069">
        <v>1</v>
      </c>
    </row>
    <row r="25" spans="1:29" ht="15">
      <c r="A25" s="1702"/>
      <c r="B25" s="1695" t="s">
        <v>2357</v>
      </c>
      <c r="C25" s="1991"/>
      <c r="D25" s="1711">
        <v>100</v>
      </c>
      <c r="E25" s="1991"/>
      <c r="F25" s="1754">
        <f>SUMIF(86:86,E25,87:87)-SUMIF(86:86,C25,87:87)+100</f>
        <v>100</v>
      </c>
      <c r="G25" s="1991"/>
      <c r="H25" s="1711">
        <f>SUMIF(86:86,G25,87:87)-SUMIF(86:86,C25,87:87)+100</f>
        <v>100</v>
      </c>
      <c r="I25" s="1991"/>
      <c r="J25" s="1711">
        <f>SUMIF(86:86,I25,87:87)-SUMIF(86:86,C25,87:87)+100</f>
        <v>100</v>
      </c>
      <c r="K25" s="1992"/>
      <c r="L25" s="3001"/>
      <c r="M25" s="2997"/>
      <c r="N25" s="2997"/>
      <c r="O25" s="2997"/>
      <c r="P25" s="4090"/>
      <c r="Q25" s="2071" t="str">
        <f t="shared" ref="Q25:Q46" si="11">B25</f>
        <v>临街状况</v>
      </c>
      <c r="R25" s="1725" t="s">
        <v>25</v>
      </c>
      <c r="S25" s="1726">
        <f>F25</f>
        <v>100</v>
      </c>
      <c r="T25" s="1725" t="s">
        <v>25</v>
      </c>
      <c r="U25" s="1726">
        <f>H25</f>
        <v>100</v>
      </c>
      <c r="V25" s="1725" t="s">
        <v>25</v>
      </c>
      <c r="W25" s="1726">
        <f>J25</f>
        <v>100</v>
      </c>
      <c r="X25" s="2074"/>
      <c r="Y25" s="3855"/>
      <c r="Z25" s="2078" t="str">
        <f>Q25</f>
        <v>临街状况</v>
      </c>
      <c r="AA25" s="2069">
        <f t="shared" si="3"/>
        <v>1</v>
      </c>
      <c r="AB25" s="2069">
        <f t="shared" si="4"/>
        <v>1</v>
      </c>
      <c r="AC25" s="2069">
        <f t="shared" si="5"/>
        <v>1</v>
      </c>
    </row>
    <row r="26" spans="1:29" ht="15">
      <c r="A26" s="1702"/>
      <c r="B26" s="1760" t="s">
        <v>2358</v>
      </c>
      <c r="C26" s="1710"/>
      <c r="D26" s="1711">
        <v>100</v>
      </c>
      <c r="E26" s="1710"/>
      <c r="F26" s="1754">
        <f>SUMIF(88:88,E26,89:89)-SUMIF(88:88,C26,89:89)+100</f>
        <v>100</v>
      </c>
      <c r="G26" s="1710"/>
      <c r="H26" s="1711">
        <f>SUMIF(88:88,G26,89:89)-SUMIF(88:88,C26,89:89)+100</f>
        <v>100</v>
      </c>
      <c r="I26" s="1710"/>
      <c r="J26" s="1711">
        <f>SUMIF(88:88,I26,89:89)-SUMIF(88:88,C26,89:89)+100</f>
        <v>100</v>
      </c>
      <c r="K26" s="1989"/>
      <c r="L26" s="3001"/>
      <c r="M26" s="2997"/>
      <c r="N26" s="2997"/>
      <c r="O26" s="2997"/>
      <c r="P26" s="4090"/>
      <c r="Q26" s="2071" t="str">
        <f t="shared" si="11"/>
        <v>平面位置/可视性</v>
      </c>
      <c r="R26" s="1725" t="s">
        <v>25</v>
      </c>
      <c r="S26" s="1726">
        <f>F26</f>
        <v>100</v>
      </c>
      <c r="T26" s="1725" t="s">
        <v>25</v>
      </c>
      <c r="U26" s="1726">
        <f>H26</f>
        <v>100</v>
      </c>
      <c r="V26" s="1725" t="s">
        <v>25</v>
      </c>
      <c r="W26" s="1726">
        <f>J26</f>
        <v>100</v>
      </c>
      <c r="X26" s="2074"/>
      <c r="Y26" s="3855"/>
      <c r="Z26" s="2078" t="str">
        <f>Q26</f>
        <v>平面位置/可视性</v>
      </c>
      <c r="AA26" s="2069">
        <f t="shared" si="3"/>
        <v>1</v>
      </c>
      <c r="AB26" s="2069">
        <f t="shared" si="4"/>
        <v>1</v>
      </c>
      <c r="AC26" s="2069">
        <f t="shared" si="5"/>
        <v>1</v>
      </c>
    </row>
    <row r="27" spans="1:29" s="1684" customFormat="1" ht="15">
      <c r="A27" s="1705"/>
      <c r="B27" s="1737" t="s">
        <v>2359</v>
      </c>
      <c r="C27" s="2476"/>
      <c r="D27" s="1756">
        <v>100</v>
      </c>
      <c r="E27" s="2476"/>
      <c r="F27" s="1758">
        <f>SUMIF(90:90,E27,91:91)-SUMIF(90:90,C27,91:91)+100</f>
        <v>100</v>
      </c>
      <c r="G27" s="2476"/>
      <c r="H27" s="1756">
        <f>SUMIF(90:90,G27,91:91)-SUMIF(90:90,C27,91:91)+100</f>
        <v>100</v>
      </c>
      <c r="I27" s="2476"/>
      <c r="J27" s="1756">
        <f>SUMIF(90:90,I27,91:91)-SUMIF(90:90,C27,91:91)+100</f>
        <v>100</v>
      </c>
      <c r="K27" s="1992"/>
      <c r="L27" s="2996"/>
      <c r="M27" s="2969"/>
      <c r="N27" s="2969"/>
      <c r="O27" s="2969"/>
      <c r="P27" s="4090"/>
      <c r="Q27" s="2065" t="str">
        <f t="shared" si="11"/>
        <v>人流量</v>
      </c>
      <c r="R27" s="1680" t="s">
        <v>25</v>
      </c>
      <c r="S27" s="1681">
        <f>F27</f>
        <v>100</v>
      </c>
      <c r="T27" s="1680" t="s">
        <v>25</v>
      </c>
      <c r="U27" s="1681">
        <f>H27</f>
        <v>100</v>
      </c>
      <c r="V27" s="1680" t="s">
        <v>25</v>
      </c>
      <c r="W27" s="1681">
        <f>J27</f>
        <v>100</v>
      </c>
      <c r="X27" s="1682"/>
      <c r="Y27" s="3855"/>
      <c r="Z27" s="1693" t="str">
        <f>Q27</f>
        <v>人流量</v>
      </c>
      <c r="AA27" s="2069">
        <f>D27/F27</f>
        <v>1</v>
      </c>
      <c r="AB27" s="2069">
        <f>D27/H27</f>
        <v>1</v>
      </c>
      <c r="AC27" s="2069">
        <f>D27/J27</f>
        <v>1</v>
      </c>
    </row>
    <row r="28" spans="1:29" ht="15">
      <c r="A28" s="1702"/>
      <c r="B28" s="1695" t="s">
        <v>2360</v>
      </c>
      <c r="C28" s="1991"/>
      <c r="D28" s="1711">
        <v>100</v>
      </c>
      <c r="E28" s="1991"/>
      <c r="F28" s="1754">
        <f>SUMIF(92:92,E28,93:93)-SUMIF(92:92,C28,93:93)+100</f>
        <v>100</v>
      </c>
      <c r="G28" s="1991"/>
      <c r="H28" s="1711">
        <f>SUMIF(92:92,G28,93:93)-SUMIF(92:92,C28,93:93)+100</f>
        <v>100</v>
      </c>
      <c r="I28" s="1991"/>
      <c r="J28" s="1711">
        <f>SUMIF(92:92,I28,93:93)-SUMIF(92:92,C28,93:93)+100</f>
        <v>100</v>
      </c>
      <c r="K28" s="1989"/>
      <c r="L28" s="3001"/>
      <c r="M28" s="2997"/>
      <c r="N28" s="2997"/>
      <c r="O28" s="2997"/>
      <c r="P28" s="4090"/>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855"/>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1"/>
      <c r="M29" s="2997"/>
      <c r="N29" s="2997"/>
      <c r="O29" s="2997"/>
      <c r="P29" s="4090"/>
      <c r="Q29" s="2071">
        <f t="shared" si="11"/>
        <v>111</v>
      </c>
      <c r="R29" s="1725" t="s">
        <v>25</v>
      </c>
      <c r="S29" s="1726">
        <f t="shared" si="12"/>
        <v>100</v>
      </c>
      <c r="T29" s="1725" t="s">
        <v>25</v>
      </c>
      <c r="U29" s="1726">
        <f t="shared" si="13"/>
        <v>100</v>
      </c>
      <c r="V29" s="1725" t="s">
        <v>25</v>
      </c>
      <c r="W29" s="1726">
        <f t="shared" si="14"/>
        <v>100</v>
      </c>
      <c r="X29" s="2074"/>
      <c r="Y29" s="3855"/>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1"/>
      <c r="M30" s="2997"/>
      <c r="N30" s="2997"/>
      <c r="O30" s="2997"/>
      <c r="P30" s="4090"/>
      <c r="Q30" s="2071">
        <f t="shared" si="11"/>
        <v>111</v>
      </c>
      <c r="R30" s="1725" t="s">
        <v>25</v>
      </c>
      <c r="S30" s="1726">
        <f t="shared" si="12"/>
        <v>100</v>
      </c>
      <c r="T30" s="1725" t="s">
        <v>25</v>
      </c>
      <c r="U30" s="1726">
        <f t="shared" si="13"/>
        <v>100</v>
      </c>
      <c r="V30" s="1725" t="s">
        <v>25</v>
      </c>
      <c r="W30" s="1726">
        <f t="shared" si="14"/>
        <v>100</v>
      </c>
      <c r="X30" s="2074"/>
      <c r="Y30" s="3855"/>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1"/>
      <c r="M31" s="2997"/>
      <c r="N31" s="2997"/>
      <c r="O31" s="2997"/>
      <c r="P31" s="4090"/>
      <c r="Q31" s="2071">
        <f t="shared" si="11"/>
        <v>111</v>
      </c>
      <c r="R31" s="1725" t="s">
        <v>25</v>
      </c>
      <c r="S31" s="1726">
        <f t="shared" si="12"/>
        <v>100</v>
      </c>
      <c r="T31" s="1725" t="s">
        <v>25</v>
      </c>
      <c r="U31" s="1726">
        <f t="shared" si="13"/>
        <v>100</v>
      </c>
      <c r="V31" s="1725" t="s">
        <v>25</v>
      </c>
      <c r="W31" s="1726">
        <f t="shared" si="14"/>
        <v>100</v>
      </c>
      <c r="X31" s="2074"/>
      <c r="Y31" s="3855"/>
      <c r="Z31" s="2078">
        <f t="shared" si="15"/>
        <v>111</v>
      </c>
      <c r="AA31" s="2069">
        <f t="shared" si="3"/>
        <v>1</v>
      </c>
      <c r="AB31" s="2069">
        <f t="shared" si="4"/>
        <v>1</v>
      </c>
      <c r="AC31" s="2069">
        <f t="shared" si="5"/>
        <v>1</v>
      </c>
    </row>
    <row r="32" spans="1:29" ht="15">
      <c r="A32" s="1717" t="s">
        <v>2273</v>
      </c>
      <c r="B32" s="1687" t="s">
        <v>2361</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1"/>
      <c r="M32" s="2997"/>
      <c r="N32" s="2997"/>
      <c r="O32" s="2997"/>
      <c r="P32" s="4091" t="s">
        <v>2275</v>
      </c>
      <c r="Q32" s="2071" t="str">
        <f t="shared" si="11"/>
        <v>商业类型</v>
      </c>
      <c r="R32" s="1725" t="s">
        <v>25</v>
      </c>
      <c r="S32" s="1726">
        <f t="shared" si="12"/>
        <v>100</v>
      </c>
      <c r="T32" s="1725" t="s">
        <v>25</v>
      </c>
      <c r="U32" s="1726">
        <f t="shared" si="13"/>
        <v>100</v>
      </c>
      <c r="V32" s="1725" t="s">
        <v>25</v>
      </c>
      <c r="W32" s="1726">
        <f t="shared" si="14"/>
        <v>100</v>
      </c>
      <c r="X32" s="2074"/>
      <c r="Y32" s="3843" t="s">
        <v>2275</v>
      </c>
      <c r="Z32" s="2078" t="str">
        <f t="shared" si="15"/>
        <v>商业类型</v>
      </c>
      <c r="AA32" s="2069">
        <f t="shared" si="3"/>
        <v>1</v>
      </c>
      <c r="AB32" s="2069">
        <f t="shared" si="4"/>
        <v>1</v>
      </c>
      <c r="AC32" s="2069">
        <f t="shared" si="5"/>
        <v>1</v>
      </c>
    </row>
    <row r="33" spans="1:29" s="1771" customFormat="1" ht="15">
      <c r="A33" s="1764"/>
      <c r="B33" s="1695" t="s">
        <v>2276</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0"/>
      <c r="M33" s="2059"/>
      <c r="N33" s="2059"/>
      <c r="O33" s="2059"/>
      <c r="P33" s="4092"/>
      <c r="Q33" s="1766" t="str">
        <f t="shared" si="11"/>
        <v>项目建筑规模</v>
      </c>
      <c r="R33" s="1767" t="s">
        <v>25</v>
      </c>
      <c r="S33" s="1768" t="e">
        <f t="shared" si="12"/>
        <v>#N/A</v>
      </c>
      <c r="T33" s="1767" t="s">
        <v>25</v>
      </c>
      <c r="U33" s="1768" t="e">
        <f t="shared" si="13"/>
        <v>#N/A</v>
      </c>
      <c r="V33" s="1767" t="s">
        <v>25</v>
      </c>
      <c r="W33" s="1768" t="e">
        <f t="shared" si="14"/>
        <v>#N/A</v>
      </c>
      <c r="X33" s="1769"/>
      <c r="Y33" s="3843"/>
      <c r="Z33" s="1770" t="str">
        <f t="shared" si="15"/>
        <v>项目建筑规模</v>
      </c>
      <c r="AA33" s="2069" t="e">
        <f t="shared" si="3"/>
        <v>#N/A</v>
      </c>
      <c r="AB33" s="2069" t="e">
        <f t="shared" si="4"/>
        <v>#N/A</v>
      </c>
      <c r="AC33" s="2069" t="e">
        <f t="shared" si="5"/>
        <v>#N/A</v>
      </c>
    </row>
    <row r="34" spans="1:29" ht="15">
      <c r="A34" s="1772"/>
      <c r="B34" s="1695" t="s">
        <v>2277</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1"/>
      <c r="M34" s="2997"/>
      <c r="N34" s="2997"/>
      <c r="O34" s="2997"/>
      <c r="P34" s="4092"/>
      <c r="Q34" s="2071" t="str">
        <f t="shared" si="11"/>
        <v>建筑结构</v>
      </c>
      <c r="R34" s="1725" t="s">
        <v>25</v>
      </c>
      <c r="S34" s="1726">
        <f t="shared" si="12"/>
        <v>100</v>
      </c>
      <c r="T34" s="1725" t="s">
        <v>25</v>
      </c>
      <c r="U34" s="1726">
        <f t="shared" si="13"/>
        <v>100</v>
      </c>
      <c r="V34" s="1725" t="s">
        <v>25</v>
      </c>
      <c r="W34" s="1726">
        <f t="shared" si="14"/>
        <v>100</v>
      </c>
      <c r="X34" s="2074"/>
      <c r="Y34" s="3843"/>
      <c r="Z34" s="2078" t="str">
        <f t="shared" si="15"/>
        <v>建筑结构</v>
      </c>
      <c r="AA34" s="2069">
        <f t="shared" si="3"/>
        <v>1</v>
      </c>
      <c r="AB34" s="2069">
        <f t="shared" si="4"/>
        <v>1</v>
      </c>
      <c r="AC34" s="2069">
        <f t="shared" si="5"/>
        <v>1</v>
      </c>
    </row>
    <row r="35" spans="1:29" ht="15">
      <c r="A35" s="1772"/>
      <c r="B35" s="1695" t="s">
        <v>2362</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1"/>
      <c r="M35" s="2997"/>
      <c r="N35" s="2997"/>
      <c r="O35" s="2997"/>
      <c r="P35" s="4092"/>
      <c r="Q35" s="2071" t="str">
        <f t="shared" si="11"/>
        <v>公共部分装修</v>
      </c>
      <c r="R35" s="1725" t="s">
        <v>25</v>
      </c>
      <c r="S35" s="1726">
        <f t="shared" si="12"/>
        <v>100</v>
      </c>
      <c r="T35" s="1725" t="s">
        <v>25</v>
      </c>
      <c r="U35" s="1726">
        <f t="shared" si="13"/>
        <v>100</v>
      </c>
      <c r="V35" s="1725" t="s">
        <v>25</v>
      </c>
      <c r="W35" s="1726">
        <f t="shared" si="14"/>
        <v>100</v>
      </c>
      <c r="X35" s="2074"/>
      <c r="Y35" s="3843"/>
      <c r="Z35" s="2078" t="str">
        <f t="shared" si="15"/>
        <v>公共部分装修</v>
      </c>
      <c r="AA35" s="2069">
        <f t="shared" si="3"/>
        <v>1</v>
      </c>
      <c r="AB35" s="2069">
        <f t="shared" si="4"/>
        <v>1</v>
      </c>
      <c r="AC35" s="2069">
        <f t="shared" si="5"/>
        <v>1</v>
      </c>
    </row>
    <row r="36" spans="1:29" ht="15">
      <c r="A36" s="1772"/>
      <c r="B36" s="1695" t="s">
        <v>2363</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1"/>
      <c r="M36" s="2997"/>
      <c r="N36" s="2997"/>
      <c r="O36" s="2997"/>
      <c r="P36" s="4092"/>
      <c r="Q36" s="2071" t="str">
        <f t="shared" si="11"/>
        <v>成新度</v>
      </c>
      <c r="R36" s="1725" t="s">
        <v>25</v>
      </c>
      <c r="S36" s="1726" t="e">
        <f t="shared" si="12"/>
        <v>#N/A</v>
      </c>
      <c r="T36" s="1725" t="s">
        <v>25</v>
      </c>
      <c r="U36" s="1726" t="e">
        <f t="shared" si="13"/>
        <v>#N/A</v>
      </c>
      <c r="V36" s="1725" t="s">
        <v>25</v>
      </c>
      <c r="W36" s="1726" t="e">
        <f t="shared" si="14"/>
        <v>#N/A</v>
      </c>
      <c r="X36" s="2074"/>
      <c r="Y36" s="3843"/>
      <c r="Z36" s="2078" t="str">
        <f t="shared" si="15"/>
        <v>成新度</v>
      </c>
      <c r="AA36" s="2069" t="e">
        <f t="shared" si="3"/>
        <v>#N/A</v>
      </c>
      <c r="AB36" s="2069" t="e">
        <f t="shared" si="4"/>
        <v>#N/A</v>
      </c>
      <c r="AC36" s="2069" t="e">
        <f t="shared" si="5"/>
        <v>#N/A</v>
      </c>
    </row>
    <row r="37" spans="1:29" s="1684" customFormat="1" ht="15">
      <c r="A37" s="1775"/>
      <c r="B37" s="1695" t="s">
        <v>2364</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6"/>
      <c r="M37" s="2969"/>
      <c r="N37" s="2969"/>
      <c r="O37" s="2969"/>
      <c r="P37" s="4092"/>
      <c r="Q37" s="2065" t="str">
        <f t="shared" si="11"/>
        <v>市政基础设施</v>
      </c>
      <c r="R37" s="1680" t="s">
        <v>25</v>
      </c>
      <c r="S37" s="1681">
        <f t="shared" si="12"/>
        <v>100</v>
      </c>
      <c r="T37" s="1680" t="s">
        <v>25</v>
      </c>
      <c r="U37" s="1681">
        <f t="shared" si="13"/>
        <v>100</v>
      </c>
      <c r="V37" s="1680" t="s">
        <v>25</v>
      </c>
      <c r="W37" s="1681">
        <f t="shared" si="14"/>
        <v>100</v>
      </c>
      <c r="X37" s="1682"/>
      <c r="Y37" s="3843"/>
      <c r="Z37" s="1693" t="str">
        <f t="shared" si="15"/>
        <v>市政基础设施</v>
      </c>
      <c r="AA37" s="1683">
        <f t="shared" si="3"/>
        <v>1</v>
      </c>
      <c r="AB37" s="1683">
        <f t="shared" si="4"/>
        <v>1</v>
      </c>
      <c r="AC37" s="1683">
        <f t="shared" si="5"/>
        <v>1</v>
      </c>
    </row>
    <row r="38" spans="1:29" ht="15">
      <c r="A38" s="1772"/>
      <c r="B38" s="1695" t="s">
        <v>2365</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1"/>
      <c r="M38" s="2997"/>
      <c r="N38" s="2997"/>
      <c r="O38" s="2997"/>
      <c r="P38" s="4092" t="s">
        <v>2275</v>
      </c>
      <c r="Q38" s="2071" t="str">
        <f t="shared" si="11"/>
        <v>业态</v>
      </c>
      <c r="R38" s="1725" t="s">
        <v>25</v>
      </c>
      <c r="S38" s="1726">
        <f t="shared" si="12"/>
        <v>100</v>
      </c>
      <c r="T38" s="1725" t="s">
        <v>25</v>
      </c>
      <c r="U38" s="1726">
        <f t="shared" si="13"/>
        <v>100</v>
      </c>
      <c r="V38" s="1725" t="s">
        <v>25</v>
      </c>
      <c r="W38" s="1726">
        <f t="shared" si="14"/>
        <v>100</v>
      </c>
      <c r="X38" s="2074"/>
      <c r="Y38" s="3843" t="s">
        <v>2275</v>
      </c>
      <c r="Z38" s="2078" t="str">
        <f t="shared" si="15"/>
        <v>业态</v>
      </c>
      <c r="AA38" s="2069">
        <f t="shared" si="3"/>
        <v>1</v>
      </c>
      <c r="AB38" s="2069">
        <f t="shared" si="4"/>
        <v>1</v>
      </c>
      <c r="AC38" s="2069">
        <f t="shared" si="5"/>
        <v>1</v>
      </c>
    </row>
    <row r="39" spans="1:29" ht="15">
      <c r="A39" s="1772"/>
      <c r="B39" s="1695" t="s">
        <v>2366</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1"/>
      <c r="M39" s="2997"/>
      <c r="N39" s="2997"/>
      <c r="O39" s="2997"/>
      <c r="P39" s="4092"/>
      <c r="Q39" s="2071" t="str">
        <f t="shared" si="11"/>
        <v>层高</v>
      </c>
      <c r="R39" s="1725" t="s">
        <v>25</v>
      </c>
      <c r="S39" s="1726">
        <f t="shared" si="12"/>
        <v>100</v>
      </c>
      <c r="T39" s="1725" t="s">
        <v>25</v>
      </c>
      <c r="U39" s="1726">
        <f t="shared" si="13"/>
        <v>100</v>
      </c>
      <c r="V39" s="1725" t="s">
        <v>25</v>
      </c>
      <c r="W39" s="1726">
        <f t="shared" si="14"/>
        <v>100</v>
      </c>
      <c r="X39" s="2074"/>
      <c r="Y39" s="3843"/>
      <c r="Z39" s="2078" t="str">
        <f t="shared" si="15"/>
        <v>层高</v>
      </c>
      <c r="AA39" s="2069">
        <f t="shared" si="3"/>
        <v>1</v>
      </c>
      <c r="AB39" s="2069">
        <f t="shared" si="4"/>
        <v>1</v>
      </c>
      <c r="AC39" s="2069">
        <f t="shared" si="5"/>
        <v>1</v>
      </c>
    </row>
    <row r="40" spans="1:29" ht="15">
      <c r="A40" s="1772"/>
      <c r="B40" s="1695" t="s">
        <v>2367</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1"/>
      <c r="M40" s="2997"/>
      <c r="N40" s="2997"/>
      <c r="O40" s="2997"/>
      <c r="P40" s="4092"/>
      <c r="Q40" s="2071" t="str">
        <f t="shared" si="11"/>
        <v>单套建筑面积</v>
      </c>
      <c r="R40" s="1725" t="s">
        <v>25</v>
      </c>
      <c r="S40" s="1726">
        <f t="shared" si="12"/>
        <v>100</v>
      </c>
      <c r="T40" s="1725" t="s">
        <v>25</v>
      </c>
      <c r="U40" s="1726">
        <f t="shared" si="13"/>
        <v>100</v>
      </c>
      <c r="V40" s="1725" t="s">
        <v>25</v>
      </c>
      <c r="W40" s="1726">
        <f t="shared" si="14"/>
        <v>100</v>
      </c>
      <c r="X40" s="2074"/>
      <c r="Y40" s="3843"/>
      <c r="Z40" s="2078" t="str">
        <f t="shared" si="15"/>
        <v>单套建筑面积</v>
      </c>
      <c r="AA40" s="2069">
        <f t="shared" si="3"/>
        <v>1</v>
      </c>
      <c r="AB40" s="2069">
        <f t="shared" si="4"/>
        <v>1</v>
      </c>
      <c r="AC40" s="2069">
        <f t="shared" si="5"/>
        <v>1</v>
      </c>
    </row>
    <row r="41" spans="1:29" s="1771" customFormat="1" ht="15">
      <c r="A41" s="1764"/>
      <c r="B41" s="2070" t="s">
        <v>2368</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0"/>
      <c r="M41" s="2059"/>
      <c r="N41" s="2059"/>
      <c r="O41" s="2059"/>
      <c r="P41" s="4092"/>
      <c r="Q41" s="1766" t="str">
        <f t="shared" si="11"/>
        <v>进深比</v>
      </c>
      <c r="R41" s="1767" t="s">
        <v>25</v>
      </c>
      <c r="S41" s="1768">
        <f t="shared" si="12"/>
        <v>100</v>
      </c>
      <c r="T41" s="1767" t="s">
        <v>25</v>
      </c>
      <c r="U41" s="1768">
        <f t="shared" si="13"/>
        <v>100</v>
      </c>
      <c r="V41" s="1767" t="s">
        <v>25</v>
      </c>
      <c r="W41" s="1768">
        <f t="shared" si="14"/>
        <v>100</v>
      </c>
      <c r="X41" s="1769"/>
      <c r="Y41" s="3843"/>
      <c r="Z41" s="1770" t="str">
        <f t="shared" si="15"/>
        <v>进深比</v>
      </c>
      <c r="AA41" s="2069">
        <f t="shared" si="3"/>
        <v>1</v>
      </c>
      <c r="AB41" s="2069">
        <f t="shared" si="4"/>
        <v>1</v>
      </c>
      <c r="AC41" s="2069">
        <f t="shared" si="5"/>
        <v>1</v>
      </c>
    </row>
    <row r="42" spans="1:29" ht="15">
      <c r="A42" s="1772"/>
      <c r="B42" s="1695" t="s">
        <v>2369</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1"/>
      <c r="M42" s="2997"/>
      <c r="N42" s="2997"/>
      <c r="O42" s="2997"/>
      <c r="P42" s="4092"/>
      <c r="Q42" s="2071" t="str">
        <f t="shared" si="11"/>
        <v>内部装修</v>
      </c>
      <c r="R42" s="1725" t="s">
        <v>25</v>
      </c>
      <c r="S42" s="1726">
        <f t="shared" si="12"/>
        <v>100</v>
      </c>
      <c r="T42" s="1725" t="s">
        <v>25</v>
      </c>
      <c r="U42" s="1726">
        <f t="shared" si="13"/>
        <v>100</v>
      </c>
      <c r="V42" s="1725" t="s">
        <v>25</v>
      </c>
      <c r="W42" s="1726">
        <f t="shared" si="14"/>
        <v>100</v>
      </c>
      <c r="X42" s="2074"/>
      <c r="Y42" s="3843"/>
      <c r="Z42" s="2078" t="str">
        <f t="shared" si="15"/>
        <v>内部装修</v>
      </c>
      <c r="AA42" s="2069">
        <f t="shared" si="3"/>
        <v>1</v>
      </c>
      <c r="AB42" s="2069">
        <f t="shared" si="4"/>
        <v>1</v>
      </c>
      <c r="AC42" s="2069">
        <f t="shared" si="5"/>
        <v>1</v>
      </c>
    </row>
    <row r="43" spans="1:29" ht="15">
      <c r="A43" s="1772"/>
      <c r="B43" s="1695" t="s">
        <v>2286</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1"/>
      <c r="M43" s="2997"/>
      <c r="N43" s="2997"/>
      <c r="O43" s="2997"/>
      <c r="P43" s="4092"/>
      <c r="Q43" s="2071" t="str">
        <f t="shared" si="11"/>
        <v>内部装修维护情况</v>
      </c>
      <c r="R43" s="1725" t="s">
        <v>25</v>
      </c>
      <c r="S43" s="1726">
        <f t="shared" si="12"/>
        <v>100</v>
      </c>
      <c r="T43" s="1725" t="s">
        <v>25</v>
      </c>
      <c r="U43" s="1726">
        <f t="shared" si="13"/>
        <v>100</v>
      </c>
      <c r="V43" s="1725" t="s">
        <v>25</v>
      </c>
      <c r="W43" s="1726">
        <f t="shared" si="14"/>
        <v>100</v>
      </c>
      <c r="X43" s="2074"/>
      <c r="Y43" s="3843"/>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6"/>
      <c r="M44" s="2969"/>
      <c r="N44" s="2969"/>
      <c r="O44" s="2969"/>
      <c r="P44" s="4092"/>
      <c r="Q44" s="2065">
        <f t="shared" si="11"/>
        <v>111</v>
      </c>
      <c r="R44" s="1680" t="s">
        <v>25</v>
      </c>
      <c r="S44" s="1681">
        <f t="shared" si="12"/>
        <v>100</v>
      </c>
      <c r="T44" s="1680" t="s">
        <v>25</v>
      </c>
      <c r="U44" s="1681">
        <f t="shared" si="13"/>
        <v>100</v>
      </c>
      <c r="V44" s="1680" t="s">
        <v>25</v>
      </c>
      <c r="W44" s="1681">
        <f t="shared" si="14"/>
        <v>100</v>
      </c>
      <c r="X44" s="1682"/>
      <c r="Y44" s="3843"/>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1"/>
      <c r="M45" s="2997"/>
      <c r="N45" s="2997"/>
      <c r="O45" s="2997"/>
      <c r="P45" s="4092"/>
      <c r="Q45" s="2071">
        <f t="shared" si="11"/>
        <v>111</v>
      </c>
      <c r="R45" s="1725" t="s">
        <v>25</v>
      </c>
      <c r="S45" s="1726">
        <f t="shared" si="12"/>
        <v>100</v>
      </c>
      <c r="T45" s="1725" t="s">
        <v>25</v>
      </c>
      <c r="U45" s="1726">
        <f t="shared" si="13"/>
        <v>100</v>
      </c>
      <c r="V45" s="1725" t="s">
        <v>25</v>
      </c>
      <c r="W45" s="1726">
        <f t="shared" si="14"/>
        <v>100</v>
      </c>
      <c r="X45" s="2074"/>
      <c r="Y45" s="3843"/>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1"/>
      <c r="M46" s="2997"/>
      <c r="N46" s="2997"/>
      <c r="O46" s="2997"/>
      <c r="P46" s="4093"/>
      <c r="Q46" s="2071">
        <f t="shared" si="11"/>
        <v>111</v>
      </c>
      <c r="R46" s="1725" t="s">
        <v>25</v>
      </c>
      <c r="S46" s="1726">
        <f t="shared" si="12"/>
        <v>100</v>
      </c>
      <c r="T46" s="1725" t="s">
        <v>25</v>
      </c>
      <c r="U46" s="1726">
        <f t="shared" si="13"/>
        <v>100</v>
      </c>
      <c r="V46" s="1725" t="s">
        <v>25</v>
      </c>
      <c r="W46" s="1726">
        <f t="shared" si="14"/>
        <v>100</v>
      </c>
      <c r="X46" s="2074"/>
      <c r="Y46" s="3844"/>
      <c r="Z46" s="2078">
        <f t="shared" si="15"/>
        <v>111</v>
      </c>
      <c r="AA46" s="2069">
        <f t="shared" si="3"/>
        <v>1</v>
      </c>
      <c r="AB46" s="2069">
        <f t="shared" si="4"/>
        <v>1</v>
      </c>
      <c r="AC46" s="2069">
        <f t="shared" si="5"/>
        <v>1</v>
      </c>
    </row>
    <row r="47" spans="1:29" ht="15">
      <c r="A47" s="1781" t="s">
        <v>2287</v>
      </c>
      <c r="B47" s="1782"/>
      <c r="C47" s="1783" t="s">
        <v>1</v>
      </c>
      <c r="D47" s="1784"/>
      <c r="E47" s="1785"/>
      <c r="F47" s="1786"/>
      <c r="G47" s="1787"/>
      <c r="H47" s="1788"/>
      <c r="I47" s="1785"/>
      <c r="J47" s="1788"/>
      <c r="K47" s="2013"/>
      <c r="L47" s="3002"/>
      <c r="N47" s="2997"/>
      <c r="P47" s="3837" t="str">
        <f>A47</f>
        <v>成交单价（元/平方米）</v>
      </c>
      <c r="Q47" s="3837"/>
      <c r="R47" s="3838">
        <f>E47</f>
        <v>0</v>
      </c>
      <c r="S47" s="3838"/>
      <c r="T47" s="3838">
        <f>G47</f>
        <v>0</v>
      </c>
      <c r="U47" s="3838"/>
      <c r="V47" s="3838">
        <f>I47</f>
        <v>0</v>
      </c>
      <c r="W47" s="3838"/>
      <c r="X47" s="1791"/>
      <c r="Y47" s="2073"/>
      <c r="Z47" s="1791"/>
      <c r="AA47" s="1791"/>
      <c r="AB47" s="1791"/>
      <c r="AC47" s="1791"/>
    </row>
    <row r="48" spans="1:29" ht="15.75" thickBot="1">
      <c r="A48" s="1793" t="s">
        <v>2370</v>
      </c>
      <c r="B48" s="1794"/>
      <c r="C48" s="1795" t="e">
        <f>R49</f>
        <v>#DIV/0!</v>
      </c>
      <c r="D48" s="1796" t="s">
        <v>2741</v>
      </c>
      <c r="E48" s="1797" t="e">
        <f>R48</f>
        <v>#DIV/0!</v>
      </c>
      <c r="F48" s="1798"/>
      <c r="G48" s="1795" t="e">
        <f>T48</f>
        <v>#DIV/0!</v>
      </c>
      <c r="H48" s="1798"/>
      <c r="I48" s="1797" t="e">
        <f>V48</f>
        <v>#DIV/0!</v>
      </c>
      <c r="J48" s="1798"/>
      <c r="K48" s="2510">
        <f>F48+H48+J48</f>
        <v>0</v>
      </c>
      <c r="L48" s="3002"/>
      <c r="N48" s="2997"/>
      <c r="P48" s="3837" t="str">
        <f>A48</f>
        <v>比较价值（元/平方米）</v>
      </c>
      <c r="Q48" s="3837"/>
      <c r="R48" s="3838" t="e">
        <f>IF(E1="售价",ROUND(PRODUCT(R47,AA7:AA46),0),ROUND(PRODUCT(R47,AA7:AA46),1))</f>
        <v>#DIV/0!</v>
      </c>
      <c r="S48" s="3838"/>
      <c r="T48" s="3838" t="e">
        <f>IF(E1="售价",ROUND(PRODUCT(T47,AB7:AB46),0),ROUND(PRODUCT(T47,AB7:AB46),1))</f>
        <v>#DIV/0!</v>
      </c>
      <c r="U48" s="3838"/>
      <c r="V48" s="3838" t="e">
        <f>IF(E1="售价",ROUND(PRODUCT(V47,AC7:AC46),0),ROUND(PRODUCT(V47,AC7:AC46),1))</f>
        <v>#DIV/0!</v>
      </c>
      <c r="W48" s="3838"/>
      <c r="X48" s="1791"/>
      <c r="Y48" s="1791"/>
      <c r="Z48" s="1791"/>
      <c r="AA48" s="1791"/>
      <c r="AB48" s="1791"/>
      <c r="AC48" s="1791"/>
    </row>
    <row r="49" spans="1:29" ht="15.75" thickBot="1">
      <c r="A49" s="1799" t="s">
        <v>2371</v>
      </c>
      <c r="B49" s="1800"/>
      <c r="C49" s="1802" t="e">
        <f>R49</f>
        <v>#DIV/0!</v>
      </c>
      <c r="D49" s="1802"/>
      <c r="E49" s="1802"/>
      <c r="F49" s="1802"/>
      <c r="G49" s="1802"/>
      <c r="H49" s="1802"/>
      <c r="I49" s="1802"/>
      <c r="J49" s="1802"/>
      <c r="K49" s="2018"/>
      <c r="L49" s="3002"/>
      <c r="N49" s="2997"/>
      <c r="P49" s="3839" t="str">
        <f>A49</f>
        <v>估价对象XX用房的比较价值（楼面单价，元/平方米）</v>
      </c>
      <c r="Q49" s="3840"/>
      <c r="R49" s="3841" t="e">
        <f>IF(E1="售价",ROUND(IF(D48="简单平均",AVERAGE(R48:V48),R48*F48+T48*H48+V48*J48),0),ROUND(IF(D48="简单平均",AVERAGE(R48:V48),R48*F48+T48*H48+V48*J48),1))</f>
        <v>#DIV/0!</v>
      </c>
      <c r="S49" s="3841"/>
      <c r="T49" s="3841"/>
      <c r="U49" s="3841"/>
      <c r="V49" s="3841"/>
      <c r="W49" s="3841"/>
      <c r="X49" s="1791"/>
      <c r="Y49" s="1791"/>
      <c r="Z49" s="1791"/>
      <c r="AA49" s="1791"/>
      <c r="AB49" s="1791"/>
      <c r="AC49" s="1791"/>
    </row>
    <row r="50" spans="1:29">
      <c r="G50" s="300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2372</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2373</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2374</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2480"/>
      <c r="Q54" s="1811"/>
      <c r="R54" s="1811"/>
      <c r="S54" s="1811"/>
      <c r="T54" s="1811"/>
      <c r="U54" s="1811"/>
      <c r="V54" s="1811"/>
      <c r="W54" s="1811"/>
      <c r="X54" s="1811"/>
      <c r="Y54" s="1811"/>
      <c r="Z54" s="1811"/>
      <c r="AA54" s="1811"/>
      <c r="AB54" s="1811"/>
      <c r="AC54" s="1811"/>
    </row>
    <row r="55" spans="1:29" s="1813" customFormat="1">
      <c r="B55" s="3007"/>
      <c r="C55" s="3008"/>
      <c r="K55" s="3009"/>
      <c r="L55" s="3003"/>
      <c r="P55" s="2480"/>
      <c r="Q55" s="1811"/>
      <c r="R55" s="1811"/>
      <c r="S55" s="1811"/>
      <c r="T55" s="1811"/>
      <c r="U55" s="1811"/>
      <c r="V55" s="1811"/>
      <c r="W55" s="1811"/>
      <c r="X55" s="1811"/>
      <c r="Y55" s="1811"/>
      <c r="Z55" s="1811"/>
      <c r="AA55" s="1811"/>
      <c r="AB55" s="1811"/>
      <c r="AC55" s="1811"/>
    </row>
    <row r="56" spans="1:29">
      <c r="B56" s="3007"/>
      <c r="C56" s="3008"/>
      <c r="P56" s="2479"/>
      <c r="Q56" s="1790"/>
      <c r="R56" s="1790"/>
      <c r="S56" s="1790"/>
      <c r="T56" s="1790"/>
      <c r="U56" s="1790"/>
      <c r="V56" s="1790"/>
      <c r="W56" s="1790"/>
      <c r="X56" s="1790"/>
      <c r="Y56" s="1790"/>
      <c r="Z56" s="1790"/>
      <c r="AA56" s="1790"/>
      <c r="AB56" s="1790"/>
      <c r="AC56" s="1790"/>
    </row>
    <row r="57" spans="1:29" ht="21.75" thickBot="1">
      <c r="A57" s="1816" t="s">
        <v>2375</v>
      </c>
      <c r="B57" s="1791"/>
      <c r="C57" s="1817"/>
      <c r="D57" s="1817"/>
      <c r="E57" s="1817"/>
      <c r="F57" s="1817"/>
      <c r="G57" s="1817"/>
      <c r="H57" s="1817"/>
      <c r="I57" s="1817"/>
      <c r="J57" s="1817"/>
      <c r="K57" s="1818"/>
      <c r="L57" s="2044"/>
      <c r="M57" s="2042"/>
      <c r="N57" s="3005"/>
      <c r="O57" s="3005"/>
      <c r="P57" s="2481"/>
      <c r="Q57" s="2482"/>
      <c r="R57" s="1790"/>
      <c r="S57" s="1790"/>
      <c r="T57" s="1790"/>
      <c r="U57" s="1790"/>
      <c r="V57" s="1790"/>
      <c r="W57" s="1790"/>
      <c r="X57" s="1790"/>
      <c r="Y57" s="1790"/>
      <c r="Z57" s="1790"/>
      <c r="AA57" s="1790"/>
      <c r="AB57" s="1790"/>
      <c r="AC57" s="1790"/>
    </row>
    <row r="58" spans="1:29" s="1827" customFormat="1" ht="15">
      <c r="A58" s="1822" t="s">
        <v>2257</v>
      </c>
      <c r="B58" s="1823"/>
      <c r="C58" s="1824" t="str">
        <f>YEAR(C7)&amp;"-"&amp;MONTH(C7)</f>
        <v>2016-7</v>
      </c>
      <c r="D58" s="1825">
        <f>EDATE(C58,-1)</f>
        <v>42522</v>
      </c>
      <c r="E58" s="1825">
        <f t="shared" ref="E58:O58" si="16">EDATE(D58,-1)</f>
        <v>42491</v>
      </c>
      <c r="F58" s="1825">
        <f t="shared" si="16"/>
        <v>42461</v>
      </c>
      <c r="G58" s="1825">
        <f t="shared" si="16"/>
        <v>42430</v>
      </c>
      <c r="H58" s="1825">
        <f t="shared" si="16"/>
        <v>42401</v>
      </c>
      <c r="I58" s="1825">
        <f t="shared" si="16"/>
        <v>42370</v>
      </c>
      <c r="J58" s="1825">
        <f t="shared" si="16"/>
        <v>42339</v>
      </c>
      <c r="K58" s="1825">
        <f t="shared" si="16"/>
        <v>42309</v>
      </c>
      <c r="L58" s="1825">
        <f t="shared" si="16"/>
        <v>42278</v>
      </c>
      <c r="M58" s="1825">
        <f t="shared" si="16"/>
        <v>42248</v>
      </c>
      <c r="N58" s="1825">
        <f t="shared" si="16"/>
        <v>42217</v>
      </c>
      <c r="O58" s="1825">
        <f t="shared" si="16"/>
        <v>42186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4" customFormat="1" ht="15">
      <c r="A61" s="1839" t="s">
        <v>2259</v>
      </c>
      <c r="B61" s="1829"/>
      <c r="C61" s="1840" t="s">
        <v>2260</v>
      </c>
      <c r="D61" s="409"/>
      <c r="E61" s="409"/>
      <c r="F61" s="409"/>
      <c r="G61" s="409"/>
      <c r="H61" s="409"/>
      <c r="I61" s="409"/>
      <c r="J61" s="409"/>
      <c r="K61" s="409"/>
      <c r="L61" s="409"/>
      <c r="M61" s="1841"/>
      <c r="N61" s="3014"/>
      <c r="O61" s="3014"/>
      <c r="P61" s="1843"/>
      <c r="Q61" s="1821"/>
    </row>
    <row r="62" spans="1:29" s="1684" customFormat="1" ht="15.75" thickBot="1">
      <c r="A62" s="1839"/>
      <c r="B62" s="1829"/>
      <c r="C62" s="1844">
        <v>100</v>
      </c>
      <c r="D62" s="1831"/>
      <c r="E62" s="1831"/>
      <c r="F62" s="1831"/>
      <c r="G62" s="1831"/>
      <c r="H62" s="1831"/>
      <c r="I62" s="1831"/>
      <c r="J62" s="1831"/>
      <c r="K62" s="1831"/>
      <c r="L62" s="1831"/>
      <c r="M62" s="1845"/>
      <c r="N62" s="3014"/>
      <c r="O62" s="3014"/>
      <c r="P62" s="1833"/>
      <c r="Q62" s="1821"/>
    </row>
    <row r="63" spans="1:29">
      <c r="A63" s="1846" t="s">
        <v>2298</v>
      </c>
      <c r="B63" s="1847" t="s">
        <v>2263</v>
      </c>
      <c r="C63" s="1848">
        <f>C9</f>
        <v>0</v>
      </c>
      <c r="D63" s="1849"/>
      <c r="E63" s="1849"/>
      <c r="F63" s="1849"/>
      <c r="G63" s="1849"/>
      <c r="H63" s="1849"/>
      <c r="I63" s="1849"/>
      <c r="J63" s="1849"/>
      <c r="K63" s="417"/>
      <c r="L63" s="417"/>
      <c r="M63" s="1850"/>
      <c r="N63" s="3015"/>
      <c r="O63" s="3015"/>
      <c r="P63" s="1852"/>
      <c r="Q63" s="1821"/>
    </row>
    <row r="64" spans="1:29" ht="15.75" thickBot="1">
      <c r="A64" s="1853"/>
      <c r="B64" s="1854"/>
      <c r="C64" s="1855">
        <v>100</v>
      </c>
      <c r="D64" s="1855"/>
      <c r="E64" s="1855"/>
      <c r="F64" s="1855"/>
      <c r="G64" s="1855"/>
      <c r="H64" s="1855"/>
      <c r="I64" s="1855"/>
      <c r="J64" s="1855"/>
      <c r="K64" s="1855"/>
      <c r="L64" s="1855"/>
      <c r="M64" s="1856"/>
      <c r="N64" s="3016"/>
      <c r="O64" s="3016"/>
      <c r="P64" s="1852"/>
      <c r="Q64" s="1821"/>
    </row>
    <row r="65" spans="1:17" ht="27.75" thickTop="1">
      <c r="A65" s="1853"/>
      <c r="B65" s="1858" t="s">
        <v>2266</v>
      </c>
      <c r="C65" s="1859" t="s">
        <v>2299</v>
      </c>
      <c r="D65" s="1859" t="s">
        <v>2300</v>
      </c>
      <c r="E65" s="1859" t="s">
        <v>2301</v>
      </c>
      <c r="F65" s="1859" t="s">
        <v>2302</v>
      </c>
      <c r="G65" s="1859" t="s">
        <v>2303</v>
      </c>
      <c r="H65" s="1859" t="s">
        <v>2304</v>
      </c>
      <c r="I65" s="1859" t="s">
        <v>2305</v>
      </c>
      <c r="J65" s="1859"/>
      <c r="K65" s="428"/>
      <c r="L65" s="428"/>
      <c r="M65" s="1860"/>
      <c r="N65" s="3015"/>
      <c r="O65" s="301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6"/>
      <c r="O66" s="3016"/>
      <c r="P66" s="1852"/>
      <c r="Q66" s="1821"/>
    </row>
    <row r="67" spans="1:17" ht="15.75" thickTop="1">
      <c r="A67" s="1853"/>
      <c r="B67" s="1864" t="s">
        <v>2267</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6"/>
      <c r="O67" s="3016"/>
      <c r="P67" s="1852"/>
      <c r="Q67" s="1821"/>
    </row>
    <row r="68" spans="1:17" ht="15">
      <c r="A68" s="1853"/>
      <c r="B68" s="1866"/>
      <c r="C68" s="1867"/>
      <c r="D68" s="1867"/>
      <c r="E68" s="1867"/>
      <c r="F68" s="1867"/>
      <c r="G68" s="1867"/>
      <c r="H68" s="1867"/>
      <c r="I68" s="1867"/>
      <c r="J68" s="1867"/>
      <c r="K68" s="438"/>
      <c r="L68" s="438"/>
      <c r="M68" s="1868"/>
      <c r="N68" s="3015"/>
      <c r="O68" s="301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6"/>
      <c r="O69" s="3016"/>
      <c r="P69" s="1852"/>
      <c r="Q69" s="1821"/>
    </row>
    <row r="70" spans="1:17" s="1771" customFormat="1" ht="15.75" thickTop="1">
      <c r="A70" s="1869"/>
      <c r="B70" s="1858">
        <f>B12</f>
        <v>111</v>
      </c>
      <c r="C70" s="468"/>
      <c r="D70" s="468"/>
      <c r="E70" s="468"/>
      <c r="F70" s="468"/>
      <c r="G70" s="468"/>
      <c r="H70" s="443"/>
      <c r="I70" s="443"/>
      <c r="J70" s="443"/>
      <c r="K70" s="443"/>
      <c r="L70" s="443"/>
      <c r="M70" s="1870"/>
      <c r="N70" s="3017"/>
      <c r="O70" s="3017"/>
      <c r="P70" s="1872"/>
      <c r="Q70" s="1873"/>
    </row>
    <row r="71" spans="1:17" s="1771" customFormat="1" ht="15.75" thickBot="1">
      <c r="A71" s="1869"/>
      <c r="B71" s="1861"/>
      <c r="C71" s="1874"/>
      <c r="D71" s="1855"/>
      <c r="E71" s="1855"/>
      <c r="F71" s="1855"/>
      <c r="G71" s="1855"/>
      <c r="H71" s="1855"/>
      <c r="I71" s="1855"/>
      <c r="J71" s="1855"/>
      <c r="K71" s="1855"/>
      <c r="L71" s="1855"/>
      <c r="M71" s="1856"/>
      <c r="N71" s="3016"/>
      <c r="O71" s="3016"/>
      <c r="P71" s="1872"/>
      <c r="Q71" s="1873"/>
    </row>
    <row r="72" spans="1:17" s="1771" customFormat="1" ht="15.75" thickTop="1">
      <c r="A72" s="1869"/>
      <c r="B72" s="1858">
        <f>B13</f>
        <v>111</v>
      </c>
      <c r="C72" s="468"/>
      <c r="D72" s="468"/>
      <c r="E72" s="468"/>
      <c r="F72" s="468"/>
      <c r="G72" s="468"/>
      <c r="H72" s="443"/>
      <c r="I72" s="443"/>
      <c r="J72" s="443"/>
      <c r="K72" s="443"/>
      <c r="L72" s="443"/>
      <c r="M72" s="1870"/>
      <c r="N72" s="3017"/>
      <c r="O72" s="3017"/>
      <c r="P72" s="1875"/>
      <c r="Q72" s="1876"/>
    </row>
    <row r="73" spans="1:17" s="1771" customFormat="1" ht="15.75" thickBot="1">
      <c r="A73" s="1869"/>
      <c r="B73" s="1861"/>
      <c r="C73" s="1874"/>
      <c r="D73" s="1855"/>
      <c r="E73" s="1855"/>
      <c r="F73" s="1855"/>
      <c r="G73" s="1874"/>
      <c r="H73" s="1877"/>
      <c r="I73" s="1877"/>
      <c r="J73" s="1877"/>
      <c r="K73" s="1877"/>
      <c r="L73" s="1877"/>
      <c r="M73" s="1878"/>
      <c r="N73" s="3017"/>
      <c r="O73" s="3017"/>
      <c r="P73" s="1872"/>
      <c r="Q73" s="1873"/>
    </row>
    <row r="74" spans="1:17" s="1771" customFormat="1" ht="15.75" thickTop="1">
      <c r="A74" s="1869"/>
      <c r="B74" s="1864">
        <f>B14</f>
        <v>111</v>
      </c>
      <c r="C74" s="468"/>
      <c r="D74" s="468"/>
      <c r="E74" s="468"/>
      <c r="F74" s="468"/>
      <c r="G74" s="409"/>
      <c r="H74" s="453"/>
      <c r="I74" s="453"/>
      <c r="J74" s="453"/>
      <c r="K74" s="453"/>
      <c r="L74" s="453"/>
      <c r="M74" s="1879"/>
      <c r="N74" s="3017"/>
      <c r="O74" s="3017"/>
      <c r="P74" s="1872"/>
      <c r="Q74" s="1873"/>
    </row>
    <row r="75" spans="1:17" s="1771" customFormat="1" ht="15.75" thickBot="1">
      <c r="A75" s="1880"/>
      <c r="B75" s="1881"/>
      <c r="C75" s="1882"/>
      <c r="D75" s="1882"/>
      <c r="E75" s="1882"/>
      <c r="F75" s="1882"/>
      <c r="G75" s="1882"/>
      <c r="H75" s="1883"/>
      <c r="I75" s="1883"/>
      <c r="J75" s="1883"/>
      <c r="K75" s="1883"/>
      <c r="L75" s="1883"/>
      <c r="M75" s="1884"/>
      <c r="N75" s="3017"/>
      <c r="O75" s="3017"/>
      <c r="P75" s="1872"/>
      <c r="Q75" s="1873"/>
    </row>
    <row r="76" spans="1:17">
      <c r="A76" s="1846" t="s">
        <v>2268</v>
      </c>
      <c r="B76" s="1847" t="s">
        <v>2306</v>
      </c>
      <c r="C76" s="1885" t="s">
        <v>2307</v>
      </c>
      <c r="D76" s="1885" t="s">
        <v>2308</v>
      </c>
      <c r="E76" s="1885" t="s">
        <v>2309</v>
      </c>
      <c r="F76" s="1885" t="s">
        <v>2310</v>
      </c>
      <c r="G76" s="1885" t="s">
        <v>2311</v>
      </c>
      <c r="H76" s="1848"/>
      <c r="I76" s="1848"/>
      <c r="J76" s="1848"/>
      <c r="K76" s="463"/>
      <c r="L76" s="463"/>
      <c r="M76" s="1886"/>
      <c r="N76" s="3015"/>
      <c r="O76" s="301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6"/>
      <c r="O77" s="3016"/>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3015"/>
      <c r="O78" s="301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6"/>
      <c r="O79" s="3016"/>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3015"/>
      <c r="O80" s="301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6"/>
      <c r="O81" s="3016"/>
      <c r="P81" s="1852"/>
      <c r="Q81" s="1821"/>
    </row>
    <row r="82" spans="1:17" ht="15.75" thickTop="1">
      <c r="A82" s="1853"/>
      <c r="B82" s="1864" t="s">
        <v>2356</v>
      </c>
      <c r="C82" s="1859" t="s">
        <v>2314</v>
      </c>
      <c r="D82" s="1859" t="s">
        <v>2315</v>
      </c>
      <c r="E82" s="1859" t="s">
        <v>2316</v>
      </c>
      <c r="F82" s="1859" t="s">
        <v>2317</v>
      </c>
      <c r="G82" s="1859" t="s">
        <v>2318</v>
      </c>
      <c r="H82" s="1859"/>
      <c r="I82" s="1859"/>
      <c r="J82" s="1859"/>
      <c r="K82" s="1859"/>
      <c r="L82" s="1859"/>
      <c r="M82" s="1887"/>
      <c r="N82" s="3016"/>
      <c r="O82" s="301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6"/>
      <c r="O83" s="3016"/>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3015"/>
      <c r="O84" s="301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6"/>
      <c r="O85" s="3016"/>
      <c r="P85" s="1852"/>
      <c r="Q85" s="1821"/>
    </row>
    <row r="86" spans="1:17" s="1684" customFormat="1" ht="15.75" thickTop="1">
      <c r="A86" s="1889"/>
      <c r="B86" s="1858" t="s">
        <v>2376</v>
      </c>
      <c r="C86" s="468"/>
      <c r="D86" s="468"/>
      <c r="E86" s="468"/>
      <c r="F86" s="468"/>
      <c r="G86" s="468"/>
      <c r="H86" s="468"/>
      <c r="I86" s="468"/>
      <c r="J86" s="468"/>
      <c r="K86" s="468"/>
      <c r="L86" s="468"/>
      <c r="M86" s="1890"/>
      <c r="N86" s="3014"/>
      <c r="O86" s="3014"/>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6"/>
      <c r="O87" s="3016"/>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4"/>
      <c r="O88" s="3014"/>
      <c r="P88" s="1852"/>
      <c r="Q88" s="1821"/>
    </row>
    <row r="89" spans="1:17" s="1684" customFormat="1" ht="15.75" thickBot="1">
      <c r="A89" s="1889"/>
      <c r="B89" s="1861"/>
      <c r="C89" s="1874"/>
      <c r="D89" s="1855"/>
      <c r="E89" s="1855"/>
      <c r="F89" s="1855"/>
      <c r="G89" s="1855"/>
      <c r="H89" s="1855"/>
      <c r="I89" s="1855"/>
      <c r="J89" s="1855"/>
      <c r="K89" s="1855"/>
      <c r="L89" s="1855"/>
      <c r="M89" s="1855"/>
      <c r="N89" s="3016"/>
      <c r="O89" s="301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7"/>
      <c r="O90" s="301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7"/>
      <c r="O91" s="3017"/>
      <c r="P91" s="1872"/>
      <c r="Q91" s="1873"/>
    </row>
    <row r="92" spans="1:17" ht="15.75" thickTop="1">
      <c r="A92" s="1853"/>
      <c r="B92" s="1858" t="str">
        <f>B28</f>
        <v>楼层</v>
      </c>
      <c r="C92" s="468"/>
      <c r="D92" s="468"/>
      <c r="E92" s="468"/>
      <c r="F92" s="468"/>
      <c r="G92" s="468"/>
      <c r="H92" s="468"/>
      <c r="I92" s="468"/>
      <c r="J92" s="468"/>
      <c r="K92" s="468"/>
      <c r="L92" s="468"/>
      <c r="M92" s="1890"/>
      <c r="N92" s="3015"/>
      <c r="O92" s="3015"/>
      <c r="P92" s="1852"/>
      <c r="Q92" s="1821"/>
    </row>
    <row r="93" spans="1:17" ht="15.75" thickBot="1">
      <c r="A93" s="1853"/>
      <c r="B93" s="1861"/>
      <c r="C93" s="1855"/>
      <c r="D93" s="1855"/>
      <c r="E93" s="1855"/>
      <c r="F93" s="1855"/>
      <c r="G93" s="1855"/>
      <c r="H93" s="1855"/>
      <c r="I93" s="1855"/>
      <c r="J93" s="1855"/>
      <c r="K93" s="1855"/>
      <c r="L93" s="1855"/>
      <c r="M93" s="1856"/>
      <c r="N93" s="3016"/>
      <c r="O93" s="3016"/>
      <c r="P93" s="1852"/>
      <c r="Q93" s="1821"/>
    </row>
    <row r="94" spans="1:17" ht="15.75" thickTop="1">
      <c r="A94" s="1853"/>
      <c r="B94" s="1858">
        <f>B29</f>
        <v>111</v>
      </c>
      <c r="C94" s="468"/>
      <c r="D94" s="468"/>
      <c r="E94" s="468"/>
      <c r="F94" s="468"/>
      <c r="G94" s="1578"/>
      <c r="H94" s="1578"/>
      <c r="I94" s="1578"/>
      <c r="J94" s="1578"/>
      <c r="K94" s="473"/>
      <c r="L94" s="473"/>
      <c r="M94" s="1893"/>
      <c r="N94" s="3015"/>
      <c r="O94" s="3015"/>
      <c r="P94" s="1852"/>
      <c r="Q94" s="1821"/>
    </row>
    <row r="95" spans="1:17" ht="15.75" thickBot="1">
      <c r="A95" s="1853"/>
      <c r="B95" s="1861"/>
      <c r="C95" s="1874"/>
      <c r="D95" s="1855"/>
      <c r="E95" s="1855"/>
      <c r="F95" s="1855"/>
      <c r="G95" s="1855"/>
      <c r="H95" s="1855"/>
      <c r="I95" s="1855"/>
      <c r="J95" s="1855"/>
      <c r="K95" s="1855"/>
      <c r="L95" s="1855"/>
      <c r="M95" s="1856"/>
      <c r="N95" s="3016"/>
      <c r="O95" s="3016"/>
      <c r="P95" s="1852"/>
      <c r="Q95" s="1821"/>
    </row>
    <row r="96" spans="1:17" ht="15.75" thickTop="1">
      <c r="A96" s="1853"/>
      <c r="B96" s="1858">
        <f>B30</f>
        <v>111</v>
      </c>
      <c r="C96" s="468"/>
      <c r="D96" s="468"/>
      <c r="E96" s="468"/>
      <c r="F96" s="468"/>
      <c r="G96" s="1578"/>
      <c r="H96" s="1578"/>
      <c r="I96" s="1578"/>
      <c r="J96" s="1578"/>
      <c r="K96" s="473"/>
      <c r="L96" s="473"/>
      <c r="M96" s="1893"/>
      <c r="N96" s="3015"/>
      <c r="O96" s="3015"/>
      <c r="P96" s="1852"/>
      <c r="Q96" s="1821"/>
    </row>
    <row r="97" spans="1:17" ht="15.75" thickBot="1">
      <c r="A97" s="1853"/>
      <c r="B97" s="1861"/>
      <c r="C97" s="1874"/>
      <c r="D97" s="1855"/>
      <c r="E97" s="1855"/>
      <c r="F97" s="1855"/>
      <c r="G97" s="1855"/>
      <c r="H97" s="1855"/>
      <c r="I97" s="1855"/>
      <c r="J97" s="1855"/>
      <c r="K97" s="1855"/>
      <c r="L97" s="1855"/>
      <c r="M97" s="1856"/>
      <c r="N97" s="3016"/>
      <c r="O97" s="3016"/>
      <c r="P97" s="1852"/>
      <c r="Q97" s="1821"/>
    </row>
    <row r="98" spans="1:17" ht="15.75" thickTop="1">
      <c r="A98" s="1853"/>
      <c r="B98" s="1864">
        <f>B31</f>
        <v>111</v>
      </c>
      <c r="C98" s="468"/>
      <c r="D98" s="468"/>
      <c r="E98" s="468"/>
      <c r="F98" s="468"/>
      <c r="G98" s="1894"/>
      <c r="H98" s="1894"/>
      <c r="I98" s="1894"/>
      <c r="J98" s="1894"/>
      <c r="K98" s="477"/>
      <c r="L98" s="477"/>
      <c r="M98" s="1895"/>
      <c r="N98" s="3015"/>
      <c r="O98" s="3015"/>
      <c r="P98" s="1852"/>
      <c r="Q98" s="1821"/>
    </row>
    <row r="99" spans="1:17" ht="15.75" thickBot="1">
      <c r="A99" s="1896"/>
      <c r="B99" s="1881"/>
      <c r="C99" s="1882"/>
      <c r="D99" s="1882"/>
      <c r="E99" s="1882"/>
      <c r="F99" s="1882"/>
      <c r="G99" s="1897"/>
      <c r="H99" s="1897"/>
      <c r="I99" s="1897"/>
      <c r="J99" s="1897"/>
      <c r="K99" s="1897"/>
      <c r="L99" s="1897"/>
      <c r="M99" s="1898"/>
      <c r="N99" s="3016"/>
      <c r="O99" s="3016"/>
      <c r="P99" s="1852"/>
      <c r="Q99" s="1821"/>
    </row>
    <row r="100" spans="1:17">
      <c r="A100" s="1846" t="s">
        <v>2273</v>
      </c>
      <c r="B100" s="1847" t="s">
        <v>2377</v>
      </c>
      <c r="C100" s="1849"/>
      <c r="D100" s="1849"/>
      <c r="E100" s="1849"/>
      <c r="F100" s="1849"/>
      <c r="G100" s="1849"/>
      <c r="H100" s="1849"/>
      <c r="I100" s="1849"/>
      <c r="J100" s="1849"/>
      <c r="K100" s="417"/>
      <c r="L100" s="417"/>
      <c r="M100" s="1850"/>
      <c r="N100" s="3015"/>
      <c r="O100" s="301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6"/>
      <c r="O101" s="3016"/>
      <c r="P101" s="1852"/>
      <c r="Q101" s="1821"/>
    </row>
    <row r="102" spans="1:17" ht="15.75" thickTop="1">
      <c r="A102" s="1853"/>
      <c r="B102" s="1858"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4"/>
      <c r="O102" s="3014"/>
      <c r="P102" s="1852"/>
      <c r="Q102" s="1821"/>
    </row>
    <row r="103" spans="1:17" s="1771" customFormat="1">
      <c r="A103" s="1899"/>
      <c r="B103" s="1900"/>
      <c r="C103" s="1901"/>
      <c r="D103" s="1901"/>
      <c r="E103" s="1901"/>
      <c r="F103" s="1901"/>
      <c r="G103" s="1901"/>
      <c r="H103" s="1901"/>
      <c r="I103" s="1901"/>
      <c r="J103" s="485"/>
      <c r="K103" s="485"/>
      <c r="L103" s="485"/>
      <c r="M103" s="1902"/>
      <c r="N103" s="3017"/>
      <c r="O103" s="301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6"/>
      <c r="O104" s="3016"/>
      <c r="P104" s="1872"/>
      <c r="Q104" s="1873"/>
    </row>
    <row r="105" spans="1:17" ht="15" thickTop="1">
      <c r="A105" s="1903"/>
      <c r="B105" s="1858" t="s">
        <v>2324</v>
      </c>
      <c r="C105" s="468"/>
      <c r="D105" s="468"/>
      <c r="E105" s="1578"/>
      <c r="F105" s="1578"/>
      <c r="G105" s="1578"/>
      <c r="H105" s="1578"/>
      <c r="I105" s="1578"/>
      <c r="J105" s="1578"/>
      <c r="K105" s="473"/>
      <c r="L105" s="473"/>
      <c r="M105" s="1893"/>
      <c r="N105" s="3015"/>
      <c r="O105" s="301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6"/>
      <c r="O106" s="3016"/>
      <c r="P106" s="1852"/>
      <c r="Q106" s="1821"/>
    </row>
    <row r="107" spans="1:17" ht="15" thickTop="1">
      <c r="A107" s="1903"/>
      <c r="B107" s="1858" t="s">
        <v>2326</v>
      </c>
      <c r="C107" s="468"/>
      <c r="D107" s="468"/>
      <c r="E107" s="468"/>
      <c r="F107" s="1578"/>
      <c r="G107" s="1578"/>
      <c r="H107" s="1578"/>
      <c r="I107" s="1578"/>
      <c r="J107" s="1578"/>
      <c r="K107" s="473"/>
      <c r="L107" s="473"/>
      <c r="M107" s="1893"/>
      <c r="N107" s="3015"/>
      <c r="O107" s="301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6"/>
      <c r="O108" s="3016"/>
      <c r="P108" s="1852"/>
      <c r="Q108" s="1821"/>
    </row>
    <row r="109" spans="1:17" ht="15" thickTop="1">
      <c r="A109" s="1903"/>
      <c r="B109" s="1858"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5"/>
      <c r="O109" s="301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5"/>
      <c r="O110" s="301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6"/>
      <c r="O111" s="3016"/>
      <c r="P111" s="1852"/>
      <c r="Q111" s="1821"/>
    </row>
    <row r="112" spans="1:17" s="1771" customFormat="1" ht="15" thickTop="1">
      <c r="A112" s="1899"/>
      <c r="B112" s="1858" t="s">
        <v>2329</v>
      </c>
      <c r="C112" s="468"/>
      <c r="D112" s="468"/>
      <c r="E112" s="468"/>
      <c r="F112" s="468"/>
      <c r="G112" s="468"/>
      <c r="H112" s="1578"/>
      <c r="I112" s="1578"/>
      <c r="J112" s="1578"/>
      <c r="K112" s="473"/>
      <c r="L112" s="473"/>
      <c r="M112" s="1893"/>
      <c r="N112" s="3017"/>
      <c r="O112" s="301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7"/>
      <c r="O113" s="3017"/>
      <c r="P113" s="1872"/>
      <c r="Q113" s="1873"/>
    </row>
    <row r="114" spans="1:17" ht="15" thickTop="1">
      <c r="A114" s="1903"/>
      <c r="B114" s="1858" t="s">
        <v>2378</v>
      </c>
      <c r="C114" s="468"/>
      <c r="D114" s="468"/>
      <c r="E114" s="1578"/>
      <c r="F114" s="1578"/>
      <c r="G114" s="1578"/>
      <c r="H114" s="1578"/>
      <c r="I114" s="1578"/>
      <c r="J114" s="1578"/>
      <c r="K114" s="473"/>
      <c r="L114" s="473"/>
      <c r="M114" s="1893"/>
      <c r="N114" s="3015"/>
      <c r="O114" s="301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6"/>
      <c r="O115" s="3016"/>
      <c r="P115" s="1852"/>
      <c r="Q115" s="1821"/>
    </row>
    <row r="116" spans="1:17" ht="15" thickTop="1">
      <c r="A116" s="1903"/>
      <c r="B116" s="1858" t="s">
        <v>2379</v>
      </c>
      <c r="C116" s="468"/>
      <c r="D116" s="468"/>
      <c r="E116" s="468"/>
      <c r="F116" s="468"/>
      <c r="G116" s="468"/>
      <c r="H116" s="1578"/>
      <c r="I116" s="1578"/>
      <c r="J116" s="1578"/>
      <c r="K116" s="473"/>
      <c r="L116" s="473"/>
      <c r="M116" s="1893"/>
      <c r="N116" s="3015"/>
      <c r="O116" s="301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6"/>
      <c r="O117" s="3016"/>
      <c r="P117" s="1852"/>
      <c r="Q117" s="1821"/>
    </row>
    <row r="118" spans="1:17" ht="15" thickTop="1">
      <c r="A118" s="1903"/>
      <c r="B118" s="1858" t="s">
        <v>2380</v>
      </c>
      <c r="C118" s="2485"/>
      <c r="D118" s="2485"/>
      <c r="E118" s="2485"/>
      <c r="F118" s="2485"/>
      <c r="G118" s="2485"/>
      <c r="H118" s="443"/>
      <c r="I118" s="443"/>
      <c r="J118" s="443"/>
      <c r="K118" s="443"/>
      <c r="L118" s="443"/>
      <c r="M118" s="1870"/>
      <c r="N118" s="3015"/>
      <c r="O118" s="3015"/>
      <c r="P118" s="1852"/>
      <c r="Q118" s="1821"/>
    </row>
    <row r="119" spans="1:17" ht="15.75" thickBot="1">
      <c r="A119" s="1853"/>
      <c r="B119" s="1861"/>
      <c r="C119" s="1874"/>
      <c r="D119" s="1855"/>
      <c r="E119" s="1855"/>
      <c r="F119" s="1855"/>
      <c r="G119" s="1855"/>
      <c r="H119" s="1855"/>
      <c r="I119" s="1855"/>
      <c r="J119" s="1855"/>
      <c r="K119" s="1855"/>
      <c r="L119" s="1855"/>
      <c r="M119" s="1856"/>
      <c r="N119" s="3016"/>
      <c r="O119" s="3016"/>
      <c r="P119" s="1852"/>
      <c r="Q119" s="1821"/>
    </row>
    <row r="120" spans="1:17" s="1771" customFormat="1" ht="15" thickTop="1">
      <c r="A120" s="1899"/>
      <c r="B120" s="1858" t="s">
        <v>2381</v>
      </c>
      <c r="C120" s="1578"/>
      <c r="D120" s="1578"/>
      <c r="E120" s="1578"/>
      <c r="F120" s="1578"/>
      <c r="G120" s="443"/>
      <c r="H120" s="443"/>
      <c r="I120" s="443"/>
      <c r="J120" s="443"/>
      <c r="K120" s="443"/>
      <c r="L120" s="443"/>
      <c r="M120" s="1870"/>
      <c r="N120" s="3017"/>
      <c r="O120" s="301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7"/>
      <c r="O121" s="3017"/>
      <c r="P121" s="1872"/>
      <c r="Q121" s="1873"/>
    </row>
    <row r="122" spans="1:17" ht="15" thickTop="1">
      <c r="A122" s="1903"/>
      <c r="B122" s="1858" t="s">
        <v>2331</v>
      </c>
      <c r="C122" s="468"/>
      <c r="D122" s="468"/>
      <c r="E122" s="468"/>
      <c r="F122" s="1578"/>
      <c r="G122" s="1578"/>
      <c r="H122" s="1578"/>
      <c r="I122" s="1578"/>
      <c r="J122" s="1578"/>
      <c r="K122" s="473"/>
      <c r="L122" s="473"/>
      <c r="M122" s="1893"/>
      <c r="N122" s="3015"/>
      <c r="O122" s="301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6"/>
      <c r="O123" s="3016"/>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3015"/>
      <c r="O124" s="301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6"/>
      <c r="O125" s="301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7"/>
      <c r="O126" s="301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7"/>
      <c r="O127" s="3017"/>
      <c r="P127" s="1872"/>
      <c r="Q127" s="1873"/>
    </row>
    <row r="128" spans="1:17" ht="15" thickTop="1">
      <c r="A128" s="1903"/>
      <c r="B128" s="1858">
        <f>B45</f>
        <v>111</v>
      </c>
      <c r="C128" s="468"/>
      <c r="D128" s="468"/>
      <c r="E128" s="468"/>
      <c r="F128" s="468"/>
      <c r="G128" s="1578"/>
      <c r="H128" s="1578"/>
      <c r="I128" s="1578"/>
      <c r="J128" s="1578"/>
      <c r="K128" s="473"/>
      <c r="L128" s="473"/>
      <c r="M128" s="1893"/>
      <c r="N128" s="3015"/>
      <c r="O128" s="3015"/>
      <c r="P128" s="1852"/>
      <c r="Q128" s="1821"/>
    </row>
    <row r="129" spans="1:17" ht="15.75" thickBot="1">
      <c r="A129" s="1853"/>
      <c r="B129" s="1861"/>
      <c r="C129" s="1874"/>
      <c r="D129" s="1855"/>
      <c r="E129" s="1855"/>
      <c r="F129" s="1855"/>
      <c r="G129" s="1855"/>
      <c r="H129" s="1855"/>
      <c r="I129" s="1855"/>
      <c r="J129" s="1855"/>
      <c r="K129" s="1855"/>
      <c r="L129" s="1855"/>
      <c r="M129" s="1856"/>
      <c r="N129" s="3016"/>
      <c r="O129" s="3016"/>
      <c r="P129" s="1852"/>
      <c r="Q129" s="1821"/>
    </row>
    <row r="130" spans="1:17" ht="15" thickTop="1">
      <c r="A130" s="1903"/>
      <c r="B130" s="1864">
        <f>B46</f>
        <v>111</v>
      </c>
      <c r="C130" s="468"/>
      <c r="D130" s="468"/>
      <c r="E130" s="468"/>
      <c r="F130" s="468"/>
      <c r="G130" s="1894"/>
      <c r="H130" s="1894"/>
      <c r="I130" s="1894"/>
      <c r="J130" s="1894"/>
      <c r="K130" s="409"/>
      <c r="L130" s="409"/>
      <c r="M130" s="1895"/>
      <c r="N130" s="3015"/>
      <c r="O130" s="3015"/>
      <c r="P130" s="1852"/>
      <c r="Q130" s="1821"/>
    </row>
    <row r="131" spans="1:17" ht="15.75" thickBot="1">
      <c r="A131" s="1896"/>
      <c r="B131" s="1881"/>
      <c r="C131" s="1882"/>
      <c r="D131" s="1882"/>
      <c r="E131" s="1882"/>
      <c r="F131" s="1882"/>
      <c r="G131" s="1897"/>
      <c r="H131" s="1897"/>
      <c r="I131" s="1897"/>
      <c r="J131" s="1897"/>
      <c r="K131" s="1897"/>
      <c r="L131" s="1897"/>
      <c r="M131" s="1898"/>
      <c r="N131" s="3016"/>
      <c r="O131" s="3016"/>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7"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C000000}">
      <formula1>商业公共部分装修</formula1>
    </dataValidation>
    <dataValidation type="list" allowBlank="1" showInputMessage="1" showErrorMessage="1" sqref="C37 E37 G37 I37" xr:uid="{00000000-0002-0000-1500-00000D000000}">
      <formula1>商业基础设施水平</formula1>
    </dataValidation>
    <dataValidation type="list" allowBlank="1" showInputMessage="1" showErrorMessage="1" sqref="C41 E41 G41 I41" xr:uid="{00000000-0002-0000-1500-00000E000000}">
      <formula1>商业进深比</formula1>
    </dataValidation>
    <dataValidation type="list" allowBlank="1" showInputMessage="1" showErrorMessage="1" sqref="C42 E42 G42 I42" xr:uid="{00000000-0002-0000-1500-00000F000000}">
      <formula1>商业内部装修</formula1>
    </dataValidation>
    <dataValidation type="list" allowBlank="1" showInputMessage="1" showErrorMessage="1" sqref="E9 G9 I9" xr:uid="{00000000-0002-0000-1500-000010000000}">
      <formula1>商业用途</formula1>
    </dataValidation>
    <dataValidation type="list" allowBlank="1" showInputMessage="1" showErrorMessage="1" sqref="C38 E38 G38 I38" xr:uid="{00000000-0002-0000-1500-000011000000}">
      <formula1>商业业态</formula1>
    </dataValidation>
    <dataValidation type="list" allowBlank="1" showInputMessage="1" showErrorMessage="1" sqref="C39 E39 G39 I39" xr:uid="{00000000-0002-0000-1500-000012000000}">
      <formula1>商业层高</formula1>
    </dataValidation>
    <dataValidation type="list" allowBlank="1" showInputMessage="1" showErrorMessage="1" sqref="C8 E8 G8 I8" xr:uid="{00000000-0002-0000-1500-000013000000}">
      <formula1>商业交易情况</formula1>
    </dataValidation>
    <dataValidation type="list" allowBlank="1" showInputMessage="1" showErrorMessage="1" sqref="C16 E16 G16 I16" xr:uid="{00000000-0002-0000-1500-000014000000}">
      <formula1>商业繁华度</formula1>
    </dataValidation>
    <dataValidation type="list" allowBlank="1" showInputMessage="1" showErrorMessage="1" sqref="C1" xr:uid="{00000000-0002-0000-1500-000015000000}">
      <formula1>"估价对象,仅计算典型户型"</formula1>
    </dataValidation>
    <dataValidation type="list" allowBlank="1" showInputMessage="1" showErrorMessage="1" sqref="C22 E22 G22 I22" xr:uid="{00000000-0002-0000-1500-000016000000}">
      <formula1>基础设施水平</formula1>
    </dataValidation>
    <dataValidation type="list" allowBlank="1" showInputMessage="1" showErrorMessage="1" sqref="E1" xr:uid="{00000000-0002-0000-1500-000017000000}">
      <formula1>"售价,租金"</formula1>
    </dataValidation>
    <dataValidation type="list" allowBlank="1" showInputMessage="1" showErrorMessage="1" sqref="D2" xr:uid="{00000000-0002-0000-1500-000018000000}">
      <formula1>"需扣减承租人权益,——"</formula1>
    </dataValidation>
    <dataValidation type="list" allowBlank="1" showInputMessage="1" showErrorMessage="1" sqref="G2" xr:uid="{00000000-0002-0000-1500-000019000000}">
      <formula1>估价方法</formula1>
    </dataValidation>
    <dataValidation type="list" allowBlank="1" showInputMessage="1" showErrorMessage="1" sqref="D48" xr:uid="{00000000-0002-0000-15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459.68</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19" t="s">
        <v>2245</v>
      </c>
      <c r="D4" s="4120"/>
      <c r="E4" s="4121" t="s">
        <v>2246</v>
      </c>
      <c r="F4" s="4122"/>
      <c r="G4" s="4119" t="s">
        <v>2247</v>
      </c>
      <c r="H4" s="4120"/>
      <c r="I4" s="4119" t="s">
        <v>2248</v>
      </c>
      <c r="J4" s="4120"/>
      <c r="K4" s="496" t="s">
        <v>2249</v>
      </c>
      <c r="L4" s="3024"/>
      <c r="M4" s="3025"/>
      <c r="N4" s="3025"/>
      <c r="O4" s="3025"/>
      <c r="P4" s="4123" t="s">
        <v>2250</v>
      </c>
      <c r="Q4" s="4124"/>
      <c r="R4" s="4106" t="s">
        <v>2246</v>
      </c>
      <c r="S4" s="4107"/>
      <c r="T4" s="4106" t="s">
        <v>2247</v>
      </c>
      <c r="U4" s="4107"/>
      <c r="V4" s="4129" t="s">
        <v>2248</v>
      </c>
      <c r="W4" s="4129"/>
      <c r="X4" s="1335"/>
      <c r="Y4" s="4106" t="s">
        <v>2250</v>
      </c>
      <c r="Z4" s="4107"/>
      <c r="AA4" s="4116" t="s">
        <v>2246</v>
      </c>
      <c r="AB4" s="4117" t="s">
        <v>2247</v>
      </c>
      <c r="AC4" s="4116" t="s">
        <v>2248</v>
      </c>
    </row>
    <row r="5" spans="1:29" ht="15">
      <c r="A5" s="297"/>
      <c r="B5" s="298"/>
      <c r="C5" s="4132" t="s">
        <v>2251</v>
      </c>
      <c r="D5" s="4133"/>
      <c r="E5" s="4130" t="s">
        <v>2252</v>
      </c>
      <c r="F5" s="4131"/>
      <c r="G5" s="4132" t="s">
        <v>2253</v>
      </c>
      <c r="H5" s="4133"/>
      <c r="I5" s="4132" t="s">
        <v>2254</v>
      </c>
      <c r="J5" s="4133"/>
      <c r="K5" s="496"/>
      <c r="L5" s="3024"/>
      <c r="M5" s="3025"/>
      <c r="N5" s="3025"/>
      <c r="O5" s="3025"/>
      <c r="P5" s="4125"/>
      <c r="Q5" s="4126"/>
      <c r="R5" s="4108"/>
      <c r="S5" s="4109"/>
      <c r="T5" s="4108"/>
      <c r="U5" s="4109"/>
      <c r="V5" s="4129"/>
      <c r="W5" s="4129"/>
      <c r="X5" s="1335"/>
      <c r="Y5" s="4108"/>
      <c r="Z5" s="4109"/>
      <c r="AA5" s="4117"/>
      <c r="AB5" s="4117"/>
      <c r="AC5" s="4117"/>
    </row>
    <row r="6" spans="1:29" ht="15.75" thickBot="1">
      <c r="A6" s="299"/>
      <c r="B6" s="300"/>
      <c r="C6" s="4134" t="s">
        <v>2255</v>
      </c>
      <c r="D6" s="4135"/>
      <c r="E6" s="4136" t="s">
        <v>2255</v>
      </c>
      <c r="F6" s="4137"/>
      <c r="G6" s="4134" t="s">
        <v>2255</v>
      </c>
      <c r="H6" s="4135"/>
      <c r="I6" s="4134" t="s">
        <v>2255</v>
      </c>
      <c r="J6" s="4135"/>
      <c r="K6" s="496" t="s">
        <v>2256</v>
      </c>
      <c r="L6" s="3024"/>
      <c r="M6" s="3025"/>
      <c r="N6" s="3025"/>
      <c r="O6" s="3025"/>
      <c r="P6" s="4127"/>
      <c r="Q6" s="4128"/>
      <c r="R6" s="4108"/>
      <c r="S6" s="4109"/>
      <c r="T6" s="4110"/>
      <c r="U6" s="4111"/>
      <c r="V6" s="4129"/>
      <c r="W6" s="4129"/>
      <c r="X6" s="1335"/>
      <c r="Y6" s="4110"/>
      <c r="Z6" s="4111"/>
      <c r="AA6" s="4118"/>
      <c r="AB6" s="4118"/>
      <c r="AC6" s="4118"/>
    </row>
    <row r="7" spans="1:29" s="25" customFormat="1" ht="15.75" thickBot="1">
      <c r="A7" s="301" t="s">
        <v>2257</v>
      </c>
      <c r="B7" s="302"/>
      <c r="C7" s="303">
        <f>'数据-取费表'!B2</f>
        <v>42558</v>
      </c>
      <c r="D7" s="304">
        <v>100</v>
      </c>
      <c r="E7" s="305"/>
      <c r="F7" s="306">
        <f>SUMIF(52:52,YEAR(E7)&amp;"-"&amp;MONTH(E7),53:53)</f>
        <v>0</v>
      </c>
      <c r="G7" s="305"/>
      <c r="H7" s="304">
        <f>SUMIF(52:52,YEAR(G7)&amp;"-"&amp;MONTH(G7),53:53)</f>
        <v>0</v>
      </c>
      <c r="I7" s="305"/>
      <c r="J7" s="304">
        <f>SUMIF(52:52,YEAR(I7)&amp;"-"&amp;MONTH(I7),53:53)</f>
        <v>0</v>
      </c>
      <c r="K7" s="497"/>
      <c r="L7" s="3026"/>
      <c r="M7" s="3027"/>
      <c r="N7" s="3027"/>
      <c r="O7" s="3027"/>
      <c r="P7" s="4104" t="s">
        <v>2258</v>
      </c>
      <c r="Q7" s="4112"/>
      <c r="R7" s="627" t="s">
        <v>25</v>
      </c>
      <c r="S7" s="628">
        <f t="shared" ref="S7:S15" si="0">F7</f>
        <v>0</v>
      </c>
      <c r="T7" s="627" t="s">
        <v>25</v>
      </c>
      <c r="U7" s="628">
        <f t="shared" ref="U7:U15" si="1">H7</f>
        <v>0</v>
      </c>
      <c r="V7" s="627" t="s">
        <v>25</v>
      </c>
      <c r="W7" s="628">
        <f t="shared" ref="W7:W15" si="2">J7</f>
        <v>0</v>
      </c>
      <c r="X7" s="629"/>
      <c r="Y7" s="4104" t="s">
        <v>2258</v>
      </c>
      <c r="Z7" s="4105"/>
      <c r="AA7" s="630" t="e">
        <f>D7/F7</f>
        <v>#DIV/0!</v>
      </c>
      <c r="AB7" s="630" t="e">
        <f>D7/H7</f>
        <v>#DIV/0!</v>
      </c>
      <c r="AC7" s="630" t="e">
        <f>D7/J7</f>
        <v>#DIV/0!</v>
      </c>
    </row>
    <row r="8" spans="1:29" s="25" customFormat="1" ht="15.75" thickBot="1">
      <c r="A8" s="301" t="s">
        <v>2259</v>
      </c>
      <c r="B8" s="302"/>
      <c r="C8" s="307" t="s">
        <v>2876</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4104" t="s">
        <v>2261</v>
      </c>
      <c r="Q8" s="4105"/>
      <c r="R8" s="627" t="s">
        <v>25</v>
      </c>
      <c r="S8" s="628">
        <f t="shared" si="0"/>
        <v>0</v>
      </c>
      <c r="T8" s="627" t="s">
        <v>25</v>
      </c>
      <c r="U8" s="628">
        <f t="shared" si="1"/>
        <v>0</v>
      </c>
      <c r="V8" s="627" t="s">
        <v>25</v>
      </c>
      <c r="W8" s="628">
        <f t="shared" si="2"/>
        <v>0</v>
      </c>
      <c r="X8" s="629"/>
      <c r="Y8" s="4104" t="s">
        <v>2261</v>
      </c>
      <c r="Z8" s="4105"/>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4096" t="s">
        <v>2264</v>
      </c>
      <c r="Q9" s="1327" t="str">
        <f t="shared" ref="Q9:Q15" si="6">B9</f>
        <v>用途</v>
      </c>
      <c r="R9" s="627" t="s">
        <v>25</v>
      </c>
      <c r="S9" s="628">
        <f t="shared" si="0"/>
        <v>100</v>
      </c>
      <c r="T9" s="627" t="s">
        <v>25</v>
      </c>
      <c r="U9" s="628">
        <f t="shared" si="1"/>
        <v>100</v>
      </c>
      <c r="V9" s="627" t="s">
        <v>25</v>
      </c>
      <c r="W9" s="628">
        <f t="shared" si="2"/>
        <v>100</v>
      </c>
      <c r="X9" s="629"/>
      <c r="Y9" s="4115"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4096"/>
      <c r="Q10" s="1327" t="str">
        <f t="shared" si="6"/>
        <v>土地使用年限（年）</v>
      </c>
      <c r="R10" s="627" t="s">
        <v>25</v>
      </c>
      <c r="S10" s="628">
        <f t="shared" si="0"/>
        <v>100</v>
      </c>
      <c r="T10" s="627" t="s">
        <v>25</v>
      </c>
      <c r="U10" s="628">
        <f t="shared" si="1"/>
        <v>100</v>
      </c>
      <c r="V10" s="627" t="s">
        <v>25</v>
      </c>
      <c r="W10" s="628">
        <f t="shared" si="2"/>
        <v>100</v>
      </c>
      <c r="X10" s="629"/>
      <c r="Y10" s="4115"/>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4096"/>
      <c r="Q11" s="1327" t="str">
        <f t="shared" si="6"/>
        <v>容积率</v>
      </c>
      <c r="R11" s="627" t="s">
        <v>25</v>
      </c>
      <c r="S11" s="628" t="e">
        <f t="shared" si="0"/>
        <v>#N/A</v>
      </c>
      <c r="T11" s="627" t="s">
        <v>25</v>
      </c>
      <c r="U11" s="628" t="e">
        <f t="shared" si="1"/>
        <v>#N/A</v>
      </c>
      <c r="V11" s="627" t="s">
        <v>25</v>
      </c>
      <c r="W11" s="628" t="e">
        <f t="shared" si="2"/>
        <v>#N/A</v>
      </c>
      <c r="X11" s="629"/>
      <c r="Y11" s="411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6"/>
      <c r="M12" s="3027"/>
      <c r="N12" s="3027"/>
      <c r="O12" s="3028"/>
      <c r="P12" s="4096"/>
      <c r="Q12" s="1327">
        <f t="shared" si="6"/>
        <v>111</v>
      </c>
      <c r="R12" s="627" t="s">
        <v>25</v>
      </c>
      <c r="S12" s="628">
        <f t="shared" si="0"/>
        <v>100</v>
      </c>
      <c r="T12" s="627" t="s">
        <v>25</v>
      </c>
      <c r="U12" s="628">
        <f t="shared" si="1"/>
        <v>100</v>
      </c>
      <c r="V12" s="627" t="s">
        <v>25</v>
      </c>
      <c r="W12" s="628">
        <f t="shared" si="2"/>
        <v>100</v>
      </c>
      <c r="X12" s="629"/>
      <c r="Y12" s="411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4"/>
      <c r="M13" s="3025"/>
      <c r="N13" s="3025"/>
      <c r="O13" s="3033"/>
      <c r="P13" s="4096"/>
      <c r="Q13" s="1327">
        <f t="shared" si="6"/>
        <v>111</v>
      </c>
      <c r="R13" s="627" t="s">
        <v>25</v>
      </c>
      <c r="S13" s="628">
        <f t="shared" si="0"/>
        <v>100</v>
      </c>
      <c r="T13" s="627" t="s">
        <v>25</v>
      </c>
      <c r="U13" s="628">
        <f t="shared" si="1"/>
        <v>100</v>
      </c>
      <c r="V13" s="627" t="s">
        <v>25</v>
      </c>
      <c r="W13" s="628">
        <f t="shared" si="2"/>
        <v>100</v>
      </c>
      <c r="X13" s="629"/>
      <c r="Y13" s="411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4"/>
      <c r="M14" s="3025"/>
      <c r="N14" s="3025"/>
      <c r="O14" s="3033"/>
      <c r="P14" s="4096"/>
      <c r="Q14" s="1327">
        <f t="shared" si="6"/>
        <v>111</v>
      </c>
      <c r="R14" s="627" t="s">
        <v>25</v>
      </c>
      <c r="S14" s="628">
        <f t="shared" si="0"/>
        <v>100</v>
      </c>
      <c r="T14" s="627" t="s">
        <v>25</v>
      </c>
      <c r="U14" s="628">
        <f t="shared" si="1"/>
        <v>100</v>
      </c>
      <c r="V14" s="627" t="s">
        <v>25</v>
      </c>
      <c r="W14" s="628">
        <f t="shared" si="2"/>
        <v>100</v>
      </c>
      <c r="X14" s="629"/>
      <c r="Y14" s="4115"/>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4113" t="s">
        <v>2269</v>
      </c>
      <c r="Q15" s="1334" t="str">
        <f t="shared" si="6"/>
        <v>产业集聚程度</v>
      </c>
      <c r="R15" s="631" t="s">
        <v>25</v>
      </c>
      <c r="S15" s="632">
        <f t="shared" si="0"/>
        <v>100</v>
      </c>
      <c r="T15" s="631" t="s">
        <v>25</v>
      </c>
      <c r="U15" s="632">
        <f t="shared" si="1"/>
        <v>100</v>
      </c>
      <c r="V15" s="631" t="s">
        <v>25</v>
      </c>
      <c r="W15" s="632">
        <f t="shared" si="2"/>
        <v>100</v>
      </c>
      <c r="X15" s="1335"/>
      <c r="Y15" s="4113"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4114"/>
      <c r="Q16" s="1334"/>
      <c r="R16" s="631"/>
      <c r="S16" s="632"/>
      <c r="T16" s="631"/>
      <c r="U16" s="632"/>
      <c r="V16" s="631"/>
      <c r="W16" s="632"/>
      <c r="X16" s="1335"/>
      <c r="Y16" s="4114"/>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4114"/>
      <c r="Q17" s="1334" t="str">
        <f>B17</f>
        <v>交通便捷度</v>
      </c>
      <c r="R17" s="631" t="s">
        <v>25</v>
      </c>
      <c r="S17" s="632">
        <f>F17</f>
        <v>100</v>
      </c>
      <c r="T17" s="631" t="s">
        <v>25</v>
      </c>
      <c r="U17" s="632">
        <f>H17</f>
        <v>100</v>
      </c>
      <c r="V17" s="631" t="s">
        <v>25</v>
      </c>
      <c r="W17" s="632">
        <f>J17</f>
        <v>100</v>
      </c>
      <c r="X17" s="1335"/>
      <c r="Y17" s="411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4"/>
      <c r="M18" s="3025"/>
      <c r="N18" s="3025"/>
      <c r="O18" s="3033"/>
      <c r="P18" s="4114"/>
      <c r="Q18" s="1334"/>
      <c r="R18" s="631"/>
      <c r="S18" s="632"/>
      <c r="T18" s="631"/>
      <c r="U18" s="632"/>
      <c r="V18" s="631"/>
      <c r="W18" s="632"/>
      <c r="X18" s="1335"/>
      <c r="Y18" s="4114"/>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4114"/>
      <c r="Q19" s="1334" t="str">
        <f>B19</f>
        <v>公共配套设施</v>
      </c>
      <c r="R19" s="631" t="s">
        <v>25</v>
      </c>
      <c r="S19" s="632">
        <f>F19</f>
        <v>100</v>
      </c>
      <c r="T19" s="631" t="s">
        <v>25</v>
      </c>
      <c r="U19" s="632">
        <f>H19</f>
        <v>100</v>
      </c>
      <c r="V19" s="631" t="s">
        <v>25</v>
      </c>
      <c r="W19" s="632">
        <f>J19</f>
        <v>100</v>
      </c>
      <c r="X19" s="1335"/>
      <c r="Y19" s="411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4"/>
      <c r="M20" s="3025"/>
      <c r="N20" s="3025"/>
      <c r="O20" s="3033"/>
      <c r="P20" s="4114"/>
      <c r="Q20" s="1334"/>
      <c r="R20" s="631"/>
      <c r="S20" s="632"/>
      <c r="T20" s="631"/>
      <c r="U20" s="632"/>
      <c r="V20" s="631"/>
      <c r="W20" s="632"/>
      <c r="X20" s="1335"/>
      <c r="Y20" s="4114"/>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4114"/>
      <c r="Q21" s="1334" t="str">
        <f>B21</f>
        <v>基础设施水平</v>
      </c>
      <c r="R21" s="631" t="s">
        <v>25</v>
      </c>
      <c r="S21" s="632">
        <f>F21</f>
        <v>100</v>
      </c>
      <c r="T21" s="631" t="s">
        <v>25</v>
      </c>
      <c r="U21" s="632">
        <f>H21</f>
        <v>100</v>
      </c>
      <c r="V21" s="631" t="s">
        <v>25</v>
      </c>
      <c r="W21" s="632">
        <f>J21</f>
        <v>100</v>
      </c>
      <c r="X21" s="1335"/>
      <c r="Y21" s="411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4"/>
      <c r="M22" s="3025"/>
      <c r="N22" s="3025"/>
      <c r="O22" s="3033"/>
      <c r="P22" s="4114"/>
      <c r="Q22" s="1334"/>
      <c r="R22" s="631"/>
      <c r="S22" s="632"/>
      <c r="T22" s="631"/>
      <c r="U22" s="632"/>
      <c r="V22" s="631"/>
      <c r="W22" s="632"/>
      <c r="X22" s="1335"/>
      <c r="Y22" s="4114"/>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4114"/>
      <c r="Q23" s="1334" t="str">
        <f>B23</f>
        <v>环境质量</v>
      </c>
      <c r="R23" s="631" t="s">
        <v>25</v>
      </c>
      <c r="S23" s="632">
        <f>F23</f>
        <v>100</v>
      </c>
      <c r="T23" s="631" t="s">
        <v>25</v>
      </c>
      <c r="U23" s="632">
        <f>H23</f>
        <v>100</v>
      </c>
      <c r="V23" s="631" t="s">
        <v>25</v>
      </c>
      <c r="W23" s="632">
        <f>J23</f>
        <v>100</v>
      </c>
      <c r="X23" s="1335"/>
      <c r="Y23" s="411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4"/>
      <c r="M24" s="3025"/>
      <c r="N24" s="3025"/>
      <c r="O24" s="3033"/>
      <c r="P24" s="4114"/>
      <c r="Q24" s="1334"/>
      <c r="R24" s="631"/>
      <c r="S24" s="632"/>
      <c r="T24" s="631"/>
      <c r="U24" s="632"/>
      <c r="V24" s="631"/>
      <c r="W24" s="632"/>
      <c r="X24" s="1335"/>
      <c r="Y24" s="411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4114"/>
      <c r="Q25" s="1334">
        <f>B25</f>
        <v>111</v>
      </c>
      <c r="R25" s="631" t="s">
        <v>25</v>
      </c>
      <c r="S25" s="632">
        <f>F25</f>
        <v>100</v>
      </c>
      <c r="T25" s="631" t="s">
        <v>25</v>
      </c>
      <c r="U25" s="632">
        <f>H25</f>
        <v>100</v>
      </c>
      <c r="V25" s="631" t="s">
        <v>25</v>
      </c>
      <c r="W25" s="632">
        <f>J25</f>
        <v>100</v>
      </c>
      <c r="X25" s="1335"/>
      <c r="Y25" s="411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4114"/>
      <c r="Q26" s="1334">
        <f t="shared" ref="Q26:Q40" si="11">B26</f>
        <v>111</v>
      </c>
      <c r="R26" s="631" t="s">
        <v>25</v>
      </c>
      <c r="S26" s="632">
        <f>F26</f>
        <v>100</v>
      </c>
      <c r="T26" s="631" t="s">
        <v>25</v>
      </c>
      <c r="U26" s="632">
        <f>H26</f>
        <v>100</v>
      </c>
      <c r="V26" s="631" t="s">
        <v>25</v>
      </c>
      <c r="W26" s="632">
        <f>J26</f>
        <v>100</v>
      </c>
      <c r="X26" s="1335"/>
      <c r="Y26" s="411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4114"/>
      <c r="Q27" s="1327">
        <f t="shared" si="11"/>
        <v>111</v>
      </c>
      <c r="R27" s="627" t="s">
        <v>25</v>
      </c>
      <c r="S27" s="628">
        <f>F27</f>
        <v>100</v>
      </c>
      <c r="T27" s="627" t="s">
        <v>25</v>
      </c>
      <c r="U27" s="628">
        <f>H27</f>
        <v>100</v>
      </c>
      <c r="V27" s="627" t="s">
        <v>25</v>
      </c>
      <c r="W27" s="628">
        <f>J27</f>
        <v>100</v>
      </c>
      <c r="X27" s="629"/>
      <c r="Y27" s="411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4114"/>
      <c r="Q28" s="1334">
        <f t="shared" si="11"/>
        <v>111</v>
      </c>
      <c r="R28" s="631" t="s">
        <v>25</v>
      </c>
      <c r="S28" s="632">
        <f t="shared" ref="S28:S40" si="12">F28</f>
        <v>100</v>
      </c>
      <c r="T28" s="631" t="s">
        <v>25</v>
      </c>
      <c r="U28" s="632">
        <f t="shared" ref="U28:U40" si="13">H28</f>
        <v>100</v>
      </c>
      <c r="V28" s="631" t="s">
        <v>25</v>
      </c>
      <c r="W28" s="632">
        <f t="shared" ref="W28:W40" si="14">J28</f>
        <v>100</v>
      </c>
      <c r="X28" s="1335"/>
      <c r="Y28" s="4114"/>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4"/>
      <c r="M29" s="3025"/>
      <c r="N29" s="3025"/>
      <c r="O29" s="3033"/>
      <c r="P29" s="4101" t="s">
        <v>2275</v>
      </c>
      <c r="Q29" s="1334" t="str">
        <f t="shared" si="11"/>
        <v>建筑类型</v>
      </c>
      <c r="R29" s="631" t="s">
        <v>25</v>
      </c>
      <c r="S29" s="632">
        <f t="shared" si="12"/>
        <v>100</v>
      </c>
      <c r="T29" s="631" t="s">
        <v>25</v>
      </c>
      <c r="U29" s="632">
        <f t="shared" si="13"/>
        <v>100</v>
      </c>
      <c r="V29" s="631" t="s">
        <v>25</v>
      </c>
      <c r="W29" s="632">
        <f t="shared" si="14"/>
        <v>100</v>
      </c>
      <c r="X29" s="1335"/>
      <c r="Y29" s="4102"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4102"/>
      <c r="Q30" s="633" t="str">
        <f t="shared" si="11"/>
        <v>项目建筑规模</v>
      </c>
      <c r="R30" s="634" t="s">
        <v>25</v>
      </c>
      <c r="S30" s="635" t="e">
        <f t="shared" si="12"/>
        <v>#N/A</v>
      </c>
      <c r="T30" s="634" t="s">
        <v>25</v>
      </c>
      <c r="U30" s="635" t="e">
        <f t="shared" si="13"/>
        <v>#N/A</v>
      </c>
      <c r="V30" s="634" t="s">
        <v>25</v>
      </c>
      <c r="W30" s="635" t="e">
        <f t="shared" si="14"/>
        <v>#N/A</v>
      </c>
      <c r="X30" s="636"/>
      <c r="Y30" s="4102"/>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4102"/>
      <c r="Q31" s="1334" t="str">
        <f t="shared" si="11"/>
        <v>建筑结构</v>
      </c>
      <c r="R31" s="631" t="s">
        <v>25</v>
      </c>
      <c r="S31" s="632">
        <f t="shared" si="12"/>
        <v>100</v>
      </c>
      <c r="T31" s="631" t="s">
        <v>25</v>
      </c>
      <c r="U31" s="632">
        <f t="shared" si="13"/>
        <v>100</v>
      </c>
      <c r="V31" s="631" t="s">
        <v>25</v>
      </c>
      <c r="W31" s="632">
        <f t="shared" si="14"/>
        <v>100</v>
      </c>
      <c r="X31" s="1335"/>
      <c r="Y31" s="4102"/>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4102"/>
      <c r="Q32" s="1334" t="str">
        <f t="shared" si="11"/>
        <v>公共部分装修</v>
      </c>
      <c r="R32" s="631" t="s">
        <v>25</v>
      </c>
      <c r="S32" s="632">
        <f t="shared" si="12"/>
        <v>100</v>
      </c>
      <c r="T32" s="631" t="s">
        <v>25</v>
      </c>
      <c r="U32" s="632">
        <f t="shared" si="13"/>
        <v>100</v>
      </c>
      <c r="V32" s="631" t="s">
        <v>25</v>
      </c>
      <c r="W32" s="632">
        <f t="shared" si="14"/>
        <v>100</v>
      </c>
      <c r="X32" s="1335"/>
      <c r="Y32" s="4102"/>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4102"/>
      <c r="Q33" s="1334" t="str">
        <f t="shared" si="11"/>
        <v>成新度</v>
      </c>
      <c r="R33" s="631" t="s">
        <v>25</v>
      </c>
      <c r="S33" s="632" t="e">
        <f t="shared" si="12"/>
        <v>#N/A</v>
      </c>
      <c r="T33" s="631" t="s">
        <v>25</v>
      </c>
      <c r="U33" s="632" t="e">
        <f t="shared" si="13"/>
        <v>#N/A</v>
      </c>
      <c r="V33" s="631" t="s">
        <v>25</v>
      </c>
      <c r="W33" s="632" t="e">
        <f t="shared" si="14"/>
        <v>#N/A</v>
      </c>
      <c r="X33" s="1335"/>
      <c r="Y33" s="4102"/>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4102"/>
      <c r="Q34" s="1327" t="str">
        <f t="shared" si="11"/>
        <v>物业管理</v>
      </c>
      <c r="R34" s="627" t="s">
        <v>25</v>
      </c>
      <c r="S34" s="628">
        <f t="shared" si="12"/>
        <v>100</v>
      </c>
      <c r="T34" s="627" t="s">
        <v>25</v>
      </c>
      <c r="U34" s="628">
        <f t="shared" si="13"/>
        <v>100</v>
      </c>
      <c r="V34" s="627" t="s">
        <v>25</v>
      </c>
      <c r="W34" s="628">
        <f t="shared" si="14"/>
        <v>100</v>
      </c>
      <c r="X34" s="629"/>
      <c r="Y34" s="4102"/>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4102" t="s">
        <v>2275</v>
      </c>
      <c r="Q35" s="1334" t="str">
        <f t="shared" si="11"/>
        <v>市政基础设施</v>
      </c>
      <c r="R35" s="631" t="s">
        <v>25</v>
      </c>
      <c r="S35" s="632">
        <f t="shared" si="12"/>
        <v>100</v>
      </c>
      <c r="T35" s="631" t="s">
        <v>25</v>
      </c>
      <c r="U35" s="632">
        <f t="shared" si="13"/>
        <v>100</v>
      </c>
      <c r="V35" s="631" t="s">
        <v>25</v>
      </c>
      <c r="W35" s="632">
        <f t="shared" si="14"/>
        <v>100</v>
      </c>
      <c r="X35" s="1335"/>
      <c r="Y35" s="4102"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4102"/>
      <c r="Q36" s="1334" t="str">
        <f t="shared" si="11"/>
        <v>内部装修</v>
      </c>
      <c r="R36" s="631" t="s">
        <v>25</v>
      </c>
      <c r="S36" s="632">
        <f t="shared" si="12"/>
        <v>100</v>
      </c>
      <c r="T36" s="631" t="s">
        <v>25</v>
      </c>
      <c r="U36" s="632">
        <f t="shared" si="13"/>
        <v>100</v>
      </c>
      <c r="V36" s="631" t="s">
        <v>25</v>
      </c>
      <c r="W36" s="632">
        <f t="shared" si="14"/>
        <v>100</v>
      </c>
      <c r="X36" s="1335"/>
      <c r="Y36" s="4102"/>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4102"/>
      <c r="Q37" s="1334" t="str">
        <f t="shared" si="11"/>
        <v>内部装修状况</v>
      </c>
      <c r="R37" s="631" t="s">
        <v>25</v>
      </c>
      <c r="S37" s="632">
        <f t="shared" si="12"/>
        <v>100</v>
      </c>
      <c r="T37" s="631" t="s">
        <v>25</v>
      </c>
      <c r="U37" s="632">
        <f t="shared" si="13"/>
        <v>100</v>
      </c>
      <c r="V37" s="631" t="s">
        <v>25</v>
      </c>
      <c r="W37" s="632">
        <f t="shared" si="14"/>
        <v>100</v>
      </c>
      <c r="X37" s="1335"/>
      <c r="Y37" s="410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4102"/>
      <c r="Q38" s="633">
        <f t="shared" si="11"/>
        <v>111</v>
      </c>
      <c r="R38" s="634" t="s">
        <v>25</v>
      </c>
      <c r="S38" s="635">
        <f t="shared" si="12"/>
        <v>100</v>
      </c>
      <c r="T38" s="634" t="s">
        <v>25</v>
      </c>
      <c r="U38" s="635">
        <f t="shared" si="13"/>
        <v>100</v>
      </c>
      <c r="V38" s="634" t="s">
        <v>25</v>
      </c>
      <c r="W38" s="635">
        <f t="shared" si="14"/>
        <v>100</v>
      </c>
      <c r="X38" s="636"/>
      <c r="Y38" s="410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4102"/>
      <c r="Q39" s="1334">
        <f t="shared" si="11"/>
        <v>111</v>
      </c>
      <c r="R39" s="631" t="s">
        <v>25</v>
      </c>
      <c r="S39" s="632">
        <f t="shared" si="12"/>
        <v>100</v>
      </c>
      <c r="T39" s="631" t="s">
        <v>25</v>
      </c>
      <c r="U39" s="632">
        <f t="shared" si="13"/>
        <v>100</v>
      </c>
      <c r="V39" s="631" t="s">
        <v>25</v>
      </c>
      <c r="W39" s="632">
        <f t="shared" si="14"/>
        <v>100</v>
      </c>
      <c r="X39" s="1335"/>
      <c r="Y39" s="410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4103"/>
      <c r="Q40" s="1334">
        <f t="shared" si="11"/>
        <v>111</v>
      </c>
      <c r="R40" s="631" t="s">
        <v>25</v>
      </c>
      <c r="S40" s="632">
        <f t="shared" si="12"/>
        <v>100</v>
      </c>
      <c r="T40" s="631" t="s">
        <v>25</v>
      </c>
      <c r="U40" s="632">
        <f t="shared" si="13"/>
        <v>100</v>
      </c>
      <c r="V40" s="631" t="s">
        <v>25</v>
      </c>
      <c r="W40" s="632">
        <f t="shared" si="14"/>
        <v>100</v>
      </c>
      <c r="X40" s="1335"/>
      <c r="Y40" s="4103"/>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6"/>
      <c r="N41" s="3025"/>
      <c r="P41" s="4096" t="str">
        <f>A41</f>
        <v>成交单价（元/平方米）</v>
      </c>
      <c r="Q41" s="4096"/>
      <c r="R41" s="4097">
        <f>E41</f>
        <v>0</v>
      </c>
      <c r="S41" s="4097"/>
      <c r="T41" s="4097">
        <f>G41</f>
        <v>0</v>
      </c>
      <c r="U41" s="4097"/>
      <c r="V41" s="4097">
        <f>I41</f>
        <v>0</v>
      </c>
      <c r="W41" s="4097"/>
      <c r="X41" s="618"/>
      <c r="Y41" s="638"/>
      <c r="Z41" s="618"/>
      <c r="AA41" s="618"/>
      <c r="AB41" s="618"/>
      <c r="AC41" s="618"/>
    </row>
    <row r="42" spans="1:29" ht="15.75" thickBot="1">
      <c r="A42" s="374" t="s">
        <v>2370</v>
      </c>
      <c r="B42" s="375"/>
      <c r="C42" s="1159" t="e">
        <f>R43</f>
        <v>#DIV/0!</v>
      </c>
      <c r="D42" s="1796" t="s">
        <v>2741</v>
      </c>
      <c r="E42" s="1160" t="e">
        <f>R42</f>
        <v>#DIV/0!</v>
      </c>
      <c r="F42" s="1798"/>
      <c r="G42" s="1159" t="e">
        <f>T42</f>
        <v>#DIV/0!</v>
      </c>
      <c r="H42" s="1798"/>
      <c r="I42" s="1160" t="e">
        <f>V42</f>
        <v>#DIV/0!</v>
      </c>
      <c r="J42" s="1798"/>
      <c r="K42" s="2510">
        <f>F42+H42+J42</f>
        <v>0</v>
      </c>
      <c r="L42" s="3036"/>
      <c r="N42" s="3025"/>
      <c r="P42" s="4096" t="str">
        <f>A42</f>
        <v>比较价值（元/平方米）</v>
      </c>
      <c r="Q42" s="4096"/>
      <c r="R42" s="4097" t="e">
        <f>IF(E1="售价",ROUND(PRODUCT(R41,AA7:AA40),0),ROUND(PRODUCT(R41,AA7:AA40),1))</f>
        <v>#DIV/0!</v>
      </c>
      <c r="S42" s="4097"/>
      <c r="T42" s="4097" t="e">
        <f>IF(E1="售价",ROUND(PRODUCT(T41,AB7:AB40),0),ROUND(PRODUCT(T41,AB7:AB40),1))</f>
        <v>#DIV/0!</v>
      </c>
      <c r="U42" s="4097"/>
      <c r="V42" s="4097" t="e">
        <f>IF(E1="售价",ROUND(PRODUCT(V41,AC7:AC40),0),ROUND(PRODUCT(V41,AC7:AC40),1))</f>
        <v>#DIV/0!</v>
      </c>
      <c r="W42" s="4097"/>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6"/>
      <c r="P43" s="4098" t="str">
        <f>A43</f>
        <v>估价对象XX用房的比较价值（楼面单价，元/平方米）</v>
      </c>
      <c r="Q43" s="4099"/>
      <c r="R43" s="4100" t="e">
        <f>IF(E1="售价",ROUND(IF(D42="简单平均",AVERAGE(R42:V42),R42*F42+T42*H42+V42*J42),0),ROUND(IF(D42="简单平均",AVERAGE(R42:V42),R42*F42+T42*H42+V42*J42),1))</f>
        <v>#DIV/0!</v>
      </c>
      <c r="S43" s="4100"/>
      <c r="T43" s="4100"/>
      <c r="U43" s="4100"/>
      <c r="V43" s="4100"/>
      <c r="W43" s="4100"/>
      <c r="X43" s="618"/>
      <c r="Y43" s="618"/>
      <c r="Z43" s="618"/>
      <c r="AA43" s="618"/>
      <c r="AB43" s="618"/>
      <c r="AC43" s="618"/>
    </row>
    <row r="44" spans="1:29">
      <c r="G44" s="3039"/>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2375</v>
      </c>
      <c r="B51" s="618"/>
      <c r="C51" s="621"/>
      <c r="D51" s="621"/>
      <c r="E51" s="621"/>
      <c r="F51" s="622"/>
      <c r="G51" s="622"/>
      <c r="H51" s="621"/>
      <c r="I51" s="621"/>
      <c r="J51" s="621"/>
      <c r="K51" s="623"/>
      <c r="L51" s="624"/>
      <c r="M51" s="621"/>
      <c r="N51" s="3042"/>
      <c r="O51" s="3042"/>
      <c r="P51" s="389"/>
      <c r="Q51" s="390"/>
    </row>
    <row r="52" spans="1:17" s="394" customFormat="1" ht="15">
      <c r="A52" s="391" t="s">
        <v>2257</v>
      </c>
      <c r="B52" s="392"/>
      <c r="C52" s="1187" t="str">
        <f>YEAR(C7)&amp;"-"&amp;MONTH(C7)</f>
        <v>2016-7</v>
      </c>
      <c r="D52" s="1188">
        <f>EDATE(C52,-1)</f>
        <v>42522</v>
      </c>
      <c r="E52" s="1189">
        <f t="shared" ref="E52:O52" si="16">EDATE(D52,-1)</f>
        <v>42491</v>
      </c>
      <c r="F52" s="1189">
        <f t="shared" si="16"/>
        <v>42461</v>
      </c>
      <c r="G52" s="1189">
        <f t="shared" si="16"/>
        <v>42430</v>
      </c>
      <c r="H52" s="1189">
        <f t="shared" si="16"/>
        <v>42401</v>
      </c>
      <c r="I52" s="1189">
        <f t="shared" si="16"/>
        <v>42370</v>
      </c>
      <c r="J52" s="1189">
        <f t="shared" si="16"/>
        <v>42339</v>
      </c>
      <c r="K52" s="1189">
        <f t="shared" si="16"/>
        <v>42309</v>
      </c>
      <c r="L52" s="1189">
        <f t="shared" si="16"/>
        <v>42278</v>
      </c>
      <c r="M52" s="1189">
        <f t="shared" si="16"/>
        <v>42248</v>
      </c>
      <c r="N52" s="1189">
        <f t="shared" si="16"/>
        <v>42217</v>
      </c>
      <c r="O52" s="1189">
        <f t="shared" si="16"/>
        <v>42186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8"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700-000000000000}">
      <formula1>土地年限区间</formula1>
    </dataValidation>
    <dataValidation type="list" allowBlank="1" showInputMessage="1" showErrorMessage="1" sqref="C20 G20 I20 E20" xr:uid="{00000000-0002-0000-1700-000001000000}">
      <formula1>公共配套设施</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4 G24 I24 C24" xr:uid="{00000000-0002-0000-1700-000003000000}">
      <formula1>环境</formula1>
    </dataValidation>
    <dataValidation type="list" allowBlank="1" showInputMessage="1" showErrorMessage="1" sqref="C8 E8 G8 I8" xr:uid="{00000000-0002-0000-1700-000004000000}">
      <formula1>工业交易情况</formula1>
    </dataValidation>
    <dataValidation type="list" allowBlank="1" showInputMessage="1" showErrorMessage="1" sqref="E9 G9 I9" xr:uid="{00000000-0002-0000-1700-000005000000}">
      <formula1>工业用途</formula1>
    </dataValidation>
    <dataValidation type="list" allowBlank="1" showInputMessage="1" showErrorMessage="1" sqref="C29 E29 G29 I29" xr:uid="{00000000-0002-0000-1700-000006000000}">
      <formula1>工业建筑类型</formula1>
    </dataValidation>
    <dataValidation type="list" allowBlank="1" showInputMessage="1" showErrorMessage="1" sqref="C31 E31 G31 I31" xr:uid="{00000000-0002-0000-1700-000007000000}">
      <formula1>工业建筑结构</formula1>
    </dataValidation>
    <dataValidation type="list" allowBlank="1" showInputMessage="1" showErrorMessage="1" sqref="C32 E32 G32 I32" xr:uid="{00000000-0002-0000-1700-000008000000}">
      <formula1>工业公共部分装修</formula1>
    </dataValidation>
    <dataValidation type="list" allowBlank="1" showInputMessage="1" showErrorMessage="1" sqref="C34 E34 G34 I34" xr:uid="{00000000-0002-0000-1700-000009000000}">
      <formula1>工业物业管理</formula1>
    </dataValidation>
    <dataValidation type="list" allowBlank="1" showInputMessage="1" showErrorMessage="1" sqref="C35 E35 G35 I35" xr:uid="{00000000-0002-0000-1700-00000A000000}">
      <formula1>工业基础设施水平</formula1>
    </dataValidation>
    <dataValidation type="list" allowBlank="1" showInputMessage="1" showErrorMessage="1" sqref="C36 E36 G36 I36" xr:uid="{00000000-0002-0000-1700-00000B000000}">
      <formula1>工业内部装修</formula1>
    </dataValidation>
    <dataValidation type="list" allowBlank="1" showInputMessage="1" showErrorMessage="1" sqref="C37 E37 G37 I37" xr:uid="{00000000-0002-0000-1700-00000C000000}">
      <formula1>内部装修维护情况</formula1>
    </dataValidation>
    <dataValidation type="list" allowBlank="1" showInputMessage="1" showErrorMessage="1" sqref="C16 E16 G16 I16" xr:uid="{00000000-0002-0000-1700-00000D000000}">
      <formula1>产业集聚程度</formula1>
    </dataValidation>
    <dataValidation type="list" allowBlank="1" showInputMessage="1" showErrorMessage="1" sqref="C1" xr:uid="{00000000-0002-0000-1700-00000E000000}">
      <formula1>"估价对象,仅计算典型户型"</formula1>
    </dataValidation>
    <dataValidation type="list" allowBlank="1" showInputMessage="1" showErrorMessage="1" sqref="C22 E22 G22 I22" xr:uid="{00000000-0002-0000-1700-00000F000000}">
      <formula1>基础设施水平</formula1>
    </dataValidation>
    <dataValidation type="list" allowBlank="1" showInputMessage="1" showErrorMessage="1" sqref="E1" xr:uid="{00000000-0002-0000-1700-000010000000}">
      <formula1>"售价,租金"</formula1>
    </dataValidation>
    <dataValidation type="list" allowBlank="1" showInputMessage="1" showErrorMessage="1" sqref="D2" xr:uid="{00000000-0002-0000-1700-000011000000}">
      <formula1>"需扣减承租人权益,——"</formula1>
    </dataValidation>
    <dataValidation type="list" allowBlank="1" showInputMessage="1" showErrorMessage="1" sqref="G2" xr:uid="{00000000-0002-0000-1700-000012000000}">
      <formula1>估价方法</formula1>
    </dataValidation>
    <dataValidation type="list" allowBlank="1" showInputMessage="1" showErrorMessage="1" sqref="D42" xr:uid="{00000000-0002-0000-17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pageSetUpPr fitToPage="1"/>
  </sheetPr>
  <dimension ref="A1:AC103"/>
  <sheetViews>
    <sheetView view="pageBreakPreview" zoomScale="90" zoomScaleNormal="60" zoomScaleSheetLayoutView="90" workbookViewId="0">
      <selection activeCell="F35" sqref="F3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t="s">
        <v>2917</v>
      </c>
      <c r="C1" s="1221" t="s">
        <v>2744</v>
      </c>
      <c r="D1" s="1222"/>
      <c r="E1" s="1559" t="s">
        <v>2742</v>
      </c>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IF(D2="——",IF(B37="元/平方米",IF(C2="元",ROUND(C39*D3,0),ROUND(C39*D3/10000,0)),IF(C2="元",ROUND(F3*C39,0),ROUND(F3*C39/10000,0))),IF(B37="元/平方米",IF(C2="元",ROUND(C39*D3,0),ROUND(C39*D3/10000,0)),IF(C2="元",ROUND(F3*C39,0),ROUND(F3*C39/10000,0)))-E2)</f>
        <v>#DIV/0!</v>
      </c>
      <c r="C2" s="79" t="str">
        <f>'数据-取费表'!B3</f>
        <v>元</v>
      </c>
      <c r="D2" s="1560" t="s">
        <v>1240</v>
      </c>
      <c r="E2" s="927"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459.68</v>
      </c>
      <c r="E3" s="839" t="s">
        <v>2405</v>
      </c>
      <c r="F3" s="293">
        <f>'数据-取费表'!B42</f>
        <v>1</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19" t="s">
        <v>2245</v>
      </c>
      <c r="D4" s="4120"/>
      <c r="E4" s="4121" t="s">
        <v>2246</v>
      </c>
      <c r="F4" s="4122"/>
      <c r="G4" s="4119" t="s">
        <v>2247</v>
      </c>
      <c r="H4" s="4120"/>
      <c r="I4" s="4119" t="s">
        <v>2248</v>
      </c>
      <c r="J4" s="4120"/>
      <c r="K4" s="496" t="s">
        <v>2249</v>
      </c>
      <c r="L4" s="3024"/>
      <c r="M4" s="3025"/>
      <c r="N4" s="3025"/>
      <c r="O4" s="3025"/>
      <c r="P4" s="4123" t="s">
        <v>2250</v>
      </c>
      <c r="Q4" s="4124"/>
      <c r="R4" s="4106" t="s">
        <v>2246</v>
      </c>
      <c r="S4" s="4107"/>
      <c r="T4" s="4106" t="s">
        <v>2247</v>
      </c>
      <c r="U4" s="4107"/>
      <c r="V4" s="4129" t="s">
        <v>2248</v>
      </c>
      <c r="W4" s="4129"/>
      <c r="X4" s="1335"/>
      <c r="Y4" s="4106" t="s">
        <v>2250</v>
      </c>
      <c r="Z4" s="4107"/>
      <c r="AA4" s="4116" t="s">
        <v>2246</v>
      </c>
      <c r="AB4" s="4117" t="s">
        <v>2247</v>
      </c>
      <c r="AC4" s="4116" t="s">
        <v>2248</v>
      </c>
    </row>
    <row r="5" spans="1:29" ht="15">
      <c r="A5" s="297"/>
      <c r="B5" s="298"/>
      <c r="C5" s="4139" t="s">
        <v>2920</v>
      </c>
      <c r="D5" s="4133"/>
      <c r="E5" s="4138" t="s">
        <v>2919</v>
      </c>
      <c r="F5" s="4131"/>
      <c r="G5" s="4139" t="s">
        <v>2919</v>
      </c>
      <c r="H5" s="4133"/>
      <c r="I5" s="4139" t="s">
        <v>2919</v>
      </c>
      <c r="J5" s="4133"/>
      <c r="K5" s="496"/>
      <c r="L5" s="3024"/>
      <c r="M5" s="3025"/>
      <c r="N5" s="3025"/>
      <c r="O5" s="3025"/>
      <c r="P5" s="4125"/>
      <c r="Q5" s="4126"/>
      <c r="R5" s="4108"/>
      <c r="S5" s="4109"/>
      <c r="T5" s="4108"/>
      <c r="U5" s="4109"/>
      <c r="V5" s="4129"/>
      <c r="W5" s="4129"/>
      <c r="X5" s="1335"/>
      <c r="Y5" s="4108"/>
      <c r="Z5" s="4109"/>
      <c r="AA5" s="4117"/>
      <c r="AB5" s="4117"/>
      <c r="AC5" s="4117"/>
    </row>
    <row r="6" spans="1:29" ht="15.75" thickBot="1">
      <c r="A6" s="299"/>
      <c r="B6" s="300"/>
      <c r="C6" s="4134" t="s">
        <v>2255</v>
      </c>
      <c r="D6" s="4135"/>
      <c r="E6" s="4136" t="s">
        <v>2255</v>
      </c>
      <c r="F6" s="4137"/>
      <c r="G6" s="4134" t="s">
        <v>2255</v>
      </c>
      <c r="H6" s="4135"/>
      <c r="I6" s="4134" t="s">
        <v>2255</v>
      </c>
      <c r="J6" s="4135"/>
      <c r="K6" s="496" t="s">
        <v>2256</v>
      </c>
      <c r="L6" s="3024"/>
      <c r="M6" s="3025"/>
      <c r="N6" s="3025"/>
      <c r="O6" s="3025"/>
      <c r="P6" s="4127"/>
      <c r="Q6" s="4128"/>
      <c r="R6" s="4108"/>
      <c r="S6" s="4109"/>
      <c r="T6" s="4110"/>
      <c r="U6" s="4111"/>
      <c r="V6" s="4129"/>
      <c r="W6" s="4129"/>
      <c r="X6" s="1335"/>
      <c r="Y6" s="4110"/>
      <c r="Z6" s="4111"/>
      <c r="AA6" s="4118"/>
      <c r="AB6" s="4118"/>
      <c r="AC6" s="4118"/>
    </row>
    <row r="7" spans="1:29" s="25" customFormat="1" ht="15.75" thickBot="1">
      <c r="A7" s="301" t="s">
        <v>2257</v>
      </c>
      <c r="B7" s="302"/>
      <c r="C7" s="303">
        <f>'数据-取费表'!B2</f>
        <v>42558</v>
      </c>
      <c r="D7" s="304">
        <v>100</v>
      </c>
      <c r="E7" s="305">
        <v>44215</v>
      </c>
      <c r="F7" s="306">
        <f>SUMIF(48:48,YEAR(E7)&amp;"-"&amp;MONTH(E7),49:49)</f>
        <v>0</v>
      </c>
      <c r="G7" s="305">
        <v>44215</v>
      </c>
      <c r="H7" s="304">
        <f>SUMIF(48:48,YEAR(G7)&amp;"-"&amp;MONTH(G7),49:49)</f>
        <v>0</v>
      </c>
      <c r="I7" s="305">
        <v>44215</v>
      </c>
      <c r="J7" s="304">
        <f>SUMIF(48:48,YEAR(I7)&amp;"-"&amp;MONTH(I7),49:49)</f>
        <v>0</v>
      </c>
      <c r="K7" s="497"/>
      <c r="L7" s="3026"/>
      <c r="M7" s="3027"/>
      <c r="N7" s="3027"/>
      <c r="O7" s="3027"/>
      <c r="P7" s="4104" t="s">
        <v>2258</v>
      </c>
      <c r="Q7" s="4112"/>
      <c r="R7" s="627" t="s">
        <v>25</v>
      </c>
      <c r="S7" s="628">
        <f t="shared" ref="S7:S14" si="0">F7</f>
        <v>0</v>
      </c>
      <c r="T7" s="627" t="s">
        <v>25</v>
      </c>
      <c r="U7" s="628">
        <f t="shared" ref="U7:U14" si="1">H7</f>
        <v>0</v>
      </c>
      <c r="V7" s="627" t="s">
        <v>25</v>
      </c>
      <c r="W7" s="628">
        <f t="shared" ref="W7:W14" si="2">J7</f>
        <v>0</v>
      </c>
      <c r="X7" s="629"/>
      <c r="Y7" s="4104" t="s">
        <v>2258</v>
      </c>
      <c r="Z7" s="4105"/>
      <c r="AA7" s="630" t="e">
        <f>D7/F7</f>
        <v>#DIV/0!</v>
      </c>
      <c r="AB7" s="630" t="e">
        <f>D7/H7</f>
        <v>#DIV/0!</v>
      </c>
      <c r="AC7" s="630" t="e">
        <f>D7/J7</f>
        <v>#DIV/0!</v>
      </c>
    </row>
    <row r="8" spans="1:29" s="25" customFormat="1" ht="15.75" thickBot="1">
      <c r="A8" s="301" t="s">
        <v>2259</v>
      </c>
      <c r="B8" s="302"/>
      <c r="C8" s="307" t="s">
        <v>2260</v>
      </c>
      <c r="D8" s="304">
        <v>100</v>
      </c>
      <c r="E8" s="307" t="s">
        <v>2260</v>
      </c>
      <c r="F8" s="306">
        <f>SUMIF(51:51,E8,52:52)-SUMIF(51:51,C8,52:52)+100</f>
        <v>100</v>
      </c>
      <c r="G8" s="307" t="s">
        <v>2260</v>
      </c>
      <c r="H8" s="304">
        <f>SUMIF(51:51,G8,52:52)-SUMIF(51:51,C8,52:52)+100</f>
        <v>100</v>
      </c>
      <c r="I8" s="307" t="s">
        <v>2260</v>
      </c>
      <c r="J8" s="304">
        <f>SUMIF(51:51,I8,52:52)-SUMIF(51:51,C8,52:52)+100</f>
        <v>100</v>
      </c>
      <c r="K8" s="497"/>
      <c r="L8" s="3026"/>
      <c r="M8" s="3027"/>
      <c r="N8" s="3027"/>
      <c r="O8" s="3027"/>
      <c r="P8" s="4104" t="s">
        <v>2261</v>
      </c>
      <c r="Q8" s="4105"/>
      <c r="R8" s="627" t="s">
        <v>25</v>
      </c>
      <c r="S8" s="628">
        <f t="shared" si="0"/>
        <v>100</v>
      </c>
      <c r="T8" s="627" t="s">
        <v>25</v>
      </c>
      <c r="U8" s="628">
        <f t="shared" si="1"/>
        <v>100</v>
      </c>
      <c r="V8" s="627" t="s">
        <v>25</v>
      </c>
      <c r="W8" s="628">
        <f t="shared" si="2"/>
        <v>100</v>
      </c>
      <c r="X8" s="629"/>
      <c r="Y8" s="4104" t="s">
        <v>2261</v>
      </c>
      <c r="Z8" s="4105"/>
      <c r="AA8" s="630">
        <f t="shared" ref="AA8:AA36" si="3">D8/F8</f>
        <v>1</v>
      </c>
      <c r="AB8" s="630">
        <f t="shared" ref="AB8:AB36" si="4">D8/H8</f>
        <v>1</v>
      </c>
      <c r="AC8" s="630">
        <f t="shared" ref="AC8:AC36" si="5">D8/J8</f>
        <v>1</v>
      </c>
    </row>
    <row r="9" spans="1:29" s="25" customFormat="1">
      <c r="A9" s="21" t="s">
        <v>2262</v>
      </c>
      <c r="B9" s="522" t="s">
        <v>2263</v>
      </c>
      <c r="C9" s="3162" t="s">
        <v>2922</v>
      </c>
      <c r="D9" s="28">
        <v>100</v>
      </c>
      <c r="E9" s="311" t="s">
        <v>2921</v>
      </c>
      <c r="F9" s="28">
        <f>SUMIF(53:53,E9,54:54)-SUMIF(53:53,C9,54:54)+100</f>
        <v>100</v>
      </c>
      <c r="G9" s="311" t="s">
        <v>2921</v>
      </c>
      <c r="H9" s="28">
        <f>SUMIF(53:53,G9,54:54)-SUMIF(53:53,C9,54:54)+100</f>
        <v>100</v>
      </c>
      <c r="I9" s="311" t="s">
        <v>2921</v>
      </c>
      <c r="J9" s="28">
        <f>SUMIF(53:53,I9,54:54)-SUMIF(53:53,C9,54:54)+100</f>
        <v>100</v>
      </c>
      <c r="K9" s="497"/>
      <c r="L9" s="3026"/>
      <c r="M9" s="3027"/>
      <c r="N9" s="3027"/>
      <c r="O9" s="3028"/>
      <c r="P9" s="4096" t="s">
        <v>2264</v>
      </c>
      <c r="Q9" s="1327" t="str">
        <f t="shared" ref="Q9:Q14" si="6">B9</f>
        <v>用途</v>
      </c>
      <c r="R9" s="627" t="s">
        <v>25</v>
      </c>
      <c r="S9" s="628">
        <f t="shared" si="0"/>
        <v>100</v>
      </c>
      <c r="T9" s="627" t="s">
        <v>25</v>
      </c>
      <c r="U9" s="628">
        <f t="shared" si="1"/>
        <v>100</v>
      </c>
      <c r="V9" s="627" t="s">
        <v>25</v>
      </c>
      <c r="W9" s="628">
        <f t="shared" si="2"/>
        <v>100</v>
      </c>
      <c r="X9" s="629"/>
      <c r="Y9" s="4115" t="s">
        <v>2265</v>
      </c>
      <c r="Z9" s="19" t="str">
        <f t="shared" ref="Z9:Z14" si="7">Q9</f>
        <v>用途</v>
      </c>
      <c r="AA9" s="630">
        <f t="shared" si="3"/>
        <v>1</v>
      </c>
      <c r="AB9" s="630">
        <f t="shared" si="4"/>
        <v>1</v>
      </c>
      <c r="AC9" s="630">
        <f t="shared" si="5"/>
        <v>1</v>
      </c>
    </row>
    <row r="10" spans="1:29" s="317" customFormat="1" ht="27.75" thickBot="1">
      <c r="A10" s="523"/>
      <c r="B10" s="524" t="s">
        <v>2266</v>
      </c>
      <c r="C10" s="314" t="s">
        <v>2923</v>
      </c>
      <c r="D10" s="29">
        <v>100</v>
      </c>
      <c r="E10" s="314" t="s">
        <v>2923</v>
      </c>
      <c r="F10" s="29">
        <f>SUMIF(55:55,E10,56:56)-SUMIF(55:55,C10,56:56)+100</f>
        <v>100</v>
      </c>
      <c r="G10" s="314" t="s">
        <v>2923</v>
      </c>
      <c r="H10" s="29">
        <f>SUMIF(55:55,G10,56:56)-SUMIF(55:55,C10,56:56)+100</f>
        <v>100</v>
      </c>
      <c r="I10" s="314" t="s">
        <v>2923</v>
      </c>
      <c r="J10" s="29">
        <f>SUMIF(55:55,I10,56:56)-SUMIF(55:55,C10,56:56)+100</f>
        <v>100</v>
      </c>
      <c r="K10" s="498">
        <v>2</v>
      </c>
      <c r="L10" s="3029"/>
      <c r="M10" s="3030"/>
      <c r="N10" s="3030"/>
      <c r="O10" s="3031"/>
      <c r="P10" s="4096"/>
      <c r="Q10" s="1327" t="str">
        <f t="shared" si="6"/>
        <v>土地使用年限（年）</v>
      </c>
      <c r="R10" s="627" t="s">
        <v>25</v>
      </c>
      <c r="S10" s="628">
        <f t="shared" si="0"/>
        <v>100</v>
      </c>
      <c r="T10" s="627" t="s">
        <v>25</v>
      </c>
      <c r="U10" s="628">
        <f t="shared" si="1"/>
        <v>100</v>
      </c>
      <c r="V10" s="627" t="s">
        <v>25</v>
      </c>
      <c r="W10" s="628">
        <f t="shared" si="2"/>
        <v>100</v>
      </c>
      <c r="X10" s="629"/>
      <c r="Y10" s="4115"/>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4096"/>
      <c r="Q11" s="1327">
        <f t="shared" si="6"/>
        <v>111</v>
      </c>
      <c r="R11" s="627" t="s">
        <v>25</v>
      </c>
      <c r="S11" s="628">
        <f t="shared" si="0"/>
        <v>100</v>
      </c>
      <c r="T11" s="627" t="s">
        <v>25</v>
      </c>
      <c r="U11" s="628">
        <f t="shared" si="1"/>
        <v>100</v>
      </c>
      <c r="V11" s="627" t="s">
        <v>25</v>
      </c>
      <c r="W11" s="628">
        <f t="shared" si="2"/>
        <v>100</v>
      </c>
      <c r="X11" s="629"/>
      <c r="Y11" s="4115"/>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4096"/>
      <c r="Q12" s="1327">
        <f t="shared" si="6"/>
        <v>111</v>
      </c>
      <c r="R12" s="627" t="s">
        <v>25</v>
      </c>
      <c r="S12" s="628">
        <f t="shared" si="0"/>
        <v>100</v>
      </c>
      <c r="T12" s="627" t="s">
        <v>25</v>
      </c>
      <c r="U12" s="628">
        <f t="shared" si="1"/>
        <v>100</v>
      </c>
      <c r="V12" s="627" t="s">
        <v>25</v>
      </c>
      <c r="W12" s="628">
        <f t="shared" si="2"/>
        <v>100</v>
      </c>
      <c r="X12" s="629"/>
      <c r="Y12" s="4115"/>
      <c r="Z12" s="19">
        <f t="shared" si="7"/>
        <v>111</v>
      </c>
      <c r="AA12" s="630">
        <f>D12/F12</f>
        <v>1</v>
      </c>
      <c r="AB12" s="630">
        <f>D12/H12</f>
        <v>1</v>
      </c>
      <c r="AC12" s="630">
        <f>D12/J12</f>
        <v>1</v>
      </c>
    </row>
    <row r="13" spans="1:29" ht="15.75"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4096"/>
      <c r="Q13" s="1327">
        <f t="shared" si="6"/>
        <v>111</v>
      </c>
      <c r="R13" s="627" t="s">
        <v>25</v>
      </c>
      <c r="S13" s="628">
        <f t="shared" si="0"/>
        <v>100</v>
      </c>
      <c r="T13" s="627" t="s">
        <v>25</v>
      </c>
      <c r="U13" s="628">
        <f t="shared" si="1"/>
        <v>100</v>
      </c>
      <c r="V13" s="627" t="s">
        <v>25</v>
      </c>
      <c r="W13" s="628">
        <f t="shared" si="2"/>
        <v>100</v>
      </c>
      <c r="X13" s="629"/>
      <c r="Y13" s="4115"/>
      <c r="Z13" s="19">
        <f t="shared" si="7"/>
        <v>111</v>
      </c>
      <c r="AA13" s="630">
        <f t="shared" si="3"/>
        <v>1</v>
      </c>
      <c r="AB13" s="630">
        <f t="shared" si="4"/>
        <v>1</v>
      </c>
      <c r="AC13" s="630">
        <f t="shared" si="5"/>
        <v>1</v>
      </c>
    </row>
    <row r="14" spans="1:29" ht="68.25" customHeight="1">
      <c r="A14" s="294" t="s">
        <v>2268</v>
      </c>
      <c r="B14" s="511" t="s">
        <v>2406</v>
      </c>
      <c r="C14" s="1143" t="str">
        <f>IF(B1="工业",估价对象房地状况!G4,估价对象房地状况!C6)</f>
        <v>估价对象临近知春路，距离地铁10、13号线知春路站约100米，周边有专168路、311路、319路、630路等公交车通达，停车便捷程度较好，综合评价交通便捷度好</v>
      </c>
      <c r="D14" s="1137">
        <v>100</v>
      </c>
      <c r="E14" s="331"/>
      <c r="F14" s="330">
        <f>SUMIF(63:63,E15,64:64)-SUMIF(63:63,C15,64:64)+100</f>
        <v>100</v>
      </c>
      <c r="G14" s="331"/>
      <c r="H14" s="330">
        <f>SUMIF(63:63,G15,64:64)-SUMIF(63:63,C15,64:64)+100</f>
        <v>100</v>
      </c>
      <c r="I14" s="331"/>
      <c r="J14" s="330">
        <f>SUMIF(63:63,I15,64:64)-SUMIF(63:63,C15,64:64)+100</f>
        <v>100</v>
      </c>
      <c r="K14" s="500">
        <v>2</v>
      </c>
      <c r="L14" s="3034"/>
      <c r="M14" s="3025"/>
      <c r="N14" s="3025"/>
      <c r="O14" s="3033"/>
      <c r="P14" s="4113" t="s">
        <v>2269</v>
      </c>
      <c r="Q14" s="1334" t="str">
        <f t="shared" si="6"/>
        <v>交通便捷度</v>
      </c>
      <c r="R14" s="631" t="s">
        <v>25</v>
      </c>
      <c r="S14" s="632">
        <f t="shared" si="0"/>
        <v>100</v>
      </c>
      <c r="T14" s="631" t="s">
        <v>25</v>
      </c>
      <c r="U14" s="632">
        <f t="shared" si="1"/>
        <v>100</v>
      </c>
      <c r="V14" s="631" t="s">
        <v>25</v>
      </c>
      <c r="W14" s="632">
        <f t="shared" si="2"/>
        <v>100</v>
      </c>
      <c r="X14" s="1335"/>
      <c r="Y14" s="4113" t="s">
        <v>2269</v>
      </c>
      <c r="Z14" s="1336" t="str">
        <f t="shared" si="7"/>
        <v>交通便捷度</v>
      </c>
      <c r="AA14" s="1337">
        <f t="shared" si="3"/>
        <v>1</v>
      </c>
      <c r="AB14" s="1337">
        <f t="shared" si="4"/>
        <v>1</v>
      </c>
      <c r="AC14" s="1337">
        <f t="shared" si="5"/>
        <v>1</v>
      </c>
    </row>
    <row r="15" spans="1:29" ht="15">
      <c r="A15" s="297"/>
      <c r="B15" s="529"/>
      <c r="C15" s="1144" t="s">
        <v>29</v>
      </c>
      <c r="D15" s="1138"/>
      <c r="E15" s="1144" t="s">
        <v>29</v>
      </c>
      <c r="F15" s="336"/>
      <c r="G15" s="1144" t="s">
        <v>29</v>
      </c>
      <c r="H15" s="339"/>
      <c r="I15" s="1144" t="s">
        <v>29</v>
      </c>
      <c r="J15" s="336"/>
      <c r="K15" s="501"/>
      <c r="L15" s="3034"/>
      <c r="M15" s="3025"/>
      <c r="N15" s="3025"/>
      <c r="O15" s="3033"/>
      <c r="P15" s="4114"/>
      <c r="Q15" s="1334"/>
      <c r="R15" s="631"/>
      <c r="S15" s="632"/>
      <c r="T15" s="631"/>
      <c r="U15" s="632"/>
      <c r="V15" s="631"/>
      <c r="W15" s="632"/>
      <c r="X15" s="1335"/>
      <c r="Y15" s="4114"/>
      <c r="Z15" s="1336"/>
      <c r="AA15" s="1337">
        <v>1</v>
      </c>
      <c r="AB15" s="1337">
        <v>1</v>
      </c>
      <c r="AC15" s="1337">
        <v>1</v>
      </c>
    </row>
    <row r="16" spans="1:29" ht="64.5" customHeight="1">
      <c r="A16" s="297"/>
      <c r="B16" s="513" t="s">
        <v>2384</v>
      </c>
      <c r="C16" s="1145" t="str">
        <f>IF(B1="工业",估价对象房地状况!G5,估价对象房地状况!C7)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6" s="1139">
        <v>100</v>
      </c>
      <c r="E16" s="341"/>
      <c r="F16" s="339">
        <f>SUMIF(65:65,E17,66:66)-SUMIF(65:65,C17,66:66)+100</f>
        <v>100</v>
      </c>
      <c r="G16" s="341"/>
      <c r="H16" s="344">
        <f>SUMIF(65:65,G17,66:66)-SUMIF(65:65,C17,66:66)+100</f>
        <v>100</v>
      </c>
      <c r="I16" s="341"/>
      <c r="J16" s="344">
        <f>SUMIF(65:65,I17,66:66)-SUMIF(65:65,C17,66:66)+100</f>
        <v>100</v>
      </c>
      <c r="K16" s="500">
        <v>2</v>
      </c>
      <c r="L16" s="3034"/>
      <c r="M16" s="3025"/>
      <c r="N16" s="3025"/>
      <c r="O16" s="3033"/>
      <c r="P16" s="4114"/>
      <c r="Q16" s="1334" t="str">
        <f>B16</f>
        <v>公共配套设施</v>
      </c>
      <c r="R16" s="631" t="s">
        <v>25</v>
      </c>
      <c r="S16" s="632">
        <f>F16</f>
        <v>100</v>
      </c>
      <c r="T16" s="631" t="s">
        <v>25</v>
      </c>
      <c r="U16" s="632">
        <f>H16</f>
        <v>100</v>
      </c>
      <c r="V16" s="631" t="s">
        <v>25</v>
      </c>
      <c r="W16" s="632">
        <f>J16</f>
        <v>100</v>
      </c>
      <c r="X16" s="1335"/>
      <c r="Y16" s="4114"/>
      <c r="Z16" s="1336" t="str">
        <f>Q16</f>
        <v>公共配套设施</v>
      </c>
      <c r="AA16" s="1337">
        <f t="shared" si="3"/>
        <v>1</v>
      </c>
      <c r="AB16" s="1337">
        <f t="shared" si="4"/>
        <v>1</v>
      </c>
      <c r="AC16" s="1337">
        <f t="shared" si="5"/>
        <v>1</v>
      </c>
    </row>
    <row r="17" spans="1:29" ht="15">
      <c r="A17" s="297"/>
      <c r="B17" s="514"/>
      <c r="C17" s="1133" t="s">
        <v>29</v>
      </c>
      <c r="D17" s="1139"/>
      <c r="E17" s="1144" t="s">
        <v>29</v>
      </c>
      <c r="F17" s="339"/>
      <c r="G17" s="1144" t="s">
        <v>29</v>
      </c>
      <c r="H17" s="336"/>
      <c r="I17" s="1144" t="s">
        <v>29</v>
      </c>
      <c r="J17" s="336"/>
      <c r="K17" s="501"/>
      <c r="L17" s="3034"/>
      <c r="M17" s="3025"/>
      <c r="N17" s="3025"/>
      <c r="O17" s="3033"/>
      <c r="P17" s="4114"/>
      <c r="Q17" s="1334"/>
      <c r="R17" s="631"/>
      <c r="S17" s="632"/>
      <c r="T17" s="631"/>
      <c r="U17" s="632"/>
      <c r="V17" s="631"/>
      <c r="W17" s="632"/>
      <c r="X17" s="1335"/>
      <c r="Y17" s="4114"/>
      <c r="Z17" s="1336"/>
      <c r="AA17" s="1337">
        <v>1</v>
      </c>
      <c r="AB17" s="1337">
        <v>1</v>
      </c>
      <c r="AC17" s="1337">
        <v>1</v>
      </c>
    </row>
    <row r="18" spans="1:29" ht="42.7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v>2</v>
      </c>
      <c r="L18" s="3034"/>
      <c r="M18" s="3025"/>
      <c r="N18" s="3025"/>
      <c r="O18" s="3033"/>
      <c r="P18" s="4114"/>
      <c r="Q18" s="1334" t="str">
        <f>B18</f>
        <v>基础设施水平</v>
      </c>
      <c r="R18" s="631" t="s">
        <v>25</v>
      </c>
      <c r="S18" s="632">
        <f>F18</f>
        <v>100</v>
      </c>
      <c r="T18" s="631" t="s">
        <v>25</v>
      </c>
      <c r="U18" s="632">
        <f>H18</f>
        <v>100</v>
      </c>
      <c r="V18" s="631" t="s">
        <v>25</v>
      </c>
      <c r="W18" s="632">
        <f>J18</f>
        <v>100</v>
      </c>
      <c r="X18" s="1335"/>
      <c r="Y18" s="4114"/>
      <c r="Z18" s="1336" t="str">
        <f>Q18</f>
        <v>基础设施水平</v>
      </c>
      <c r="AA18" s="1337">
        <f t="shared" ref="AA18" si="8">D18/F18</f>
        <v>1</v>
      </c>
      <c r="AB18" s="1337">
        <f t="shared" ref="AB18" si="9">D18/H18</f>
        <v>1</v>
      </c>
      <c r="AC18" s="1337">
        <f t="shared" ref="AC18" si="10">D18/J18</f>
        <v>1</v>
      </c>
    </row>
    <row r="19" spans="1:29" ht="15">
      <c r="A19" s="297"/>
      <c r="B19" s="515"/>
      <c r="C19" s="1134" t="s">
        <v>2933</v>
      </c>
      <c r="D19" s="1139"/>
      <c r="E19" s="1134" t="s">
        <v>2933</v>
      </c>
      <c r="F19" s="339"/>
      <c r="G19" s="1134" t="s">
        <v>2933</v>
      </c>
      <c r="H19" s="336"/>
      <c r="I19" s="1134" t="s">
        <v>2933</v>
      </c>
      <c r="J19" s="336"/>
      <c r="K19" s="1132"/>
      <c r="L19" s="3034"/>
      <c r="M19" s="3025"/>
      <c r="N19" s="3025"/>
      <c r="O19" s="3033"/>
      <c r="P19" s="4114"/>
      <c r="Q19" s="1334"/>
      <c r="R19" s="631"/>
      <c r="S19" s="632"/>
      <c r="T19" s="631"/>
      <c r="U19" s="632"/>
      <c r="V19" s="631"/>
      <c r="W19" s="632"/>
      <c r="X19" s="1335"/>
      <c r="Y19" s="4114"/>
      <c r="Z19" s="1336"/>
      <c r="AA19" s="1337">
        <v>1</v>
      </c>
      <c r="AB19" s="1337">
        <v>1</v>
      </c>
      <c r="AC19" s="1337">
        <v>1</v>
      </c>
    </row>
    <row r="20" spans="1:29" ht="60" customHeight="1">
      <c r="A20" s="297"/>
      <c r="B20" s="513" t="s">
        <v>2407</v>
      </c>
      <c r="C20" s="1145" t="str">
        <f>IF(B1="工业",估价对象房地状况!G7,估价对象房地状况!C9)</f>
        <v>区域自然环境：知春公园、双榆树公园；人文环境；首体足球场、大运村网球场；
综合评价环境状况较好</v>
      </c>
      <c r="D20" s="1140">
        <v>100</v>
      </c>
      <c r="E20" s="347"/>
      <c r="F20" s="344">
        <f>SUMIF(69:69,E21,70:70)-SUMIF(69:69,C21,70:70)+100</f>
        <v>100</v>
      </c>
      <c r="G20" s="347"/>
      <c r="H20" s="339">
        <f>SUMIF(69:69,G21,70:70)-SUMIF(69:69,C21,70:70)+100</f>
        <v>100</v>
      </c>
      <c r="I20" s="341"/>
      <c r="J20" s="339">
        <f>SUMIF(69:69,I21,70:70)-SUMIF(69:69,C21,70:70)+100</f>
        <v>100</v>
      </c>
      <c r="K20" s="500">
        <v>2</v>
      </c>
      <c r="L20" s="3034"/>
      <c r="M20" s="3025"/>
      <c r="N20" s="3025"/>
      <c r="O20" s="3033"/>
      <c r="P20" s="4114"/>
      <c r="Q20" s="1334" t="str">
        <f>B20</f>
        <v>自然及人文环境</v>
      </c>
      <c r="R20" s="631" t="s">
        <v>25</v>
      </c>
      <c r="S20" s="632">
        <f>F20</f>
        <v>100</v>
      </c>
      <c r="T20" s="631" t="s">
        <v>25</v>
      </c>
      <c r="U20" s="632">
        <f>H20</f>
        <v>100</v>
      </c>
      <c r="V20" s="631" t="s">
        <v>25</v>
      </c>
      <c r="W20" s="632">
        <f>J20</f>
        <v>100</v>
      </c>
      <c r="X20" s="1335"/>
      <c r="Y20" s="4114"/>
      <c r="Z20" s="1336" t="str">
        <f>Q20</f>
        <v>自然及人文环境</v>
      </c>
      <c r="AA20" s="1337">
        <f t="shared" si="3"/>
        <v>1</v>
      </c>
      <c r="AB20" s="1337">
        <f t="shared" si="4"/>
        <v>1</v>
      </c>
      <c r="AC20" s="1337">
        <f t="shared" si="5"/>
        <v>1</v>
      </c>
    </row>
    <row r="21" spans="1:29" ht="15">
      <c r="A21" s="297"/>
      <c r="B21" s="514"/>
      <c r="C21" s="1144" t="s">
        <v>29</v>
      </c>
      <c r="D21" s="1138"/>
      <c r="E21" s="1144" t="s">
        <v>29</v>
      </c>
      <c r="F21" s="336"/>
      <c r="G21" s="1144" t="s">
        <v>29</v>
      </c>
      <c r="H21" s="336"/>
      <c r="I21" s="1144" t="s">
        <v>29</v>
      </c>
      <c r="J21" s="336"/>
      <c r="K21" s="501"/>
      <c r="L21" s="3034"/>
      <c r="M21" s="3025"/>
      <c r="N21" s="3025"/>
      <c r="O21" s="3033"/>
      <c r="P21" s="4114"/>
      <c r="Q21" s="1334"/>
      <c r="R21" s="631"/>
      <c r="S21" s="632"/>
      <c r="T21" s="631"/>
      <c r="U21" s="632"/>
      <c r="V21" s="631"/>
      <c r="W21" s="632"/>
      <c r="X21" s="1335"/>
      <c r="Y21" s="4114"/>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4114"/>
      <c r="Q22" s="1334" t="str">
        <f>B22</f>
        <v>楼层</v>
      </c>
      <c r="R22" s="631" t="s">
        <v>25</v>
      </c>
      <c r="S22" s="632">
        <f>F22</f>
        <v>100</v>
      </c>
      <c r="T22" s="631" t="s">
        <v>25</v>
      </c>
      <c r="U22" s="632">
        <f>H22</f>
        <v>100</v>
      </c>
      <c r="V22" s="631" t="s">
        <v>25</v>
      </c>
      <c r="W22" s="632">
        <f>J22</f>
        <v>100</v>
      </c>
      <c r="X22" s="1335"/>
      <c r="Y22" s="411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4114"/>
      <c r="Q23" s="1334">
        <f>B23</f>
        <v>111</v>
      </c>
      <c r="R23" s="631" t="s">
        <v>25</v>
      </c>
      <c r="S23" s="632">
        <f>F23</f>
        <v>100</v>
      </c>
      <c r="T23" s="631" t="s">
        <v>25</v>
      </c>
      <c r="U23" s="632">
        <f>H23</f>
        <v>100</v>
      </c>
      <c r="V23" s="631" t="s">
        <v>25</v>
      </c>
      <c r="W23" s="632">
        <f>J23</f>
        <v>100</v>
      </c>
      <c r="X23" s="1335"/>
      <c r="Y23" s="411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4114"/>
      <c r="Q24" s="1334">
        <f t="shared" ref="Q24:Q36" si="11">B24</f>
        <v>111</v>
      </c>
      <c r="R24" s="631" t="s">
        <v>25</v>
      </c>
      <c r="S24" s="632">
        <f>F24</f>
        <v>100</v>
      </c>
      <c r="T24" s="631" t="s">
        <v>25</v>
      </c>
      <c r="U24" s="632">
        <f>H24</f>
        <v>100</v>
      </c>
      <c r="V24" s="631" t="s">
        <v>25</v>
      </c>
      <c r="W24" s="632">
        <f>J24</f>
        <v>100</v>
      </c>
      <c r="X24" s="1335"/>
      <c r="Y24" s="411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4114"/>
      <c r="Q25" s="1327">
        <f t="shared" si="11"/>
        <v>111</v>
      </c>
      <c r="R25" s="627" t="s">
        <v>25</v>
      </c>
      <c r="S25" s="628">
        <f>F25</f>
        <v>100</v>
      </c>
      <c r="T25" s="627" t="s">
        <v>25</v>
      </c>
      <c r="U25" s="628">
        <f>H25</f>
        <v>100</v>
      </c>
      <c r="V25" s="627" t="s">
        <v>25</v>
      </c>
      <c r="W25" s="628">
        <f>J25</f>
        <v>100</v>
      </c>
      <c r="X25" s="629"/>
      <c r="Y25" s="4114"/>
      <c r="Z25" s="19">
        <f>Q25</f>
        <v>111</v>
      </c>
      <c r="AA25" s="1337">
        <f>D25/F25</f>
        <v>1</v>
      </c>
      <c r="AB25" s="1337">
        <f>D25/H25</f>
        <v>1</v>
      </c>
      <c r="AC25" s="1337">
        <f>D25/J25</f>
        <v>1</v>
      </c>
    </row>
    <row r="26" spans="1:29" ht="28.5">
      <c r="A26" s="533" t="s">
        <v>2273</v>
      </c>
      <c r="B26" s="23" t="s">
        <v>2409</v>
      </c>
      <c r="C26" s="3165" t="s">
        <v>2934</v>
      </c>
      <c r="D26" s="336">
        <v>100</v>
      </c>
      <c r="E26" s="335" t="s">
        <v>2880</v>
      </c>
      <c r="F26" s="338">
        <f>SUMIF(79:79,E26,80:80)-SUMIF(79:79,C26,80:80)+100</f>
        <v>100</v>
      </c>
      <c r="G26" s="335" t="s">
        <v>2880</v>
      </c>
      <c r="H26" s="336">
        <f>SUMIF(79:79,G26,80:80)-SUMIF(79:79,C26,80:80)+100</f>
        <v>100</v>
      </c>
      <c r="I26" s="335" t="s">
        <v>2880</v>
      </c>
      <c r="J26" s="336">
        <f>SUMIF(79:79,I26,80:80)-SUMIF(79:79,C26,80:80)+100</f>
        <v>100</v>
      </c>
      <c r="K26" s="498">
        <v>2</v>
      </c>
      <c r="L26" s="3034"/>
      <c r="M26" s="3025"/>
      <c r="N26" s="3025"/>
      <c r="O26" s="3033"/>
      <c r="P26" s="4101"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4102"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4102"/>
      <c r="Q27" s="633" t="str">
        <f t="shared" si="11"/>
        <v>项目停车位配比</v>
      </c>
      <c r="R27" s="634" t="s">
        <v>25</v>
      </c>
      <c r="S27" s="635">
        <f t="shared" si="12"/>
        <v>100</v>
      </c>
      <c r="T27" s="634" t="s">
        <v>25</v>
      </c>
      <c r="U27" s="635">
        <f t="shared" si="13"/>
        <v>100</v>
      </c>
      <c r="V27" s="634" t="s">
        <v>25</v>
      </c>
      <c r="W27" s="635">
        <f t="shared" si="14"/>
        <v>100</v>
      </c>
      <c r="X27" s="636"/>
      <c r="Y27" s="4102"/>
      <c r="Z27" s="637" t="str">
        <f t="shared" si="15"/>
        <v>项目停车位配比</v>
      </c>
      <c r="AA27" s="1337">
        <f t="shared" si="3"/>
        <v>1</v>
      </c>
      <c r="AB27" s="1337">
        <f t="shared" si="4"/>
        <v>1</v>
      </c>
      <c r="AC27" s="1337">
        <f t="shared" si="5"/>
        <v>1</v>
      </c>
    </row>
    <row r="28" spans="1:29" ht="15">
      <c r="A28" s="537"/>
      <c r="B28" s="535" t="s">
        <v>2411</v>
      </c>
      <c r="C28" s="350" t="s">
        <v>2900</v>
      </c>
      <c r="D28" s="325">
        <v>100</v>
      </c>
      <c r="E28" s="350" t="s">
        <v>2900</v>
      </c>
      <c r="F28" s="351">
        <f>SUMIF(83:83,E28,84:84)-SUMIF(83:83,C28,84:84)+100</f>
        <v>100</v>
      </c>
      <c r="G28" s="350" t="s">
        <v>2900</v>
      </c>
      <c r="H28" s="325">
        <f>SUMIF(83:83,G28,84:84)-SUMIF(83:83,C28,84:84)+100</f>
        <v>100</v>
      </c>
      <c r="I28" s="350" t="s">
        <v>2900</v>
      </c>
      <c r="J28" s="325">
        <f>SUMIF(83:83,I28,84:84)-SUMIF(83:83,C28,84:84)+100</f>
        <v>100</v>
      </c>
      <c r="K28" s="498">
        <v>1</v>
      </c>
      <c r="L28" s="3034"/>
      <c r="M28" s="3025"/>
      <c r="N28" s="3025"/>
      <c r="O28" s="3033"/>
      <c r="P28" s="4102"/>
      <c r="Q28" s="1334" t="str">
        <f t="shared" si="11"/>
        <v>公共部分装修</v>
      </c>
      <c r="R28" s="631" t="s">
        <v>25</v>
      </c>
      <c r="S28" s="632">
        <f t="shared" si="12"/>
        <v>100</v>
      </c>
      <c r="T28" s="631" t="s">
        <v>25</v>
      </c>
      <c r="U28" s="632">
        <f t="shared" si="13"/>
        <v>100</v>
      </c>
      <c r="V28" s="631" t="s">
        <v>25</v>
      </c>
      <c r="W28" s="632">
        <f t="shared" si="14"/>
        <v>100</v>
      </c>
      <c r="X28" s="1335"/>
      <c r="Y28" s="4102"/>
      <c r="Z28" s="1336" t="str">
        <f t="shared" si="15"/>
        <v>公共部分装修</v>
      </c>
      <c r="AA28" s="1337">
        <f t="shared" si="3"/>
        <v>1</v>
      </c>
      <c r="AB28" s="1337">
        <f t="shared" si="4"/>
        <v>1</v>
      </c>
      <c r="AC28" s="1337">
        <f t="shared" si="5"/>
        <v>1</v>
      </c>
    </row>
    <row r="29" spans="1:29" ht="15">
      <c r="A29" s="537"/>
      <c r="B29" s="535" t="s">
        <v>2412</v>
      </c>
      <c r="C29" s="3161">
        <f>'数据-取费表'!E20</f>
        <v>0.8</v>
      </c>
      <c r="D29" s="325">
        <v>100</v>
      </c>
      <c r="E29" s="362">
        <f>C29</f>
        <v>0.8</v>
      </c>
      <c r="F29" s="351">
        <f>LOOKUP(E29,86:86,87:87)-LOOKUP(C29,86:86,87:87)+100</f>
        <v>100</v>
      </c>
      <c r="G29" s="362">
        <f>C29</f>
        <v>0.8</v>
      </c>
      <c r="H29" s="351">
        <f>LOOKUP(G29,86:86,87:87)-LOOKUP(C29,86:86,87:87)+100</f>
        <v>100</v>
      </c>
      <c r="I29" s="362">
        <f>C29</f>
        <v>0.8</v>
      </c>
      <c r="J29" s="325">
        <f>LOOKUP(I29,86:86,87:87)-LOOKUP(C29,86:86,87:87)+100</f>
        <v>100</v>
      </c>
      <c r="K29" s="498">
        <v>1</v>
      </c>
      <c r="L29" s="3034"/>
      <c r="M29" s="3025"/>
      <c r="N29" s="3025"/>
      <c r="O29" s="3033"/>
      <c r="P29" s="4102"/>
      <c r="Q29" s="1334" t="str">
        <f t="shared" si="11"/>
        <v>成新率</v>
      </c>
      <c r="R29" s="631" t="s">
        <v>25</v>
      </c>
      <c r="S29" s="632">
        <f t="shared" si="12"/>
        <v>100</v>
      </c>
      <c r="T29" s="631" t="s">
        <v>25</v>
      </c>
      <c r="U29" s="632">
        <f t="shared" si="13"/>
        <v>100</v>
      </c>
      <c r="V29" s="631" t="s">
        <v>25</v>
      </c>
      <c r="W29" s="632">
        <f t="shared" si="14"/>
        <v>100</v>
      </c>
      <c r="X29" s="1335"/>
      <c r="Y29" s="4102"/>
      <c r="Z29" s="1336" t="str">
        <f t="shared" si="15"/>
        <v>成新率</v>
      </c>
      <c r="AA29" s="1337">
        <f t="shared" si="3"/>
        <v>1</v>
      </c>
      <c r="AB29" s="1337">
        <f t="shared" si="4"/>
        <v>1</v>
      </c>
      <c r="AC29" s="1337">
        <f t="shared" si="5"/>
        <v>1</v>
      </c>
    </row>
    <row r="30" spans="1:29" ht="15">
      <c r="A30" s="537"/>
      <c r="B30" s="535" t="s">
        <v>2413</v>
      </c>
      <c r="C30" s="538" t="s">
        <v>2925</v>
      </c>
      <c r="D30" s="325">
        <v>100</v>
      </c>
      <c r="E30" s="538" t="s">
        <v>2925</v>
      </c>
      <c r="F30" s="351">
        <f>SUMIF(88:88,E30,89:89)-SUMIF(88:88,C30,89:89)+100</f>
        <v>100</v>
      </c>
      <c r="G30" s="538" t="s">
        <v>2925</v>
      </c>
      <c r="H30" s="325">
        <f>SUMIF(88:88,G30,89:89)-SUMIF(88:88,C30,89:89)+100</f>
        <v>100</v>
      </c>
      <c r="I30" s="538" t="s">
        <v>2925</v>
      </c>
      <c r="J30" s="325">
        <f>SUMIF(88:88,I30,89:89)-SUMIF(88:88,C30,89:89)+100</f>
        <v>100</v>
      </c>
      <c r="K30" s="498">
        <v>2</v>
      </c>
      <c r="L30" s="3034"/>
      <c r="M30" s="3025"/>
      <c r="N30" s="3025"/>
      <c r="O30" s="3033"/>
      <c r="P30" s="4102"/>
      <c r="Q30" s="1334" t="str">
        <f t="shared" si="11"/>
        <v>物业等级</v>
      </c>
      <c r="R30" s="631" t="s">
        <v>25</v>
      </c>
      <c r="S30" s="632">
        <f t="shared" si="12"/>
        <v>100</v>
      </c>
      <c r="T30" s="631" t="s">
        <v>25</v>
      </c>
      <c r="U30" s="632">
        <f t="shared" si="13"/>
        <v>100</v>
      </c>
      <c r="V30" s="631" t="s">
        <v>25</v>
      </c>
      <c r="W30" s="632">
        <f t="shared" si="14"/>
        <v>100</v>
      </c>
      <c r="X30" s="1335"/>
      <c r="Y30" s="4102"/>
      <c r="Z30" s="1336" t="str">
        <f t="shared" si="15"/>
        <v>物业等级</v>
      </c>
      <c r="AA30" s="1337">
        <f t="shared" si="3"/>
        <v>1</v>
      </c>
      <c r="AB30" s="1337">
        <f t="shared" si="4"/>
        <v>1</v>
      </c>
      <c r="AC30" s="1337">
        <f t="shared" si="5"/>
        <v>1</v>
      </c>
    </row>
    <row r="31" spans="1:29" s="25" customFormat="1" ht="15">
      <c r="A31" s="539"/>
      <c r="B31" s="535" t="s">
        <v>2414</v>
      </c>
      <c r="C31" s="357">
        <f>'数据-取费表'!B5</f>
        <v>459.68</v>
      </c>
      <c r="D31" s="29">
        <v>100</v>
      </c>
      <c r="E31" s="357">
        <v>29</v>
      </c>
      <c r="F31" s="351">
        <f>LOOKUP(E31,91:91,92:92)-LOOKUP(C31,91:91,92:92)+100</f>
        <v>98</v>
      </c>
      <c r="G31" s="357">
        <v>30</v>
      </c>
      <c r="H31" s="325">
        <f>LOOKUP(G31,91:91,92:92)-LOOKUP(C31,91:91,92:92)+100</f>
        <v>98</v>
      </c>
      <c r="I31" s="357">
        <v>31</v>
      </c>
      <c r="J31" s="325">
        <f>LOOKUP(I31,91:91,92:92)-LOOKUP(C31,91:91,92:92)+100</f>
        <v>98</v>
      </c>
      <c r="K31" s="498">
        <v>2</v>
      </c>
      <c r="L31" s="3026"/>
      <c r="M31" s="3027"/>
      <c r="N31" s="3027"/>
      <c r="O31" s="3028"/>
      <c r="P31" s="4102"/>
      <c r="Q31" s="1327" t="str">
        <f t="shared" si="11"/>
        <v>停车位面积</v>
      </c>
      <c r="R31" s="627" t="s">
        <v>25</v>
      </c>
      <c r="S31" s="628">
        <f t="shared" si="12"/>
        <v>98</v>
      </c>
      <c r="T31" s="627" t="s">
        <v>25</v>
      </c>
      <c r="U31" s="628">
        <f t="shared" si="13"/>
        <v>98</v>
      </c>
      <c r="V31" s="627" t="s">
        <v>25</v>
      </c>
      <c r="W31" s="628">
        <f t="shared" si="14"/>
        <v>98</v>
      </c>
      <c r="X31" s="629"/>
      <c r="Y31" s="4102"/>
      <c r="Z31" s="19" t="str">
        <f t="shared" si="15"/>
        <v>停车位面积</v>
      </c>
      <c r="AA31" s="630">
        <f t="shared" si="3"/>
        <v>1.0204081632653061</v>
      </c>
      <c r="AB31" s="630">
        <f t="shared" si="4"/>
        <v>1.0204081632653061</v>
      </c>
      <c r="AC31" s="630">
        <f t="shared" si="5"/>
        <v>1.0204081632653061</v>
      </c>
    </row>
    <row r="32" spans="1:29" ht="15">
      <c r="A32" s="537"/>
      <c r="B32" s="535" t="s">
        <v>2415</v>
      </c>
      <c r="C32" s="350" t="s">
        <v>2927</v>
      </c>
      <c r="D32" s="325">
        <v>100</v>
      </c>
      <c r="E32" s="350" t="s">
        <v>2927</v>
      </c>
      <c r="F32" s="351">
        <f>SUMIF(93:93,E32,94:94)-SUMIF(93:93,C32,94:94)+100</f>
        <v>100</v>
      </c>
      <c r="G32" s="350" t="s">
        <v>2927</v>
      </c>
      <c r="H32" s="325">
        <f>SUMIF(93:93,G32,94:94)-SUMIF(93:93,C32,94:94)+100</f>
        <v>100</v>
      </c>
      <c r="I32" s="350" t="s">
        <v>2927</v>
      </c>
      <c r="J32" s="325">
        <f>SUMIF(93:93,I32,94:94)-SUMIF(93:93,C32,94:94)+100</f>
        <v>100</v>
      </c>
      <c r="K32" s="498">
        <v>2</v>
      </c>
      <c r="L32" s="3034"/>
      <c r="M32" s="3025"/>
      <c r="N32" s="3025"/>
      <c r="O32" s="3033"/>
      <c r="P32" s="4102" t="s">
        <v>2275</v>
      </c>
      <c r="Q32" s="1334" t="str">
        <f t="shared" si="11"/>
        <v>车位类型</v>
      </c>
      <c r="R32" s="631" t="s">
        <v>25</v>
      </c>
      <c r="S32" s="632">
        <f t="shared" si="12"/>
        <v>100</v>
      </c>
      <c r="T32" s="631" t="s">
        <v>25</v>
      </c>
      <c r="U32" s="632">
        <f t="shared" si="13"/>
        <v>100</v>
      </c>
      <c r="V32" s="631" t="s">
        <v>25</v>
      </c>
      <c r="W32" s="632">
        <f t="shared" si="14"/>
        <v>100</v>
      </c>
      <c r="X32" s="1335"/>
      <c r="Y32" s="4102" t="s">
        <v>2275</v>
      </c>
      <c r="Z32" s="1336" t="str">
        <f t="shared" si="15"/>
        <v>车位类型</v>
      </c>
      <c r="AA32" s="1337">
        <f t="shared" si="3"/>
        <v>1</v>
      </c>
      <c r="AB32" s="1337">
        <f t="shared" si="4"/>
        <v>1</v>
      </c>
      <c r="AC32" s="1337">
        <f t="shared" si="5"/>
        <v>1</v>
      </c>
    </row>
    <row r="33" spans="1:29" ht="15">
      <c r="A33" s="537"/>
      <c r="B33" s="535" t="s">
        <v>2416</v>
      </c>
      <c r="C33" s="350" t="s">
        <v>2930</v>
      </c>
      <c r="D33" s="325">
        <v>100</v>
      </c>
      <c r="E33" s="350" t="s">
        <v>2930</v>
      </c>
      <c r="F33" s="351">
        <f>SUMIF(95:95,E33,96:96)-SUMIF(95:95,C33,96:96)+100</f>
        <v>100</v>
      </c>
      <c r="G33" s="350" t="s">
        <v>2930</v>
      </c>
      <c r="H33" s="325">
        <f>SUMIF(95:95,G33,96:96)-SUMIF(95:95,C33,96:96)+100</f>
        <v>100</v>
      </c>
      <c r="I33" s="350" t="s">
        <v>2930</v>
      </c>
      <c r="J33" s="325">
        <f>SUMIF(95:95,I33,96:96)-SUMIF(95:95,C33,96:96)+100</f>
        <v>100</v>
      </c>
      <c r="K33" s="498">
        <v>2</v>
      </c>
      <c r="L33" s="3034"/>
      <c r="M33" s="3025"/>
      <c r="N33" s="3025"/>
      <c r="O33" s="3033"/>
      <c r="P33" s="4102"/>
      <c r="Q33" s="1334" t="str">
        <f t="shared" si="11"/>
        <v>是否直接入户</v>
      </c>
      <c r="R33" s="631" t="s">
        <v>25</v>
      </c>
      <c r="S33" s="632">
        <f t="shared" si="12"/>
        <v>100</v>
      </c>
      <c r="T33" s="631" t="s">
        <v>25</v>
      </c>
      <c r="U33" s="632">
        <f t="shared" si="13"/>
        <v>100</v>
      </c>
      <c r="V33" s="631" t="s">
        <v>25</v>
      </c>
      <c r="W33" s="632">
        <f t="shared" si="14"/>
        <v>100</v>
      </c>
      <c r="X33" s="1335"/>
      <c r="Y33" s="4102"/>
      <c r="Z33" s="1336" t="str">
        <f t="shared" si="15"/>
        <v>是否直接入户</v>
      </c>
      <c r="AA33" s="1337">
        <f t="shared" si="3"/>
        <v>1</v>
      </c>
      <c r="AB33" s="1337">
        <f t="shared" si="4"/>
        <v>1</v>
      </c>
      <c r="AC33" s="1337">
        <f t="shared" si="5"/>
        <v>1</v>
      </c>
    </row>
    <row r="34" spans="1:29" ht="15">
      <c r="A34" s="537"/>
      <c r="B34" s="3166" t="s">
        <v>2935</v>
      </c>
      <c r="C34" s="3168" t="s">
        <v>2936</v>
      </c>
      <c r="D34" s="325">
        <v>100</v>
      </c>
      <c r="E34" s="3168" t="s">
        <v>2938</v>
      </c>
      <c r="F34" s="351">
        <f>SUMIF(97:97,E34,98:98)-SUMIF(97:97,C34,98:98)+100</f>
        <v>105</v>
      </c>
      <c r="G34" s="3168" t="s">
        <v>2938</v>
      </c>
      <c r="H34" s="325">
        <f>SUMIF(97:97,G34,98:98)-SUMIF(97:97,C34,98:98)+100</f>
        <v>105</v>
      </c>
      <c r="I34" s="3168" t="s">
        <v>2936</v>
      </c>
      <c r="J34" s="325">
        <f>SUMIF(97:97,I34,98:98)-SUMIF(97:97,C34,98:98)+100</f>
        <v>100</v>
      </c>
      <c r="K34" s="499"/>
      <c r="L34" s="3034"/>
      <c r="M34" s="3025"/>
      <c r="N34" s="3025"/>
      <c r="O34" s="3033"/>
      <c r="P34" s="4102"/>
      <c r="Q34" s="1334" t="str">
        <f t="shared" si="11"/>
        <v>离出入口距离</v>
      </c>
      <c r="R34" s="631" t="s">
        <v>25</v>
      </c>
      <c r="S34" s="632">
        <f t="shared" si="12"/>
        <v>105</v>
      </c>
      <c r="T34" s="631" t="s">
        <v>25</v>
      </c>
      <c r="U34" s="632">
        <f t="shared" si="13"/>
        <v>105</v>
      </c>
      <c r="V34" s="631" t="s">
        <v>25</v>
      </c>
      <c r="W34" s="632">
        <f t="shared" si="14"/>
        <v>100</v>
      </c>
      <c r="X34" s="1335"/>
      <c r="Y34" s="4102"/>
      <c r="Z34" s="1336" t="str">
        <f t="shared" si="15"/>
        <v>离出入口距离</v>
      </c>
      <c r="AA34" s="1337">
        <f t="shared" si="3"/>
        <v>0.95238095238095233</v>
      </c>
      <c r="AB34" s="1337">
        <f t="shared" si="4"/>
        <v>0.95238095238095233</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4102"/>
      <c r="Q35" s="633">
        <f t="shared" si="11"/>
        <v>111</v>
      </c>
      <c r="R35" s="634" t="s">
        <v>25</v>
      </c>
      <c r="S35" s="635">
        <f t="shared" si="12"/>
        <v>100</v>
      </c>
      <c r="T35" s="634" t="s">
        <v>25</v>
      </c>
      <c r="U35" s="635">
        <f t="shared" si="13"/>
        <v>100</v>
      </c>
      <c r="V35" s="634" t="s">
        <v>25</v>
      </c>
      <c r="W35" s="635">
        <f t="shared" si="14"/>
        <v>100</v>
      </c>
      <c r="X35" s="636"/>
      <c r="Y35" s="410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4102"/>
      <c r="Q36" s="1334">
        <f t="shared" si="11"/>
        <v>111</v>
      </c>
      <c r="R36" s="631" t="s">
        <v>25</v>
      </c>
      <c r="S36" s="632">
        <f t="shared" si="12"/>
        <v>100</v>
      </c>
      <c r="T36" s="631" t="s">
        <v>25</v>
      </c>
      <c r="U36" s="632">
        <f t="shared" si="13"/>
        <v>100</v>
      </c>
      <c r="V36" s="631" t="s">
        <v>25</v>
      </c>
      <c r="W36" s="632">
        <f t="shared" si="14"/>
        <v>100</v>
      </c>
      <c r="X36" s="1335"/>
      <c r="Y36" s="4102"/>
      <c r="Z36" s="1336">
        <f t="shared" si="15"/>
        <v>111</v>
      </c>
      <c r="AA36" s="1337">
        <f t="shared" si="3"/>
        <v>1</v>
      </c>
      <c r="AB36" s="1337">
        <f t="shared" si="4"/>
        <v>1</v>
      </c>
      <c r="AC36" s="1337">
        <f t="shared" si="5"/>
        <v>1</v>
      </c>
    </row>
    <row r="37" spans="1:29" ht="15">
      <c r="A37" s="367" t="s">
        <v>2417</v>
      </c>
      <c r="B37" s="840" t="s">
        <v>2418</v>
      </c>
      <c r="C37" s="1153" t="s">
        <v>1</v>
      </c>
      <c r="D37" s="1154"/>
      <c r="E37" s="1155">
        <v>16695</v>
      </c>
      <c r="F37" s="1156"/>
      <c r="G37" s="1157">
        <v>17017</v>
      </c>
      <c r="H37" s="1158"/>
      <c r="I37" s="1155">
        <v>16024</v>
      </c>
      <c r="J37" s="1158"/>
      <c r="K37" s="503"/>
      <c r="L37" s="3036"/>
      <c r="N37" s="3025"/>
      <c r="P37" s="4096" t="str">
        <f>A37</f>
        <v>成交单价</v>
      </c>
      <c r="Q37" s="4096"/>
      <c r="R37" s="4097">
        <f>E37</f>
        <v>16695</v>
      </c>
      <c r="S37" s="4097"/>
      <c r="T37" s="4097">
        <f>G37</f>
        <v>17017</v>
      </c>
      <c r="U37" s="4097"/>
      <c r="V37" s="4097">
        <f>I37</f>
        <v>16024</v>
      </c>
      <c r="W37" s="4097"/>
      <c r="X37" s="618"/>
      <c r="Y37" s="638"/>
      <c r="Z37" s="618"/>
      <c r="AA37" s="618"/>
      <c r="AB37" s="618"/>
      <c r="AC37" s="618"/>
    </row>
    <row r="38" spans="1:29" ht="15.75" thickBot="1">
      <c r="A38" s="374" t="s">
        <v>2419</v>
      </c>
      <c r="B38" s="375" t="str">
        <f>B37</f>
        <v>元/平方米</v>
      </c>
      <c r="C38" s="1159" t="e">
        <f>R39</f>
        <v>#DIV/0!</v>
      </c>
      <c r="D38" s="1796" t="s">
        <v>2741</v>
      </c>
      <c r="E38" s="1160" t="e">
        <f>R38</f>
        <v>#DIV/0!</v>
      </c>
      <c r="F38" s="1798"/>
      <c r="G38" s="1159" t="e">
        <f>T38</f>
        <v>#DIV/0!</v>
      </c>
      <c r="H38" s="1798"/>
      <c r="I38" s="1160" t="e">
        <f>V38</f>
        <v>#DIV/0!</v>
      </c>
      <c r="J38" s="1798"/>
      <c r="K38" s="2510">
        <f>F38+H38+J38</f>
        <v>0</v>
      </c>
      <c r="L38" s="3036"/>
      <c r="P38" s="4096" t="str">
        <f>A38</f>
        <v>比较价值</v>
      </c>
      <c r="Q38" s="4096"/>
      <c r="R38" s="4097" t="e">
        <f>IF(E1="售价",ROUND(PRODUCT(R37,AA7:AA36),0),ROUND(PRODUCT(R37,AA7:AA36),1))</f>
        <v>#DIV/0!</v>
      </c>
      <c r="S38" s="4097"/>
      <c r="T38" s="4097" t="e">
        <f>IF(E1="售价",ROUND(PRODUCT(T37,AB7:AB36),0),ROUND(PRODUCT(T37,AB7:AB36),1))</f>
        <v>#DIV/0!</v>
      </c>
      <c r="U38" s="4097"/>
      <c r="V38" s="4097" t="e">
        <f>IF(E1="售价",ROUND(PRODUCT(V37,AC7:AC36),0),ROUND(PRODUCT(V37,AC7:AC36),1))</f>
        <v>#DIV/0!</v>
      </c>
      <c r="W38" s="4097"/>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6"/>
      <c r="P39" s="4098" t="str">
        <f>A39</f>
        <v>估价对象XX用房的比较价值（楼面单价，元/平方米）</v>
      </c>
      <c r="Q39" s="4099"/>
      <c r="R39" s="4100" t="e">
        <f>IF(E1="售价",ROUND(IF(D38="简单平均",AVERAGE(R38:W38),R38*F38+T38*H38+V38*J38),0),ROUND(IF(D38="简单平均",AVERAGE(R38:V38),R38*F38+T38*H38+V38*J38),1))</f>
        <v>#DIV/0!</v>
      </c>
      <c r="S39" s="4100"/>
      <c r="T39" s="4100"/>
      <c r="U39" s="4100"/>
      <c r="V39" s="4100"/>
      <c r="W39" s="4100"/>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f>IF(E37&lt;G37,G37/E37-1,E37/G37-1)</f>
        <v>1.9287211740041998E-2</v>
      </c>
      <c r="F44" s="386" t="str">
        <f>IF(OR(E44&gt;=0.3,E44&lt;=-0.3),"超过30%","")</f>
        <v/>
      </c>
      <c r="G44" s="385">
        <f>IF(G37&lt;I37,I37/G37-1,G37/I37-1)</f>
        <v>6.1969545681477722E-2</v>
      </c>
      <c r="H44" s="386" t="str">
        <f>IF(OR(G44&gt;=0.3,G44&lt;=-0.3),"超过30%","")</f>
        <v/>
      </c>
      <c r="I44" s="385">
        <f>IF(I37&lt;E37,E37/I37-1,I37/E37-1)</f>
        <v>4.187468796804783E-2</v>
      </c>
      <c r="J44" s="386" t="str">
        <f>IF(OR(I44&gt;=0.3,I44&lt;=-0.3),"超过30%","")</f>
        <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2016-7</v>
      </c>
      <c r="D48" s="1188">
        <f>EDATE(C48,-1)</f>
        <v>42522</v>
      </c>
      <c r="E48" s="1188">
        <f t="shared" ref="E48:O48" si="16">EDATE(D48,-1)</f>
        <v>42491</v>
      </c>
      <c r="F48" s="1188">
        <f t="shared" si="16"/>
        <v>42461</v>
      </c>
      <c r="G48" s="1188">
        <f t="shared" si="16"/>
        <v>42430</v>
      </c>
      <c r="H48" s="1188">
        <f t="shared" si="16"/>
        <v>42401</v>
      </c>
      <c r="I48" s="1188">
        <f t="shared" si="16"/>
        <v>42370</v>
      </c>
      <c r="J48" s="1188">
        <f t="shared" si="16"/>
        <v>42339</v>
      </c>
      <c r="K48" s="1188">
        <f t="shared" si="16"/>
        <v>42309</v>
      </c>
      <c r="L48" s="1188">
        <f t="shared" si="16"/>
        <v>42278</v>
      </c>
      <c r="M48" s="1188">
        <f t="shared" si="16"/>
        <v>42248</v>
      </c>
      <c r="N48" s="1188">
        <f t="shared" si="16"/>
        <v>42217</v>
      </c>
      <c r="O48" s="1188">
        <f t="shared" si="16"/>
        <v>42186</v>
      </c>
      <c r="P48" s="393"/>
    </row>
    <row r="49" spans="1:17" s="25" customFormat="1" ht="15">
      <c r="A49" s="395"/>
      <c r="B49" s="396"/>
      <c r="C49" s="1186">
        <v>100</v>
      </c>
      <c r="D49" s="397">
        <v>100</v>
      </c>
      <c r="E49" s="397">
        <v>100</v>
      </c>
      <c r="F49" s="397">
        <v>99.5</v>
      </c>
      <c r="G49" s="397">
        <v>99.5</v>
      </c>
      <c r="H49" s="397">
        <v>99.5</v>
      </c>
      <c r="I49" s="397">
        <v>99</v>
      </c>
      <c r="J49" s="397">
        <v>99</v>
      </c>
      <c r="K49" s="397">
        <v>99</v>
      </c>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t="str">
        <f>C9</f>
        <v>车位</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98</v>
      </c>
      <c r="G56" s="431">
        <f>F56-$K10</f>
        <v>96</v>
      </c>
      <c r="H56" s="431">
        <f>G56-$K10</f>
        <v>94</v>
      </c>
      <c r="I56" s="431">
        <f>H56-$K10</f>
        <v>92</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98</v>
      </c>
      <c r="E64" s="431">
        <f>D64-$K14</f>
        <v>96</v>
      </c>
      <c r="F64" s="431">
        <f>E64-$K14</f>
        <v>94</v>
      </c>
      <c r="G64" s="431">
        <f>F64-$K14</f>
        <v>92</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98</v>
      </c>
      <c r="E66" s="431">
        <f>D66-$K16</f>
        <v>96</v>
      </c>
      <c r="F66" s="431">
        <f>E66-$K16</f>
        <v>94</v>
      </c>
      <c r="G66" s="431">
        <f>F66-$K16</f>
        <v>92</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98</v>
      </c>
      <c r="E68" s="431">
        <f>D68-$K18</f>
        <v>96</v>
      </c>
      <c r="F68" s="431">
        <f>E68-$K18</f>
        <v>94</v>
      </c>
      <c r="G68" s="431">
        <f>F68-$K18</f>
        <v>92</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98</v>
      </c>
      <c r="E70" s="431">
        <f>D70-$K20</f>
        <v>96</v>
      </c>
      <c r="F70" s="431">
        <f>E70-$K20</f>
        <v>94</v>
      </c>
      <c r="G70" s="431">
        <f>F70-$K20</f>
        <v>92</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t="str">
        <f>C26</f>
        <v>住宅</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98</v>
      </c>
      <c r="E80" s="431">
        <f t="shared" si="17"/>
        <v>96</v>
      </c>
      <c r="F80" s="431">
        <f t="shared" si="17"/>
        <v>94</v>
      </c>
      <c r="G80" s="431">
        <f t="shared" si="17"/>
        <v>92</v>
      </c>
      <c r="H80" s="431">
        <f t="shared" si="17"/>
        <v>90</v>
      </c>
      <c r="I80" s="431">
        <f t="shared" si="17"/>
        <v>88</v>
      </c>
      <c r="J80" s="431">
        <f t="shared" si="17"/>
        <v>86</v>
      </c>
      <c r="K80" s="431">
        <f t="shared" si="17"/>
        <v>84</v>
      </c>
      <c r="L80" s="431">
        <f t="shared" si="17"/>
        <v>82</v>
      </c>
      <c r="M80" s="432">
        <f t="shared" si="17"/>
        <v>80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3163" t="s">
        <v>2924</v>
      </c>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99</v>
      </c>
      <c r="E84" s="431">
        <f t="shared" si="18"/>
        <v>98</v>
      </c>
      <c r="F84" s="431">
        <f t="shared" si="18"/>
        <v>97</v>
      </c>
      <c r="G84" s="431">
        <f t="shared" si="18"/>
        <v>96</v>
      </c>
      <c r="H84" s="431">
        <f t="shared" si="18"/>
        <v>95</v>
      </c>
      <c r="I84" s="431">
        <f t="shared" si="18"/>
        <v>94</v>
      </c>
      <c r="J84" s="431">
        <f t="shared" si="18"/>
        <v>93</v>
      </c>
      <c r="K84" s="431">
        <f t="shared" si="18"/>
        <v>92</v>
      </c>
      <c r="L84" s="431">
        <f t="shared" si="18"/>
        <v>91</v>
      </c>
      <c r="M84" s="432">
        <f t="shared" si="18"/>
        <v>90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101</v>
      </c>
      <c r="E87" s="431">
        <f t="shared" ref="E87:M87" si="19">D87+$K$29</f>
        <v>102</v>
      </c>
      <c r="F87" s="431">
        <f t="shared" si="19"/>
        <v>103</v>
      </c>
      <c r="G87" s="431">
        <f t="shared" si="19"/>
        <v>104</v>
      </c>
      <c r="H87" s="431">
        <f t="shared" si="19"/>
        <v>105</v>
      </c>
      <c r="I87" s="431">
        <f t="shared" si="19"/>
        <v>106</v>
      </c>
      <c r="J87" s="431">
        <f t="shared" si="19"/>
        <v>107</v>
      </c>
      <c r="K87" s="431">
        <f t="shared" si="19"/>
        <v>108</v>
      </c>
      <c r="L87" s="431">
        <f t="shared" si="19"/>
        <v>109</v>
      </c>
      <c r="M87" s="431">
        <f t="shared" si="19"/>
        <v>110</v>
      </c>
      <c r="N87" s="424"/>
      <c r="O87" s="424"/>
      <c r="P87" s="18"/>
      <c r="Q87" s="390"/>
    </row>
    <row r="88" spans="1:17" ht="15" thickTop="1">
      <c r="A88" s="487"/>
      <c r="B88" s="433" t="s">
        <v>2430</v>
      </c>
      <c r="C88" s="3164" t="s">
        <v>2926</v>
      </c>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102</v>
      </c>
      <c r="E89" s="431">
        <f t="shared" si="20"/>
        <v>104</v>
      </c>
      <c r="F89" s="431">
        <f t="shared" si="20"/>
        <v>106</v>
      </c>
      <c r="G89" s="431">
        <f t="shared" si="20"/>
        <v>108</v>
      </c>
      <c r="H89" s="431">
        <f t="shared" si="20"/>
        <v>110</v>
      </c>
      <c r="I89" s="431">
        <f t="shared" si="20"/>
        <v>112</v>
      </c>
      <c r="J89" s="431">
        <f t="shared" si="20"/>
        <v>114</v>
      </c>
      <c r="K89" s="431">
        <f t="shared" si="20"/>
        <v>116</v>
      </c>
      <c r="L89" s="431">
        <f t="shared" si="20"/>
        <v>118</v>
      </c>
      <c r="M89" s="431">
        <f t="shared" si="20"/>
        <v>120</v>
      </c>
      <c r="N89" s="424"/>
      <c r="O89" s="424"/>
      <c r="P89" s="18"/>
      <c r="Q89" s="390"/>
    </row>
    <row r="90" spans="1:17" s="359" customFormat="1" ht="15" thickTop="1">
      <c r="A90" s="481"/>
      <c r="B90" s="425" t="s">
        <v>2431</v>
      </c>
      <c r="C90" s="466" t="str">
        <f>C91&amp;"(含)"&amp;"-"&amp;D91</f>
        <v>0(含)-20</v>
      </c>
      <c r="D90" s="466" t="str">
        <f t="shared" ref="D90:L90" si="21">D91&amp;"(含)"&amp;"-"&amp;E91</f>
        <v>20(含)-40</v>
      </c>
      <c r="E90" s="466" t="str">
        <f t="shared" si="21"/>
        <v>40(含)-50</v>
      </c>
      <c r="F90" s="466" t="str">
        <f t="shared" si="21"/>
        <v>50(含)-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0</v>
      </c>
      <c r="D91" s="483">
        <v>20</v>
      </c>
      <c r="E91" s="483">
        <v>40</v>
      </c>
      <c r="F91" s="483">
        <v>50</v>
      </c>
      <c r="G91" s="483"/>
      <c r="H91" s="483"/>
      <c r="I91" s="483"/>
      <c r="J91" s="484"/>
      <c r="K91" s="484"/>
      <c r="L91" s="485"/>
      <c r="M91" s="486"/>
      <c r="N91" s="445"/>
      <c r="O91" s="445"/>
      <c r="P91" s="446"/>
      <c r="Q91" s="447"/>
    </row>
    <row r="92" spans="1:17" s="359" customFormat="1" ht="15.75" thickBot="1">
      <c r="A92" s="440"/>
      <c r="B92" s="430"/>
      <c r="C92" s="448">
        <v>100</v>
      </c>
      <c r="D92" s="422">
        <v>101</v>
      </c>
      <c r="E92" s="422">
        <v>102</v>
      </c>
      <c r="F92" s="422">
        <v>103</v>
      </c>
      <c r="G92" s="422"/>
      <c r="H92" s="422"/>
      <c r="I92" s="422"/>
      <c r="J92" s="422"/>
      <c r="K92" s="422"/>
      <c r="L92" s="422"/>
      <c r="M92" s="423"/>
      <c r="N92" s="445"/>
      <c r="O92" s="445"/>
      <c r="P92" s="446"/>
      <c r="Q92" s="447"/>
    </row>
    <row r="93" spans="1:17" ht="15" thickTop="1">
      <c r="A93" s="487"/>
      <c r="B93" s="425" t="s">
        <v>2432</v>
      </c>
      <c r="C93" s="3163" t="s">
        <v>2928</v>
      </c>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2433</v>
      </c>
      <c r="C95" s="3164" t="s">
        <v>2929</v>
      </c>
      <c r="D95" s="3164" t="s">
        <v>2931</v>
      </c>
      <c r="E95" s="415"/>
      <c r="F95" s="415"/>
      <c r="G95" s="415"/>
      <c r="H95" s="415"/>
      <c r="I95" s="415"/>
      <c r="J95" s="415"/>
      <c r="K95" s="416"/>
      <c r="L95" s="417"/>
      <c r="M95" s="418"/>
      <c r="N95" s="419"/>
      <c r="O95" s="419"/>
      <c r="P95" s="18"/>
      <c r="Q95" s="390"/>
    </row>
    <row r="96" spans="1:17" ht="15.75" thickBot="1">
      <c r="A96" s="420"/>
      <c r="B96" s="430"/>
      <c r="C96" s="431">
        <v>100</v>
      </c>
      <c r="D96" s="431">
        <f>C96-$K33</f>
        <v>98</v>
      </c>
      <c r="E96" s="431">
        <f>D96-$K33</f>
        <v>96</v>
      </c>
      <c r="F96" s="431">
        <f>E96-$K33</f>
        <v>94</v>
      </c>
      <c r="G96" s="431">
        <f>F96-$K33</f>
        <v>92</v>
      </c>
      <c r="H96" s="431"/>
      <c r="I96" s="431"/>
      <c r="J96" s="431"/>
      <c r="K96" s="431"/>
      <c r="L96" s="431"/>
      <c r="M96" s="432"/>
      <c r="N96" s="424"/>
      <c r="O96" s="424"/>
      <c r="P96" s="18"/>
      <c r="Q96" s="390"/>
    </row>
    <row r="97" spans="1:17" ht="15" thickTop="1">
      <c r="A97" s="487"/>
      <c r="B97" s="518" t="str">
        <f>B34</f>
        <v>离出入口距离</v>
      </c>
      <c r="C97" s="3167" t="s">
        <v>2936</v>
      </c>
      <c r="D97" s="3167" t="s">
        <v>2937</v>
      </c>
      <c r="E97" s="436"/>
      <c r="F97" s="436"/>
      <c r="G97" s="441"/>
      <c r="H97" s="442"/>
      <c r="I97" s="442"/>
      <c r="J97" s="442"/>
      <c r="K97" s="442"/>
      <c r="L97" s="443"/>
      <c r="M97" s="444"/>
      <c r="N97" s="424"/>
      <c r="O97" s="424"/>
      <c r="P97" s="519"/>
      <c r="Q97" s="520"/>
    </row>
    <row r="98" spans="1:17" ht="15.75" thickBot="1">
      <c r="A98" s="420"/>
      <c r="B98" s="430"/>
      <c r="C98" s="448">
        <v>95</v>
      </c>
      <c r="D98" s="422">
        <v>100</v>
      </c>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8"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G17 C17 I17 E17" xr:uid="{00000000-0002-0000-1800-000001000000}">
      <formula1>公共配套设施</formula1>
    </dataValidation>
    <dataValidation type="list" allowBlank="1" showInputMessage="1" showErrorMessage="1" sqref="G15 E15 C15 I15" xr:uid="{00000000-0002-0000-1800-000002000000}">
      <formula1>交通便捷度</formula1>
    </dataValidation>
    <dataValidation type="list" allowBlank="1" showInputMessage="1" showErrorMessage="1" sqref="C8 E8 G8 I8" xr:uid="{00000000-0002-0000-1800-000003000000}">
      <formula1>车位交易情况</formula1>
    </dataValidation>
    <dataValidation type="list" allowBlank="1" showInputMessage="1" showErrorMessage="1" sqref="E9 G9 I9" xr:uid="{00000000-0002-0000-1800-000004000000}">
      <formula1>车位用途</formula1>
    </dataValidation>
    <dataValidation type="list" allowBlank="1" showInputMessage="1" showErrorMessage="1" sqref="C22 E22 G22 I22" xr:uid="{00000000-0002-0000-1800-000005000000}">
      <formula1>车位楼层</formula1>
    </dataValidation>
    <dataValidation type="list" allowBlank="1" showInputMessage="1" showErrorMessage="1" sqref="C30 E30 G30 I30" xr:uid="{00000000-0002-0000-1800-000006000000}">
      <formula1>车位物业等级</formula1>
    </dataValidation>
    <dataValidation type="list" allowBlank="1" showInputMessage="1" showErrorMessage="1" sqref="C32 E32 G32 I32" xr:uid="{00000000-0002-0000-1800-000007000000}">
      <formula1>车位类型</formula1>
    </dataValidation>
    <dataValidation type="list" allowBlank="1" showInputMessage="1" showErrorMessage="1" sqref="C33 E33 G33 I33" xr:uid="{00000000-0002-0000-1800-000008000000}">
      <formula1>是否直接入户</formula1>
    </dataValidation>
    <dataValidation type="list" allowBlank="1" showInputMessage="1" showErrorMessage="1" sqref="B1" xr:uid="{00000000-0002-0000-1800-000009000000}">
      <formula1>地类判定</formula1>
    </dataValidation>
    <dataValidation type="list" allowBlank="1" showInputMessage="1" showErrorMessage="1" sqref="I26 E26 G26" xr:uid="{00000000-0002-0000-1800-00000A000000}">
      <formula1>车位配套类型</formula1>
    </dataValidation>
    <dataValidation type="list" allowBlank="1" showInputMessage="1" showErrorMessage="1" sqref="C28 E28 G28 I28" xr:uid="{00000000-0002-0000-1800-00000B000000}">
      <formula1>车位公共部分装修</formula1>
    </dataValidation>
    <dataValidation type="list" allowBlank="1" showInputMessage="1" showErrorMessage="1" sqref="C21 E21 G21 I21" xr:uid="{00000000-0002-0000-1800-00000C000000}">
      <formula1>环境</formula1>
    </dataValidation>
    <dataValidation type="list" allowBlank="1" showInputMessage="1" showErrorMessage="1" sqref="B37" xr:uid="{00000000-0002-0000-1800-00000D000000}">
      <formula1>"元/平方米,元/车位"</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19 E19 G19 I19"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38"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2742</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459.68</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19" t="s">
        <v>2245</v>
      </c>
      <c r="D4" s="4120"/>
      <c r="E4" s="4121" t="s">
        <v>2246</v>
      </c>
      <c r="F4" s="4122"/>
      <c r="G4" s="4119" t="s">
        <v>2247</v>
      </c>
      <c r="H4" s="4120"/>
      <c r="I4" s="4119" t="s">
        <v>2248</v>
      </c>
      <c r="J4" s="4120"/>
      <c r="K4" s="496" t="s">
        <v>2249</v>
      </c>
      <c r="L4" s="3024"/>
      <c r="M4" s="3025"/>
      <c r="N4" s="3025"/>
      <c r="O4" s="3025"/>
      <c r="P4" s="4123" t="s">
        <v>2250</v>
      </c>
      <c r="Q4" s="4124"/>
      <c r="R4" s="4106" t="s">
        <v>2246</v>
      </c>
      <c r="S4" s="4107"/>
      <c r="T4" s="4106" t="s">
        <v>2247</v>
      </c>
      <c r="U4" s="4107"/>
      <c r="V4" s="4129" t="s">
        <v>2248</v>
      </c>
      <c r="W4" s="4129"/>
      <c r="X4" s="1335"/>
      <c r="Y4" s="4106" t="s">
        <v>2250</v>
      </c>
      <c r="Z4" s="4107"/>
      <c r="AA4" s="4116" t="s">
        <v>2246</v>
      </c>
      <c r="AB4" s="4117" t="s">
        <v>2247</v>
      </c>
      <c r="AC4" s="4116" t="s">
        <v>2248</v>
      </c>
    </row>
    <row r="5" spans="1:29" ht="15">
      <c r="A5" s="297"/>
      <c r="B5" s="298"/>
      <c r="C5" s="4132" t="s">
        <v>2251</v>
      </c>
      <c r="D5" s="4133"/>
      <c r="E5" s="4130" t="s">
        <v>2252</v>
      </c>
      <c r="F5" s="4131"/>
      <c r="G5" s="4132" t="s">
        <v>2253</v>
      </c>
      <c r="H5" s="4133"/>
      <c r="I5" s="4132" t="s">
        <v>2254</v>
      </c>
      <c r="J5" s="4133"/>
      <c r="K5" s="496"/>
      <c r="L5" s="3024"/>
      <c r="M5" s="3025"/>
      <c r="N5" s="3025"/>
      <c r="O5" s="3025"/>
      <c r="P5" s="4125"/>
      <c r="Q5" s="4126"/>
      <c r="R5" s="4108"/>
      <c r="S5" s="4109"/>
      <c r="T5" s="4108"/>
      <c r="U5" s="4109"/>
      <c r="V5" s="4129"/>
      <c r="W5" s="4129"/>
      <c r="X5" s="1335"/>
      <c r="Y5" s="4108"/>
      <c r="Z5" s="4109"/>
      <c r="AA5" s="4117"/>
      <c r="AB5" s="4117"/>
      <c r="AC5" s="4117"/>
    </row>
    <row r="6" spans="1:29" ht="15.75" thickBot="1">
      <c r="A6" s="299"/>
      <c r="B6" s="300"/>
      <c r="C6" s="4134" t="s">
        <v>2255</v>
      </c>
      <c r="D6" s="4135"/>
      <c r="E6" s="4136" t="s">
        <v>2255</v>
      </c>
      <c r="F6" s="4137"/>
      <c r="G6" s="4134" t="s">
        <v>2255</v>
      </c>
      <c r="H6" s="4135"/>
      <c r="I6" s="4134" t="s">
        <v>2255</v>
      </c>
      <c r="J6" s="4135"/>
      <c r="K6" s="496" t="s">
        <v>2256</v>
      </c>
      <c r="L6" s="3024"/>
      <c r="M6" s="3025"/>
      <c r="N6" s="3025"/>
      <c r="O6" s="3025"/>
      <c r="P6" s="4127"/>
      <c r="Q6" s="4128"/>
      <c r="R6" s="4108"/>
      <c r="S6" s="4109"/>
      <c r="T6" s="4110"/>
      <c r="U6" s="4111"/>
      <c r="V6" s="4129"/>
      <c r="W6" s="4129"/>
      <c r="X6" s="1335"/>
      <c r="Y6" s="4110"/>
      <c r="Z6" s="4111"/>
      <c r="AA6" s="4118"/>
      <c r="AB6" s="4118"/>
      <c r="AC6" s="4118"/>
    </row>
    <row r="7" spans="1:29" s="25" customFormat="1" ht="15.75" thickBot="1">
      <c r="A7" s="301" t="s">
        <v>2257</v>
      </c>
      <c r="B7" s="302"/>
      <c r="C7" s="303">
        <f>'数据-取费表'!B2</f>
        <v>42558</v>
      </c>
      <c r="D7" s="304">
        <v>100</v>
      </c>
      <c r="E7" s="1575"/>
      <c r="F7" s="304">
        <f>SUMIF(46:46,YEAR(E7)&amp;"-"&amp;MONTH(E7),47:47)</f>
        <v>0</v>
      </c>
      <c r="G7" s="305"/>
      <c r="H7" s="304">
        <f>SUMIF(46:46,YEAR(G7)&amp;"-"&amp;MONTH(G7),47:47)</f>
        <v>0</v>
      </c>
      <c r="I7" s="305"/>
      <c r="J7" s="304">
        <f>SUMIF(46:46,YEAR(I7)&amp;"-"&amp;MONTH(I7),47:47)</f>
        <v>0</v>
      </c>
      <c r="K7" s="497"/>
      <c r="L7" s="3026"/>
      <c r="M7" s="3027"/>
      <c r="N7" s="3027"/>
      <c r="O7" s="3027"/>
      <c r="P7" s="4104" t="s">
        <v>2258</v>
      </c>
      <c r="Q7" s="4112"/>
      <c r="R7" s="627" t="s">
        <v>25</v>
      </c>
      <c r="S7" s="628">
        <f t="shared" ref="S7:S14" si="0">F7</f>
        <v>0</v>
      </c>
      <c r="T7" s="627" t="s">
        <v>25</v>
      </c>
      <c r="U7" s="628">
        <f t="shared" ref="U7:U14" si="1">H7</f>
        <v>0</v>
      </c>
      <c r="V7" s="627" t="s">
        <v>25</v>
      </c>
      <c r="W7" s="628">
        <f t="shared" ref="W7:W14" si="2">J7</f>
        <v>0</v>
      </c>
      <c r="X7" s="629"/>
      <c r="Y7" s="4104" t="s">
        <v>2258</v>
      </c>
      <c r="Z7" s="4105"/>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4104" t="s">
        <v>2261</v>
      </c>
      <c r="Q8" s="4105"/>
      <c r="R8" s="627" t="s">
        <v>25</v>
      </c>
      <c r="S8" s="628">
        <f t="shared" si="0"/>
        <v>0</v>
      </c>
      <c r="T8" s="627" t="s">
        <v>25</v>
      </c>
      <c r="U8" s="628">
        <f t="shared" si="1"/>
        <v>0</v>
      </c>
      <c r="V8" s="627" t="s">
        <v>25</v>
      </c>
      <c r="W8" s="628">
        <f t="shared" si="2"/>
        <v>0</v>
      </c>
      <c r="X8" s="629"/>
      <c r="Y8" s="4104" t="s">
        <v>2261</v>
      </c>
      <c r="Z8" s="4105"/>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4096" t="s">
        <v>2264</v>
      </c>
      <c r="Q9" s="1327" t="str">
        <f t="shared" ref="Q9:Q14" si="6">B9</f>
        <v>用途</v>
      </c>
      <c r="R9" s="627" t="s">
        <v>25</v>
      </c>
      <c r="S9" s="628">
        <f t="shared" si="0"/>
        <v>100</v>
      </c>
      <c r="T9" s="627" t="s">
        <v>25</v>
      </c>
      <c r="U9" s="628">
        <f t="shared" si="1"/>
        <v>100</v>
      </c>
      <c r="V9" s="627" t="s">
        <v>25</v>
      </c>
      <c r="W9" s="628">
        <f t="shared" si="2"/>
        <v>100</v>
      </c>
      <c r="X9" s="629"/>
      <c r="Y9" s="4115"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4096"/>
      <c r="Q10" s="1327" t="str">
        <f t="shared" si="6"/>
        <v>土地使用年限（年）</v>
      </c>
      <c r="R10" s="627" t="s">
        <v>25</v>
      </c>
      <c r="S10" s="628">
        <f t="shared" si="0"/>
        <v>100</v>
      </c>
      <c r="T10" s="627" t="s">
        <v>25</v>
      </c>
      <c r="U10" s="628">
        <f t="shared" si="1"/>
        <v>100</v>
      </c>
      <c r="V10" s="627" t="s">
        <v>25</v>
      </c>
      <c r="W10" s="628">
        <f t="shared" si="2"/>
        <v>100</v>
      </c>
      <c r="X10" s="629"/>
      <c r="Y10" s="411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4096"/>
      <c r="Q11" s="1327">
        <f t="shared" si="6"/>
        <v>111</v>
      </c>
      <c r="R11" s="627" t="s">
        <v>25</v>
      </c>
      <c r="S11" s="628">
        <f t="shared" si="0"/>
        <v>100</v>
      </c>
      <c r="T11" s="627" t="s">
        <v>25</v>
      </c>
      <c r="U11" s="628">
        <f t="shared" si="1"/>
        <v>100</v>
      </c>
      <c r="V11" s="627" t="s">
        <v>25</v>
      </c>
      <c r="W11" s="628">
        <f t="shared" si="2"/>
        <v>100</v>
      </c>
      <c r="X11" s="629"/>
      <c r="Y11" s="411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4096"/>
      <c r="Q12" s="1327">
        <f t="shared" si="6"/>
        <v>111</v>
      </c>
      <c r="R12" s="627" t="s">
        <v>25</v>
      </c>
      <c r="S12" s="628">
        <f t="shared" si="0"/>
        <v>100</v>
      </c>
      <c r="T12" s="627" t="s">
        <v>25</v>
      </c>
      <c r="U12" s="628">
        <f t="shared" si="1"/>
        <v>100</v>
      </c>
      <c r="V12" s="627" t="s">
        <v>25</v>
      </c>
      <c r="W12" s="628">
        <f t="shared" si="2"/>
        <v>100</v>
      </c>
      <c r="X12" s="629"/>
      <c r="Y12" s="411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4096"/>
      <c r="Q13" s="1327">
        <f t="shared" si="6"/>
        <v>111</v>
      </c>
      <c r="R13" s="627" t="s">
        <v>25</v>
      </c>
      <c r="S13" s="628">
        <f t="shared" si="0"/>
        <v>100</v>
      </c>
      <c r="T13" s="627" t="s">
        <v>25</v>
      </c>
      <c r="U13" s="628">
        <f t="shared" si="1"/>
        <v>100</v>
      </c>
      <c r="V13" s="627" t="s">
        <v>25</v>
      </c>
      <c r="W13" s="628">
        <f t="shared" si="2"/>
        <v>100</v>
      </c>
      <c r="X13" s="629"/>
      <c r="Y13" s="4115"/>
      <c r="Z13" s="19">
        <f t="shared" si="7"/>
        <v>111</v>
      </c>
      <c r="AA13" s="630">
        <f t="shared" si="3"/>
        <v>1</v>
      </c>
      <c r="AB13" s="630">
        <f t="shared" si="4"/>
        <v>1</v>
      </c>
      <c r="AC13" s="630">
        <f t="shared" si="5"/>
        <v>1</v>
      </c>
    </row>
    <row r="14" spans="1:29" ht="156.75">
      <c r="A14" s="329" t="s">
        <v>2268</v>
      </c>
      <c r="B14" s="22" t="s">
        <v>2406</v>
      </c>
      <c r="C14" s="1581" t="str">
        <f>IF(B1="工业",估价对象房地状况!G4,估价对象房地状况!C6)</f>
        <v>估价对象临近知春路，距离地铁10、13号线知春路站约100米，周边有专168路、311路、319路、630路等公交车通达，停车便捷程度较好，综合评价交通便捷度好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4113" t="s">
        <v>2269</v>
      </c>
      <c r="Q14" s="1334" t="str">
        <f t="shared" si="6"/>
        <v>交通便捷度</v>
      </c>
      <c r="R14" s="631" t="s">
        <v>25</v>
      </c>
      <c r="S14" s="632">
        <f t="shared" si="0"/>
        <v>100</v>
      </c>
      <c r="T14" s="631" t="s">
        <v>25</v>
      </c>
      <c r="U14" s="632">
        <f t="shared" si="1"/>
        <v>100</v>
      </c>
      <c r="V14" s="631" t="s">
        <v>25</v>
      </c>
      <c r="W14" s="632">
        <f t="shared" si="2"/>
        <v>100</v>
      </c>
      <c r="X14" s="1335"/>
      <c r="Y14" s="4113"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4114"/>
      <c r="Q15" s="1334"/>
      <c r="R15" s="631"/>
      <c r="S15" s="632"/>
      <c r="T15" s="631"/>
      <c r="U15" s="632"/>
      <c r="V15" s="631"/>
      <c r="W15" s="632"/>
      <c r="X15" s="1335"/>
      <c r="Y15" s="4114"/>
      <c r="Z15" s="1336"/>
      <c r="AA15" s="1337">
        <v>1</v>
      </c>
      <c r="AB15" s="1337">
        <v>1</v>
      </c>
      <c r="AC15" s="1337">
        <v>1</v>
      </c>
    </row>
    <row r="16" spans="1:29" ht="313.5">
      <c r="A16" s="318"/>
      <c r="B16" s="513" t="s">
        <v>2384</v>
      </c>
      <c r="C16" s="1567" t="str">
        <f>IF(B1="工业",估价对象房地状况!G5,估价对象房地状况!C7)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4114"/>
      <c r="Q16" s="1334" t="str">
        <f>B16</f>
        <v>公共配套设施</v>
      </c>
      <c r="R16" s="631" t="s">
        <v>25</v>
      </c>
      <c r="S16" s="632">
        <f>F16</f>
        <v>100</v>
      </c>
      <c r="T16" s="631" t="s">
        <v>25</v>
      </c>
      <c r="U16" s="632">
        <f>H16</f>
        <v>100</v>
      </c>
      <c r="V16" s="631" t="s">
        <v>25</v>
      </c>
      <c r="W16" s="632">
        <f>J16</f>
        <v>100</v>
      </c>
      <c r="X16" s="1335"/>
      <c r="Y16" s="411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4114"/>
      <c r="Q17" s="1334"/>
      <c r="R17" s="631"/>
      <c r="S17" s="632"/>
      <c r="T17" s="631"/>
      <c r="U17" s="632"/>
      <c r="V17" s="631"/>
      <c r="W17" s="632"/>
      <c r="X17" s="1335"/>
      <c r="Y17" s="4114"/>
      <c r="Z17" s="1336"/>
      <c r="AA17" s="1337">
        <v>1</v>
      </c>
      <c r="AB17" s="1337">
        <v>1</v>
      </c>
      <c r="AC17" s="1337">
        <v>1</v>
      </c>
    </row>
    <row r="18" spans="1:29" ht="42.7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4114"/>
      <c r="Q18" s="1334" t="str">
        <f>B18</f>
        <v>基础设施水平</v>
      </c>
      <c r="R18" s="631" t="s">
        <v>25</v>
      </c>
      <c r="S18" s="632">
        <f>F18</f>
        <v>100</v>
      </c>
      <c r="T18" s="631" t="s">
        <v>25</v>
      </c>
      <c r="U18" s="632">
        <f>H18</f>
        <v>100</v>
      </c>
      <c r="V18" s="631" t="s">
        <v>25</v>
      </c>
      <c r="W18" s="632">
        <f>J18</f>
        <v>100</v>
      </c>
      <c r="X18" s="1335"/>
      <c r="Y18" s="411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4114"/>
      <c r="Q19" s="1334"/>
      <c r="R19" s="631"/>
      <c r="S19" s="632"/>
      <c r="T19" s="631"/>
      <c r="U19" s="632"/>
      <c r="V19" s="631"/>
      <c r="W19" s="632"/>
      <c r="X19" s="1335"/>
      <c r="Y19" s="4114"/>
      <c r="Z19" s="1336"/>
      <c r="AA19" s="1337">
        <v>1</v>
      </c>
      <c r="AB19" s="1337">
        <v>1</v>
      </c>
      <c r="AC19" s="1337">
        <v>1</v>
      </c>
    </row>
    <row r="20" spans="1:29" ht="114">
      <c r="A20" s="318"/>
      <c r="B20" s="340" t="s">
        <v>2407</v>
      </c>
      <c r="C20" s="1567" t="str">
        <f>IF(B1="工业",估价对象房地状况!G7,估价对象房地状况!C9)</f>
        <v>区域自然环境：知春公园、双榆树公园；人文环境；首体足球场、大运村网球场；
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4114"/>
      <c r="Q20" s="1334" t="str">
        <f>B20</f>
        <v>自然及人文环境</v>
      </c>
      <c r="R20" s="631" t="s">
        <v>25</v>
      </c>
      <c r="S20" s="632">
        <f>F20</f>
        <v>100</v>
      </c>
      <c r="T20" s="631" t="s">
        <v>25</v>
      </c>
      <c r="U20" s="632">
        <f>H20</f>
        <v>100</v>
      </c>
      <c r="V20" s="631" t="s">
        <v>25</v>
      </c>
      <c r="W20" s="632">
        <f>J20</f>
        <v>100</v>
      </c>
      <c r="X20" s="1335"/>
      <c r="Y20" s="411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4114"/>
      <c r="Q21" s="1334"/>
      <c r="R21" s="631"/>
      <c r="S21" s="632"/>
      <c r="T21" s="631"/>
      <c r="U21" s="632"/>
      <c r="V21" s="631"/>
      <c r="W21" s="632"/>
      <c r="X21" s="1335"/>
      <c r="Y21" s="4114"/>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4114"/>
      <c r="Q22" s="1334" t="str">
        <f>B22</f>
        <v>楼层</v>
      </c>
      <c r="R22" s="631" t="s">
        <v>25</v>
      </c>
      <c r="S22" s="632">
        <f>F22</f>
        <v>100</v>
      </c>
      <c r="T22" s="631" t="s">
        <v>25</v>
      </c>
      <c r="U22" s="632">
        <f>H22</f>
        <v>100</v>
      </c>
      <c r="V22" s="631" t="s">
        <v>25</v>
      </c>
      <c r="W22" s="632">
        <f>J22</f>
        <v>100</v>
      </c>
      <c r="X22" s="1335"/>
      <c r="Y22" s="411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4114"/>
      <c r="Q23" s="1334">
        <f>B23</f>
        <v>111</v>
      </c>
      <c r="R23" s="631" t="s">
        <v>25</v>
      </c>
      <c r="S23" s="632">
        <f>F23</f>
        <v>100</v>
      </c>
      <c r="T23" s="631" t="s">
        <v>25</v>
      </c>
      <c r="U23" s="632">
        <f>H23</f>
        <v>100</v>
      </c>
      <c r="V23" s="631" t="s">
        <v>25</v>
      </c>
      <c r="W23" s="632">
        <f>J23</f>
        <v>100</v>
      </c>
      <c r="X23" s="1335"/>
      <c r="Y23" s="411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4114"/>
      <c r="Q24" s="1334">
        <f t="shared" ref="Q24:Q34" si="11">B24</f>
        <v>111</v>
      </c>
      <c r="R24" s="631" t="s">
        <v>25</v>
      </c>
      <c r="S24" s="632">
        <f>F24</f>
        <v>100</v>
      </c>
      <c r="T24" s="631" t="s">
        <v>25</v>
      </c>
      <c r="U24" s="632">
        <f>H24</f>
        <v>100</v>
      </c>
      <c r="V24" s="631" t="s">
        <v>25</v>
      </c>
      <c r="W24" s="632">
        <f>J24</f>
        <v>100</v>
      </c>
      <c r="X24" s="1335"/>
      <c r="Y24" s="4114"/>
      <c r="Z24" s="1336">
        <f>Q24</f>
        <v>111</v>
      </c>
      <c r="AA24" s="1337">
        <f t="shared" si="3"/>
        <v>1</v>
      </c>
      <c r="AB24" s="1337">
        <f t="shared" si="4"/>
        <v>1</v>
      </c>
      <c r="AC24" s="1337">
        <f t="shared" si="5"/>
        <v>1</v>
      </c>
    </row>
    <row r="25" spans="1:29" s="25" customFormat="1" ht="15.75" thickBot="1">
      <c r="A25" s="321"/>
      <c r="B25" s="1563">
        <v>111</v>
      </c>
      <c r="C25" s="1583"/>
      <c r="D25" s="546">
        <v>100</v>
      </c>
      <c r="E25" s="1583"/>
      <c r="F25" s="547">
        <f>SUMIF(75:75,E25,76:76)-SUMIF(75:75,C25,76:76)+100</f>
        <v>100</v>
      </c>
      <c r="G25" s="1583"/>
      <c r="H25" s="546">
        <f>SUMIF(75:75,G25,76:76)-SUMIF(75:75,C25,76:76)+100</f>
        <v>100</v>
      </c>
      <c r="I25" s="1583"/>
      <c r="J25" s="546">
        <f>SUMIF(75:75,I25,76:76)-SUMIF(75:75,C25,76:76)+100</f>
        <v>100</v>
      </c>
      <c r="K25" s="499"/>
      <c r="L25" s="3026"/>
      <c r="M25" s="3027"/>
      <c r="N25" s="3027"/>
      <c r="O25" s="3028"/>
      <c r="P25" s="4114"/>
      <c r="Q25" s="1327">
        <f t="shared" si="11"/>
        <v>111</v>
      </c>
      <c r="R25" s="627" t="s">
        <v>25</v>
      </c>
      <c r="S25" s="628">
        <f>F25</f>
        <v>100</v>
      </c>
      <c r="T25" s="627" t="s">
        <v>25</v>
      </c>
      <c r="U25" s="628">
        <f>H25</f>
        <v>100</v>
      </c>
      <c r="V25" s="627" t="s">
        <v>25</v>
      </c>
      <c r="W25" s="628">
        <f>J25</f>
        <v>100</v>
      </c>
      <c r="X25" s="629"/>
      <c r="Y25" s="4114"/>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4"/>
      <c r="M26" s="3025"/>
      <c r="N26" s="3025"/>
      <c r="O26" s="3033"/>
      <c r="P26" s="4101"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4102"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4102"/>
      <c r="Q27" s="633" t="str">
        <f t="shared" si="11"/>
        <v>成新率</v>
      </c>
      <c r="R27" s="634" t="s">
        <v>25</v>
      </c>
      <c r="S27" s="635" t="e">
        <f t="shared" si="12"/>
        <v>#N/A</v>
      </c>
      <c r="T27" s="634" t="s">
        <v>25</v>
      </c>
      <c r="U27" s="635" t="e">
        <f t="shared" si="13"/>
        <v>#N/A</v>
      </c>
      <c r="V27" s="634" t="s">
        <v>25</v>
      </c>
      <c r="W27" s="635" t="e">
        <f t="shared" si="14"/>
        <v>#N/A</v>
      </c>
      <c r="X27" s="636"/>
      <c r="Y27" s="4102"/>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4102"/>
      <c r="Q28" s="1334" t="str">
        <f t="shared" si="11"/>
        <v>物业等级</v>
      </c>
      <c r="R28" s="631" t="s">
        <v>25</v>
      </c>
      <c r="S28" s="632">
        <f t="shared" si="12"/>
        <v>100</v>
      </c>
      <c r="T28" s="631" t="s">
        <v>25</v>
      </c>
      <c r="U28" s="632">
        <f t="shared" si="13"/>
        <v>100</v>
      </c>
      <c r="V28" s="631" t="s">
        <v>25</v>
      </c>
      <c r="W28" s="632">
        <f t="shared" si="14"/>
        <v>100</v>
      </c>
      <c r="X28" s="1335"/>
      <c r="Y28" s="4102"/>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4102"/>
      <c r="Q29" s="1334" t="str">
        <f t="shared" si="11"/>
        <v>有无电梯</v>
      </c>
      <c r="R29" s="631" t="s">
        <v>25</v>
      </c>
      <c r="S29" s="632">
        <f t="shared" si="12"/>
        <v>100</v>
      </c>
      <c r="T29" s="631" t="s">
        <v>25</v>
      </c>
      <c r="U29" s="632">
        <f t="shared" si="13"/>
        <v>100</v>
      </c>
      <c r="V29" s="631" t="s">
        <v>25</v>
      </c>
      <c r="W29" s="632">
        <f t="shared" si="14"/>
        <v>100</v>
      </c>
      <c r="X29" s="1335"/>
      <c r="Y29" s="4102"/>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4102"/>
      <c r="Q30" s="1334" t="str">
        <f t="shared" si="11"/>
        <v>建筑面积</v>
      </c>
      <c r="R30" s="631" t="s">
        <v>25</v>
      </c>
      <c r="S30" s="632" t="e">
        <f t="shared" si="12"/>
        <v>#N/A</v>
      </c>
      <c r="T30" s="631" t="s">
        <v>25</v>
      </c>
      <c r="U30" s="632" t="e">
        <f t="shared" si="13"/>
        <v>#N/A</v>
      </c>
      <c r="V30" s="631" t="s">
        <v>25</v>
      </c>
      <c r="W30" s="632" t="e">
        <f t="shared" si="14"/>
        <v>#N/A</v>
      </c>
      <c r="X30" s="1335"/>
      <c r="Y30" s="4102"/>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4102"/>
      <c r="Q31" s="1327" t="str">
        <f t="shared" si="11"/>
        <v>是否封闭</v>
      </c>
      <c r="R31" s="627" t="s">
        <v>25</v>
      </c>
      <c r="S31" s="628">
        <f t="shared" si="12"/>
        <v>100</v>
      </c>
      <c r="T31" s="627" t="s">
        <v>25</v>
      </c>
      <c r="U31" s="628">
        <f t="shared" si="13"/>
        <v>100</v>
      </c>
      <c r="V31" s="627" t="s">
        <v>25</v>
      </c>
      <c r="W31" s="628">
        <f t="shared" si="14"/>
        <v>100</v>
      </c>
      <c r="X31" s="629"/>
      <c r="Y31" s="410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4102" t="s">
        <v>2275</v>
      </c>
      <c r="Q32" s="1334">
        <f t="shared" si="11"/>
        <v>111</v>
      </c>
      <c r="R32" s="631" t="s">
        <v>25</v>
      </c>
      <c r="S32" s="632">
        <f t="shared" si="12"/>
        <v>100</v>
      </c>
      <c r="T32" s="631" t="s">
        <v>25</v>
      </c>
      <c r="U32" s="632">
        <f t="shared" si="13"/>
        <v>100</v>
      </c>
      <c r="V32" s="631" t="s">
        <v>25</v>
      </c>
      <c r="W32" s="632">
        <f t="shared" si="14"/>
        <v>100</v>
      </c>
      <c r="X32" s="1335"/>
      <c r="Y32" s="4102"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4102"/>
      <c r="Q33" s="1334">
        <f t="shared" si="11"/>
        <v>111</v>
      </c>
      <c r="R33" s="631" t="s">
        <v>25</v>
      </c>
      <c r="S33" s="632">
        <f t="shared" si="12"/>
        <v>100</v>
      </c>
      <c r="T33" s="631" t="s">
        <v>25</v>
      </c>
      <c r="U33" s="632">
        <f t="shared" si="13"/>
        <v>100</v>
      </c>
      <c r="V33" s="631" t="s">
        <v>25</v>
      </c>
      <c r="W33" s="632">
        <f t="shared" si="14"/>
        <v>100</v>
      </c>
      <c r="X33" s="1335"/>
      <c r="Y33" s="4102"/>
      <c r="Z33" s="1336">
        <f t="shared" si="15"/>
        <v>111</v>
      </c>
      <c r="AA33" s="1337">
        <f t="shared" si="3"/>
        <v>1</v>
      </c>
      <c r="AB33" s="1337">
        <f t="shared" si="4"/>
        <v>1</v>
      </c>
      <c r="AC33" s="1337">
        <f t="shared" si="5"/>
        <v>1</v>
      </c>
    </row>
    <row r="34" spans="1:29" ht="15.75" thickBot="1">
      <c r="A34" s="366"/>
      <c r="B34" s="1564">
        <v>111</v>
      </c>
      <c r="C34" s="1565"/>
      <c r="D34" s="327">
        <v>100</v>
      </c>
      <c r="E34" s="1584"/>
      <c r="F34" s="328">
        <f>SUMIF(95:95,E34,96:96)-SUMIF(95:95,C34,96:96)+100</f>
        <v>100</v>
      </c>
      <c r="G34" s="1584"/>
      <c r="H34" s="327">
        <f>SUMIF(95:95,G34,96:96)-SUMIF(95:95,C34,96:96)+100</f>
        <v>100</v>
      </c>
      <c r="I34" s="1584"/>
      <c r="J34" s="327">
        <f>SUMIF(95:95,I34,96:96)-SUMIF(95:95,C34,96:96)+100</f>
        <v>100</v>
      </c>
      <c r="K34" s="499"/>
      <c r="L34" s="3034"/>
      <c r="M34" s="3025"/>
      <c r="N34" s="3025"/>
      <c r="O34" s="3033"/>
      <c r="P34" s="4102"/>
      <c r="Q34" s="1334">
        <f t="shared" si="11"/>
        <v>111</v>
      </c>
      <c r="R34" s="631" t="s">
        <v>25</v>
      </c>
      <c r="S34" s="632">
        <f t="shared" si="12"/>
        <v>100</v>
      </c>
      <c r="T34" s="631" t="s">
        <v>25</v>
      </c>
      <c r="U34" s="632">
        <f t="shared" si="13"/>
        <v>100</v>
      </c>
      <c r="V34" s="631" t="s">
        <v>25</v>
      </c>
      <c r="W34" s="632">
        <f t="shared" si="14"/>
        <v>100</v>
      </c>
      <c r="X34" s="1335"/>
      <c r="Y34" s="4102"/>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6"/>
      <c r="N35" s="3025"/>
      <c r="P35" s="4096" t="str">
        <f>A35</f>
        <v>成交单价（元/平方米）</v>
      </c>
      <c r="Q35" s="4096"/>
      <c r="R35" s="4097">
        <f>E35</f>
        <v>0</v>
      </c>
      <c r="S35" s="4097"/>
      <c r="T35" s="4097">
        <f>G35</f>
        <v>0</v>
      </c>
      <c r="U35" s="4097"/>
      <c r="V35" s="4097">
        <f>I35</f>
        <v>0</v>
      </c>
      <c r="W35" s="4097"/>
      <c r="X35" s="618"/>
      <c r="Y35" s="638"/>
      <c r="Z35" s="618"/>
      <c r="AA35" s="618"/>
      <c r="AB35" s="618"/>
      <c r="AC35" s="618"/>
    </row>
    <row r="36" spans="1:29" ht="15.75" thickBot="1">
      <c r="A36" s="374" t="s">
        <v>2370</v>
      </c>
      <c r="B36" s="375"/>
      <c r="C36" s="1159" t="e">
        <f>R37</f>
        <v>#DIV/0!</v>
      </c>
      <c r="D36" s="1796" t="s">
        <v>2741</v>
      </c>
      <c r="E36" s="1160" t="e">
        <f>R36</f>
        <v>#DIV/0!</v>
      </c>
      <c r="F36" s="1798"/>
      <c r="G36" s="1159" t="e">
        <f>T36</f>
        <v>#DIV/0!</v>
      </c>
      <c r="H36" s="1798"/>
      <c r="I36" s="1160" t="e">
        <f>V36</f>
        <v>#DIV/0!</v>
      </c>
      <c r="J36" s="1798"/>
      <c r="K36" s="2510">
        <f>F36+H36+J36</f>
        <v>0</v>
      </c>
      <c r="L36" s="3036"/>
      <c r="N36" s="3025"/>
      <c r="P36" s="4096" t="str">
        <f>A36</f>
        <v>比较价值（元/平方米）</v>
      </c>
      <c r="Q36" s="4096"/>
      <c r="R36" s="4097" t="e">
        <f>IF(E1="售价",ROUND(PRODUCT(R35,AA7:AA34),0),ROUND(PRODUCT(R35,AA7:AA34),1))</f>
        <v>#DIV/0!</v>
      </c>
      <c r="S36" s="4097"/>
      <c r="T36" s="4097" t="e">
        <f>IF(E1="售价",ROUND(PRODUCT(T35,AB7:AB34),0),ROUND(PRODUCT(T35,AB7:AB34),1))</f>
        <v>#DIV/0!</v>
      </c>
      <c r="U36" s="4097"/>
      <c r="V36" s="4097" t="e">
        <f>IF(E1="售价",ROUND(PRODUCT(V35,AC7:AC34),0),ROUND(PRODUCT(V35,AC7:AC34),1))</f>
        <v>#DIV/0!</v>
      </c>
      <c r="W36" s="4097"/>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6"/>
      <c r="P37" s="4098" t="str">
        <f>A37</f>
        <v>估价对象XX用房的比较价值（楼面单价，元/平方米）</v>
      </c>
      <c r="Q37" s="4099"/>
      <c r="R37" s="4100" t="e">
        <f>IF(E1="售价",ROUND(IF(D36="简单平均",AVERAGE(R36:W36),R36*F36+T36*H36+V36*J36),0),ROUND(IF(D36="简单平均",AVERAGE(R36:V36),R36*F36+T36*H36+V36*J36),1))</f>
        <v>#DIV/0!</v>
      </c>
      <c r="S37" s="4100"/>
      <c r="T37" s="4100"/>
      <c r="U37" s="4100"/>
      <c r="V37" s="4100"/>
      <c r="W37" s="4100"/>
      <c r="X37" s="618"/>
      <c r="Y37" s="618"/>
      <c r="Z37" s="618"/>
      <c r="AA37" s="618"/>
      <c r="AB37" s="618"/>
      <c r="AC37" s="618"/>
    </row>
    <row r="38" spans="1:29">
      <c r="G38" s="3039"/>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2375</v>
      </c>
      <c r="B45" s="618"/>
      <c r="C45" s="621"/>
      <c r="D45" s="621"/>
      <c r="E45" s="621"/>
      <c r="F45" s="622"/>
      <c r="G45" s="622"/>
      <c r="H45" s="621"/>
      <c r="I45" s="621"/>
      <c r="J45" s="621"/>
      <c r="K45" s="623"/>
      <c r="L45" s="624"/>
      <c r="M45" s="621"/>
      <c r="N45" s="3042"/>
      <c r="O45" s="3042"/>
      <c r="P45" s="389"/>
      <c r="Q45" s="390"/>
    </row>
    <row r="46" spans="1:29" s="394" customFormat="1" ht="15">
      <c r="A46" s="391" t="s">
        <v>2257</v>
      </c>
      <c r="B46" s="392"/>
      <c r="C46" s="1187" t="str">
        <f>YEAR(C7)&amp;"-"&amp;MONTH(C7)</f>
        <v>2016-7</v>
      </c>
      <c r="D46" s="1188">
        <f>EDATE(C46,-1)</f>
        <v>42522</v>
      </c>
      <c r="E46" s="1188">
        <f t="shared" ref="E46:O46" si="16">EDATE(D46,-1)</f>
        <v>42491</v>
      </c>
      <c r="F46" s="1188">
        <f t="shared" si="16"/>
        <v>42461</v>
      </c>
      <c r="G46" s="1188">
        <f t="shared" si="16"/>
        <v>42430</v>
      </c>
      <c r="H46" s="1188">
        <f t="shared" si="16"/>
        <v>42401</v>
      </c>
      <c r="I46" s="1188">
        <f t="shared" si="16"/>
        <v>42370</v>
      </c>
      <c r="J46" s="1188">
        <f t="shared" si="16"/>
        <v>42339</v>
      </c>
      <c r="K46" s="1188">
        <f t="shared" si="16"/>
        <v>42309</v>
      </c>
      <c r="L46" s="1188">
        <f t="shared" si="16"/>
        <v>42278</v>
      </c>
      <c r="M46" s="1188">
        <f t="shared" si="16"/>
        <v>42248</v>
      </c>
      <c r="N46" s="1188">
        <f t="shared" si="16"/>
        <v>42217</v>
      </c>
      <c r="O46" s="1188">
        <f t="shared" si="16"/>
        <v>42186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8"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900-000000000000}">
      <formula1>交通便捷度</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C10 E10 G10 I10" xr:uid="{00000000-0002-0000-1900-000002000000}">
      <formula1>土地年限区间</formula1>
    </dataValidation>
    <dataValidation type="list" allowBlank="1" showInputMessage="1" showErrorMessage="1" sqref="C8 E8 G8 I8" xr:uid="{00000000-0002-0000-1900-000003000000}">
      <formula1>仓储交易情况</formula1>
    </dataValidation>
    <dataValidation type="list" allowBlank="1" showInputMessage="1" showErrorMessage="1" sqref="E9 G9 I9" xr:uid="{00000000-0002-0000-1900-000004000000}">
      <formula1>仓储用途</formula1>
    </dataValidation>
    <dataValidation type="list" allowBlank="1" showInputMessage="1" showErrorMessage="1" sqref="C21 E21 G21 I21" xr:uid="{00000000-0002-0000-1900-000005000000}">
      <formula1>环境</formula1>
    </dataValidation>
    <dataValidation type="list" allowBlank="1" showInputMessage="1" showErrorMessage="1" sqref="C22 E22 G22 I22" xr:uid="{00000000-0002-0000-1900-000006000000}">
      <formula1>仓储楼层</formula1>
    </dataValidation>
    <dataValidation type="list" allowBlank="1" showInputMessage="1" showErrorMessage="1" sqref="C26 E26 G26 I26" xr:uid="{00000000-0002-0000-1900-000007000000}">
      <formula1>仓储公共部分装修</formula1>
    </dataValidation>
    <dataValidation type="list" allowBlank="1" showInputMessage="1" showErrorMessage="1" sqref="C29 E29 G29 I29" xr:uid="{00000000-0002-0000-1900-000008000000}">
      <formula1>有无电梯</formula1>
    </dataValidation>
    <dataValidation type="list" allowBlank="1" showInputMessage="1" showErrorMessage="1" sqref="C31 E31 G31 I31" xr:uid="{00000000-0002-0000-1900-000009000000}">
      <formula1>是否封闭</formula1>
    </dataValidation>
    <dataValidation type="list" allowBlank="1" showInputMessage="1" showErrorMessage="1" sqref="B1" xr:uid="{00000000-0002-0000-1900-00000A000000}">
      <formula1>地类判定</formula1>
    </dataValidation>
    <dataValidation type="list" allowBlank="1" showInputMessage="1" showErrorMessage="1" sqref="C28 E28 G28 I28" xr:uid="{00000000-0002-0000-1900-00000B000000}">
      <formula1>仓储物业等级</formula1>
    </dataValidation>
    <dataValidation type="list" allowBlank="1" showInputMessage="1" showErrorMessage="1" sqref="C1" xr:uid="{00000000-0002-0000-1900-00000C000000}">
      <formula1>"估价对象,仅计算典型户型"</formula1>
    </dataValidation>
    <dataValidation type="list" allowBlank="1" showInputMessage="1" showErrorMessage="1" sqref="C19 E19 G19 I19" xr:uid="{00000000-0002-0000-1900-00000D000000}">
      <formula1>基础设施水平</formula1>
    </dataValidation>
    <dataValidation type="list" allowBlank="1" showInputMessage="1" showErrorMessage="1" sqref="E1" xr:uid="{00000000-0002-0000-1900-00000E000000}">
      <formula1>"售价,租金"</formula1>
    </dataValidation>
    <dataValidation type="list" allowBlank="1" showInputMessage="1" showErrorMessage="1" sqref="D2" xr:uid="{00000000-0002-0000-1900-00000F000000}">
      <formula1>"需扣减承租人权益,——"</formula1>
    </dataValidation>
    <dataValidation type="list" allowBlank="1" showInputMessage="1" showErrorMessage="1" sqref="G2" xr:uid="{00000000-0002-0000-1900-000010000000}">
      <formula1>估价方法</formula1>
    </dataValidation>
    <dataValidation type="list" allowBlank="1" showInputMessage="1" showErrorMessage="1" sqref="D36" xr:uid="{00000000-0002-0000-19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2440</v>
      </c>
      <c r="B1" s="1951"/>
      <c r="C1" s="1952" t="s">
        <v>2441</v>
      </c>
      <c r="D1" s="1951"/>
      <c r="E1" s="1951"/>
      <c r="F1" s="1953" t="s">
        <v>2242</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1912</v>
      </c>
      <c r="B2" s="1961" t="e">
        <f>F66</f>
        <v>#DIV/0!</v>
      </c>
      <c r="C2" s="1656" t="s">
        <v>2442</v>
      </c>
      <c r="D2" s="3011"/>
      <c r="E2" s="3011"/>
      <c r="F2" s="3010"/>
      <c r="G2" s="3011"/>
      <c r="H2" s="3011"/>
      <c r="I2" s="3011"/>
      <c r="J2" s="3011"/>
      <c r="K2" s="3012"/>
      <c r="L2" s="3013"/>
      <c r="M2" s="3011"/>
      <c r="N2" s="3011"/>
      <c r="O2" s="3011"/>
      <c r="P2" s="1956"/>
      <c r="Q2" s="1956"/>
      <c r="R2" s="1956"/>
      <c r="S2" s="1956"/>
      <c r="T2" s="1956"/>
      <c r="U2" s="1956"/>
      <c r="V2" s="1956"/>
      <c r="W2" s="1956"/>
      <c r="X2" s="1956"/>
      <c r="Y2" s="1956"/>
      <c r="Z2" s="1956"/>
      <c r="AA2" s="1956"/>
      <c r="AB2" s="1956"/>
      <c r="AC2" s="1957"/>
      <c r="AD2" s="1958"/>
    </row>
    <row r="3" spans="1:30" s="1959" customFormat="1" ht="28.5" customHeight="1" thickBot="1">
      <c r="A3" s="1658" t="s">
        <v>1913</v>
      </c>
      <c r="B3" s="1962" t="e">
        <f>ROUND(B2/'数据-取费表'!B5,0)</f>
        <v>#DIV/0!</v>
      </c>
      <c r="C3" s="1656" t="s">
        <v>2443</v>
      </c>
      <c r="D3" s="3011"/>
      <c r="E3" s="3011"/>
      <c r="F3" s="3010"/>
      <c r="G3" s="3011"/>
      <c r="H3" s="3011"/>
      <c r="I3" s="3011"/>
      <c r="J3" s="3011"/>
      <c r="K3" s="3012"/>
      <c r="L3" s="3013"/>
      <c r="M3" s="3011"/>
      <c r="N3" s="3011"/>
      <c r="O3" s="3011"/>
      <c r="P3" s="1956"/>
      <c r="Q3" s="1956"/>
      <c r="R3" s="1956"/>
      <c r="S3" s="1956"/>
      <c r="T3" s="1956"/>
      <c r="U3" s="1956"/>
      <c r="V3" s="1956"/>
      <c r="W3" s="1956"/>
      <c r="X3" s="1956"/>
      <c r="Y3" s="1956"/>
      <c r="Z3" s="1956"/>
      <c r="AA3" s="1956"/>
      <c r="AB3" s="1963"/>
      <c r="AC3" s="1964"/>
    </row>
    <row r="4" spans="1:30" ht="15">
      <c r="A4" s="1662" t="s">
        <v>2244</v>
      </c>
      <c r="B4" s="1663"/>
      <c r="C4" s="3860" t="s">
        <v>2245</v>
      </c>
      <c r="D4" s="3861"/>
      <c r="E4" s="3862" t="s">
        <v>2246</v>
      </c>
      <c r="F4" s="3863"/>
      <c r="G4" s="3860" t="s">
        <v>2247</v>
      </c>
      <c r="H4" s="3861"/>
      <c r="I4" s="3860" t="s">
        <v>2248</v>
      </c>
      <c r="J4" s="3861"/>
      <c r="K4" s="1965" t="s">
        <v>2249</v>
      </c>
      <c r="L4" s="2996"/>
      <c r="M4" s="2997"/>
      <c r="N4" s="2997"/>
      <c r="O4" s="2997"/>
      <c r="P4" s="3864" t="s">
        <v>2250</v>
      </c>
      <c r="Q4" s="3865"/>
      <c r="R4" s="3847" t="s">
        <v>2246</v>
      </c>
      <c r="S4" s="3848"/>
      <c r="T4" s="3847" t="s">
        <v>2247</v>
      </c>
      <c r="U4" s="3848"/>
      <c r="V4" s="3870" t="s">
        <v>2248</v>
      </c>
      <c r="W4" s="3870"/>
      <c r="X4" s="1665"/>
      <c r="Y4" s="3847" t="s">
        <v>2250</v>
      </c>
      <c r="Z4" s="3848"/>
      <c r="AA4" s="3857" t="s">
        <v>2246</v>
      </c>
      <c r="AB4" s="3858" t="s">
        <v>2247</v>
      </c>
      <c r="AC4" s="3857" t="s">
        <v>2248</v>
      </c>
    </row>
    <row r="5" spans="1:30" ht="15">
      <c r="A5" s="1667"/>
      <c r="B5" s="1668"/>
      <c r="C5" s="3873" t="s">
        <v>2251</v>
      </c>
      <c r="D5" s="3874"/>
      <c r="E5" s="4095" t="s">
        <v>2252</v>
      </c>
      <c r="F5" s="3872"/>
      <c r="G5" s="3873" t="s">
        <v>2253</v>
      </c>
      <c r="H5" s="3874"/>
      <c r="I5" s="3873" t="s">
        <v>2254</v>
      </c>
      <c r="J5" s="3874"/>
      <c r="K5" s="1965"/>
      <c r="L5" s="2996"/>
      <c r="M5" s="2997"/>
      <c r="N5" s="2997"/>
      <c r="O5" s="2997"/>
      <c r="P5" s="3866"/>
      <c r="Q5" s="3867"/>
      <c r="R5" s="3849"/>
      <c r="S5" s="3850"/>
      <c r="T5" s="3849"/>
      <c r="U5" s="3850"/>
      <c r="V5" s="3870"/>
      <c r="W5" s="3870"/>
      <c r="X5" s="1665"/>
      <c r="Y5" s="3849"/>
      <c r="Z5" s="3850"/>
      <c r="AA5" s="3858"/>
      <c r="AB5" s="3858"/>
      <c r="AC5" s="3858"/>
    </row>
    <row r="6" spans="1:30" ht="15.75" thickBot="1">
      <c r="A6" s="1670"/>
      <c r="B6" s="1671"/>
      <c r="C6" s="3875" t="s">
        <v>2255</v>
      </c>
      <c r="D6" s="3876"/>
      <c r="E6" s="3878" t="s">
        <v>2255</v>
      </c>
      <c r="F6" s="3879"/>
      <c r="G6" s="3875" t="s">
        <v>2255</v>
      </c>
      <c r="H6" s="3876"/>
      <c r="I6" s="3875" t="s">
        <v>2255</v>
      </c>
      <c r="J6" s="3876"/>
      <c r="K6" s="1965" t="s">
        <v>2256</v>
      </c>
      <c r="L6" s="2996"/>
      <c r="M6" s="2997"/>
      <c r="N6" s="2997"/>
      <c r="O6" s="2997"/>
      <c r="P6" s="3868"/>
      <c r="Q6" s="3869"/>
      <c r="R6" s="3849"/>
      <c r="S6" s="3850"/>
      <c r="T6" s="3851"/>
      <c r="U6" s="3852"/>
      <c r="V6" s="3870"/>
      <c r="W6" s="3870"/>
      <c r="X6" s="1665"/>
      <c r="Y6" s="3851"/>
      <c r="Z6" s="3852"/>
      <c r="AA6" s="3859"/>
      <c r="AB6" s="3859"/>
      <c r="AC6" s="3859"/>
    </row>
    <row r="7" spans="1:30" s="1684" customFormat="1" ht="15.75" thickBot="1">
      <c r="A7" s="1672" t="s">
        <v>2257</v>
      </c>
      <c r="B7" s="1673"/>
      <c r="C7" s="1674">
        <f>'数据-取费表'!B2</f>
        <v>42558</v>
      </c>
      <c r="D7" s="1675">
        <v>100</v>
      </c>
      <c r="E7" s="1676"/>
      <c r="F7" s="1677">
        <f>SUMIF(70:70,YEAR(E7)&amp;"-"&amp;INT((MONTH(E7)+2)/3),71:71)</f>
        <v>0</v>
      </c>
      <c r="G7" s="1966"/>
      <c r="H7" s="1675">
        <f>SUMIF(70:70,YEAR(G7)&amp;"-"&amp;INT((MONTH(G7)+2)/3),71:71)</f>
        <v>0</v>
      </c>
      <c r="I7" s="1966"/>
      <c r="J7" s="1675">
        <f>SUMIF(70:70,YEAR(I7)&amp;"-"&amp;INT((MONTH(I7)+2)/3),71:71)</f>
        <v>0</v>
      </c>
      <c r="K7" s="1967"/>
      <c r="L7" s="2996"/>
      <c r="M7" s="2969"/>
      <c r="N7" s="2969"/>
      <c r="O7" s="2969"/>
      <c r="P7" s="3845" t="s">
        <v>2258</v>
      </c>
      <c r="Q7" s="3853"/>
      <c r="R7" s="1680" t="s">
        <v>25</v>
      </c>
      <c r="S7" s="1681">
        <f t="shared" ref="S7:S15" si="0">F7</f>
        <v>0</v>
      </c>
      <c r="T7" s="1680" t="s">
        <v>25</v>
      </c>
      <c r="U7" s="1681">
        <f t="shared" ref="U7:U15" si="1">H7</f>
        <v>0</v>
      </c>
      <c r="V7" s="1680" t="s">
        <v>25</v>
      </c>
      <c r="W7" s="1681">
        <f t="shared" ref="W7:W15" si="2">J7</f>
        <v>0</v>
      </c>
      <c r="X7" s="1682"/>
      <c r="Y7" s="3845" t="s">
        <v>2258</v>
      </c>
      <c r="Z7" s="3846"/>
      <c r="AA7" s="1683" t="e">
        <f>D7/F7</f>
        <v>#DIV/0!</v>
      </c>
      <c r="AB7" s="1683" t="e">
        <f>D7/H7</f>
        <v>#DIV/0!</v>
      </c>
      <c r="AC7" s="1683" t="e">
        <f>D7/J7</f>
        <v>#DIV/0!</v>
      </c>
    </row>
    <row r="8" spans="1:30" s="1684" customFormat="1" ht="15.75" thickBot="1">
      <c r="A8" s="1672" t="s">
        <v>2259</v>
      </c>
      <c r="B8" s="1673"/>
      <c r="C8" s="1685" t="s">
        <v>2444</v>
      </c>
      <c r="D8" s="1675">
        <v>100</v>
      </c>
      <c r="E8" s="1685"/>
      <c r="F8" s="1677">
        <f>SUMIF(73:73,E8,74:74)-SUMIF(73:73,C8,74:74)+100</f>
        <v>0</v>
      </c>
      <c r="G8" s="1685"/>
      <c r="H8" s="1675">
        <f>SUMIF(73:73,G8,74:74)-SUMIF(73:73,C8,74:74)+100</f>
        <v>0</v>
      </c>
      <c r="I8" s="1685"/>
      <c r="J8" s="1675">
        <f>SUMIF(73:73,I8,74:74)-SUMIF(73:73,C8,74:74)+100</f>
        <v>0</v>
      </c>
      <c r="K8" s="1967"/>
      <c r="L8" s="2996"/>
      <c r="M8" s="2969"/>
      <c r="N8" s="2969"/>
      <c r="O8" s="2969"/>
      <c r="P8" s="3845" t="s">
        <v>2261</v>
      </c>
      <c r="Q8" s="3846"/>
      <c r="R8" s="1680" t="s">
        <v>25</v>
      </c>
      <c r="S8" s="1681">
        <f t="shared" si="0"/>
        <v>0</v>
      </c>
      <c r="T8" s="1680" t="s">
        <v>25</v>
      </c>
      <c r="U8" s="1681">
        <f t="shared" si="1"/>
        <v>0</v>
      </c>
      <c r="V8" s="1680" t="s">
        <v>25</v>
      </c>
      <c r="W8" s="1681">
        <f t="shared" si="2"/>
        <v>0</v>
      </c>
      <c r="X8" s="1682"/>
      <c r="Y8" s="3845" t="s">
        <v>2261</v>
      </c>
      <c r="Z8" s="3846"/>
      <c r="AA8" s="1683" t="e">
        <f t="shared" ref="AA8:AA45" si="3">D8/F8</f>
        <v>#DIV/0!</v>
      </c>
      <c r="AB8" s="1683" t="e">
        <f t="shared" ref="AB8:AB45" si="4">D8/H8</f>
        <v>#DIV/0!</v>
      </c>
      <c r="AC8" s="1683" t="e">
        <f t="shared" ref="AC8:AC45" si="5">D8/J8</f>
        <v>#DIV/0!</v>
      </c>
    </row>
    <row r="9" spans="1:30" s="1684" customFormat="1">
      <c r="A9" s="1635" t="s">
        <v>2262</v>
      </c>
      <c r="B9" s="1687" t="s">
        <v>2263</v>
      </c>
      <c r="C9" s="1968"/>
      <c r="D9" s="1689">
        <v>100</v>
      </c>
      <c r="E9" s="1968"/>
      <c r="F9" s="1689">
        <f>SUMIF(75:75,E9,76:76)-SUMIF(75:75,C9,76:76)+100</f>
        <v>100</v>
      </c>
      <c r="G9" s="1968"/>
      <c r="H9" s="1689">
        <f>SUMIF(75:75,G9,76:76)-SUMIF(75:75,C9,76:76)+100</f>
        <v>100</v>
      </c>
      <c r="I9" s="1968"/>
      <c r="J9" s="1689">
        <f>SUMIF(75:75,I9,76:76)-SUMIF(75:75,C9,76:76)+100</f>
        <v>100</v>
      </c>
      <c r="K9" s="1967"/>
      <c r="L9" s="2996"/>
      <c r="M9" s="2969"/>
      <c r="N9" s="2969"/>
      <c r="O9" s="3043"/>
      <c r="P9" s="3837" t="s">
        <v>2264</v>
      </c>
      <c r="Q9" s="1634" t="str">
        <f t="shared" ref="Q9:Q15" si="6">B9</f>
        <v>用途</v>
      </c>
      <c r="R9" s="1680" t="s">
        <v>25</v>
      </c>
      <c r="S9" s="1681">
        <f t="shared" si="0"/>
        <v>100</v>
      </c>
      <c r="T9" s="1680" t="s">
        <v>25</v>
      </c>
      <c r="U9" s="1681">
        <f t="shared" si="1"/>
        <v>100</v>
      </c>
      <c r="V9" s="1680" t="s">
        <v>25</v>
      </c>
      <c r="W9" s="1681">
        <f t="shared" si="2"/>
        <v>100</v>
      </c>
      <c r="X9" s="1682"/>
      <c r="Y9" s="3856" t="s">
        <v>2265</v>
      </c>
      <c r="Z9" s="1693" t="str">
        <f t="shared" ref="Z9:Z15" si="7">Q9</f>
        <v>用途</v>
      </c>
      <c r="AA9" s="1683">
        <f t="shared" si="3"/>
        <v>1</v>
      </c>
      <c r="AB9" s="1683">
        <f t="shared" si="4"/>
        <v>1</v>
      </c>
      <c r="AC9" s="1683">
        <f t="shared" si="5"/>
        <v>1</v>
      </c>
    </row>
    <row r="10" spans="1:30" s="1701" customFormat="1" ht="27">
      <c r="A10" s="1694"/>
      <c r="B10" s="1695" t="s">
        <v>2266</v>
      </c>
      <c r="C10" s="1707"/>
      <c r="D10" s="1697">
        <v>100</v>
      </c>
      <c r="E10" s="1759"/>
      <c r="F10" s="1697">
        <f>ROUND(100/'数据-取费表'!B14,0)</f>
        <v>112</v>
      </c>
      <c r="G10" s="1757"/>
      <c r="H10" s="1697">
        <f>ROUND(100/'数据-取费表'!B14,0)</f>
        <v>112</v>
      </c>
      <c r="I10" s="1757"/>
      <c r="J10" s="1697">
        <f>ROUND(100/'数据-取费表'!B14,0)</f>
        <v>112</v>
      </c>
      <c r="K10" s="1969"/>
      <c r="L10" s="2998"/>
      <c r="M10" s="2999"/>
      <c r="N10" s="2999"/>
      <c r="O10" s="3044"/>
      <c r="P10" s="3837"/>
      <c r="Q10" s="1634" t="str">
        <f t="shared" si="6"/>
        <v>土地使用年限（年）</v>
      </c>
      <c r="R10" s="1680" t="s">
        <v>25</v>
      </c>
      <c r="S10" s="1681">
        <f t="shared" si="0"/>
        <v>112</v>
      </c>
      <c r="T10" s="1680" t="s">
        <v>25</v>
      </c>
      <c r="U10" s="1681">
        <f t="shared" si="1"/>
        <v>112</v>
      </c>
      <c r="V10" s="1680" t="s">
        <v>25</v>
      </c>
      <c r="W10" s="1681">
        <f t="shared" si="2"/>
        <v>112</v>
      </c>
      <c r="X10" s="1682"/>
      <c r="Y10" s="3856"/>
      <c r="Z10" s="1693" t="str">
        <f t="shared" si="7"/>
        <v>土地使用年限（年）</v>
      </c>
      <c r="AA10" s="1683">
        <f t="shared" si="3"/>
        <v>0.8928571428571429</v>
      </c>
      <c r="AB10" s="1683">
        <f t="shared" si="4"/>
        <v>0.8928571428571429</v>
      </c>
      <c r="AC10" s="1683">
        <f t="shared" si="5"/>
        <v>0.8928571428571429</v>
      </c>
    </row>
    <row r="11" spans="1:30" ht="15">
      <c r="A11" s="1702"/>
      <c r="B11" s="1695" t="s">
        <v>2267</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0"/>
      <c r="M11" s="2997"/>
      <c r="N11" s="2997"/>
      <c r="O11" s="3045"/>
      <c r="P11" s="3837"/>
      <c r="Q11" s="1634" t="str">
        <f t="shared" si="6"/>
        <v>容积率</v>
      </c>
      <c r="R11" s="1680" t="s">
        <v>25</v>
      </c>
      <c r="S11" s="1681" t="e">
        <f t="shared" si="0"/>
        <v>#N/A</v>
      </c>
      <c r="T11" s="1680" t="s">
        <v>25</v>
      </c>
      <c r="U11" s="1681" t="e">
        <f t="shared" si="1"/>
        <v>#N/A</v>
      </c>
      <c r="V11" s="1680" t="s">
        <v>25</v>
      </c>
      <c r="W11" s="1681" t="e">
        <f t="shared" si="2"/>
        <v>#N/A</v>
      </c>
      <c r="X11" s="1682"/>
      <c r="Y11" s="3856"/>
      <c r="Z11" s="1693" t="str">
        <f t="shared" si="7"/>
        <v>容积率</v>
      </c>
      <c r="AA11" s="1683" t="e">
        <f t="shared" si="3"/>
        <v>#N/A</v>
      </c>
      <c r="AB11" s="1683" t="e">
        <f t="shared" si="4"/>
        <v>#N/A</v>
      </c>
      <c r="AC11" s="1683" t="e">
        <f t="shared" si="5"/>
        <v>#N/A</v>
      </c>
    </row>
    <row r="12" spans="1:30" s="1684" customFormat="1" ht="15">
      <c r="A12" s="1705"/>
      <c r="B12" s="1706" t="s">
        <v>2445</v>
      </c>
      <c r="C12" s="1707"/>
      <c r="D12" s="1708">
        <v>100</v>
      </c>
      <c r="E12" s="1759"/>
      <c r="F12" s="1697">
        <f>SUMIF(82:82,E12,83:83)-SUMIF(82:82,C12,83:83)+100</f>
        <v>100</v>
      </c>
      <c r="G12" s="1757"/>
      <c r="H12" s="1697">
        <f>SUMIF(82:82,G12,83:83)-SUMIF(82:82,C12,83:83)+100</f>
        <v>100</v>
      </c>
      <c r="I12" s="1759"/>
      <c r="J12" s="1697">
        <f>SUMIF(82:82,I12,83:83)-SUMIF(82:82,C12,83:83)+100</f>
        <v>100</v>
      </c>
      <c r="K12" s="1969"/>
      <c r="L12" s="2996"/>
      <c r="M12" s="2969"/>
      <c r="N12" s="2969"/>
      <c r="O12" s="3043"/>
      <c r="P12" s="3837"/>
      <c r="Q12" s="1634" t="str">
        <f t="shared" si="6"/>
        <v>配建</v>
      </c>
      <c r="R12" s="1680" t="s">
        <v>25</v>
      </c>
      <c r="S12" s="1681">
        <f t="shared" si="0"/>
        <v>100</v>
      </c>
      <c r="T12" s="1680" t="s">
        <v>25</v>
      </c>
      <c r="U12" s="1681">
        <f t="shared" si="1"/>
        <v>100</v>
      </c>
      <c r="V12" s="1680" t="s">
        <v>25</v>
      </c>
      <c r="W12" s="1681">
        <f t="shared" si="2"/>
        <v>100</v>
      </c>
      <c r="X12" s="1682"/>
      <c r="Y12" s="3856"/>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1"/>
      <c r="M13" s="2997"/>
      <c r="N13" s="2997"/>
      <c r="O13" s="3045"/>
      <c r="P13" s="3837"/>
      <c r="Q13" s="1634">
        <f t="shared" si="6"/>
        <v>111</v>
      </c>
      <c r="R13" s="1680" t="s">
        <v>25</v>
      </c>
      <c r="S13" s="1681">
        <f t="shared" si="0"/>
        <v>100</v>
      </c>
      <c r="T13" s="1680" t="s">
        <v>25</v>
      </c>
      <c r="U13" s="1681">
        <f t="shared" si="1"/>
        <v>100</v>
      </c>
      <c r="V13" s="1680" t="s">
        <v>25</v>
      </c>
      <c r="W13" s="1681">
        <f t="shared" si="2"/>
        <v>100</v>
      </c>
      <c r="X13" s="1682"/>
      <c r="Y13" s="3856"/>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1"/>
      <c r="M14" s="2997"/>
      <c r="N14" s="2997"/>
      <c r="O14" s="3045"/>
      <c r="P14" s="3837"/>
      <c r="Q14" s="1634">
        <f t="shared" si="6"/>
        <v>111</v>
      </c>
      <c r="R14" s="1680" t="s">
        <v>25</v>
      </c>
      <c r="S14" s="1681">
        <f t="shared" si="0"/>
        <v>100</v>
      </c>
      <c r="T14" s="1680" t="s">
        <v>25</v>
      </c>
      <c r="U14" s="1681">
        <f t="shared" si="1"/>
        <v>100</v>
      </c>
      <c r="V14" s="1680" t="s">
        <v>25</v>
      </c>
      <c r="W14" s="1681">
        <f t="shared" si="2"/>
        <v>100</v>
      </c>
      <c r="X14" s="1682"/>
      <c r="Y14" s="3856"/>
      <c r="Z14" s="1693">
        <f t="shared" si="7"/>
        <v>111</v>
      </c>
      <c r="AA14" s="1683">
        <f>D14/F14</f>
        <v>1</v>
      </c>
      <c r="AB14" s="1683">
        <f>D14/H14</f>
        <v>1</v>
      </c>
      <c r="AC14" s="1683">
        <f>D14/J14</f>
        <v>1</v>
      </c>
    </row>
    <row r="15" spans="1:30" ht="99.75">
      <c r="A15" s="1662" t="s">
        <v>2268</v>
      </c>
      <c r="B15" s="1972" t="s">
        <v>1702</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1"/>
      <c r="M15" s="2997"/>
      <c r="N15" s="2997"/>
      <c r="O15" s="3045"/>
      <c r="P15" s="3854" t="s">
        <v>2269</v>
      </c>
      <c r="Q15" s="1615" t="str">
        <f t="shared" si="6"/>
        <v>居住社区成熟度</v>
      </c>
      <c r="R15" s="1725" t="s">
        <v>25</v>
      </c>
      <c r="S15" s="1726">
        <f t="shared" si="0"/>
        <v>100</v>
      </c>
      <c r="T15" s="1725" t="s">
        <v>25</v>
      </c>
      <c r="U15" s="1726">
        <f t="shared" si="1"/>
        <v>100</v>
      </c>
      <c r="V15" s="1725" t="s">
        <v>25</v>
      </c>
      <c r="W15" s="1726">
        <f t="shared" si="2"/>
        <v>100</v>
      </c>
      <c r="X15" s="1665"/>
      <c r="Y15" s="3854" t="s">
        <v>2269</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1"/>
      <c r="M16" s="2997"/>
      <c r="N16" s="2997"/>
      <c r="O16" s="3045"/>
      <c r="P16" s="3855"/>
      <c r="Q16" s="1615"/>
      <c r="R16" s="1725"/>
      <c r="S16" s="1726"/>
      <c r="T16" s="1725"/>
      <c r="U16" s="1726"/>
      <c r="V16" s="1725"/>
      <c r="W16" s="1726"/>
      <c r="X16" s="1665"/>
      <c r="Y16" s="3855"/>
      <c r="Z16" s="1727"/>
      <c r="AA16" s="1728">
        <v>1</v>
      </c>
      <c r="AB16" s="1728">
        <v>1</v>
      </c>
      <c r="AC16" s="1728">
        <v>1</v>
      </c>
    </row>
    <row r="17" spans="1:29" ht="71.25">
      <c r="A17" s="1667"/>
      <c r="B17" s="1976" t="s">
        <v>2354</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1"/>
      <c r="M17" s="2997"/>
      <c r="N17" s="2997"/>
      <c r="O17" s="3045"/>
      <c r="P17" s="3855"/>
      <c r="Q17" s="1615" t="str">
        <f>B17</f>
        <v>商业繁华度</v>
      </c>
      <c r="R17" s="1725" t="s">
        <v>25</v>
      </c>
      <c r="S17" s="1726">
        <f>F17</f>
        <v>100</v>
      </c>
      <c r="T17" s="1725" t="s">
        <v>25</v>
      </c>
      <c r="U17" s="1726">
        <f>H17</f>
        <v>100</v>
      </c>
      <c r="V17" s="1725" t="s">
        <v>25</v>
      </c>
      <c r="W17" s="1726">
        <f>J17</f>
        <v>100</v>
      </c>
      <c r="X17" s="1665"/>
      <c r="Y17" s="3855"/>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1"/>
      <c r="M18" s="2997"/>
      <c r="N18" s="2997"/>
      <c r="O18" s="3045"/>
      <c r="P18" s="3855"/>
      <c r="Q18" s="1615"/>
      <c r="R18" s="1725"/>
      <c r="S18" s="1726"/>
      <c r="T18" s="1725"/>
      <c r="U18" s="1726"/>
      <c r="V18" s="1725"/>
      <c r="W18" s="1726"/>
      <c r="X18" s="1665"/>
      <c r="Y18" s="3855"/>
      <c r="Z18" s="1727"/>
      <c r="AA18" s="1728">
        <v>1</v>
      </c>
      <c r="AB18" s="1728">
        <v>1</v>
      </c>
      <c r="AC18" s="1728">
        <v>1</v>
      </c>
    </row>
    <row r="19" spans="1:29" ht="128.25">
      <c r="A19" s="1667"/>
      <c r="B19" s="1976" t="s">
        <v>2383</v>
      </c>
      <c r="C19" s="1977" t="str">
        <f>估价对象房地状况!C17</f>
        <v>估价对象位于知春路商圈，周边办公楼项目有希格玛大厦、资金数码园、厦门大厦、卫星大厦、金仪科技大厦，入驻率高，办公集聚程度较好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1"/>
      <c r="M19" s="2997"/>
      <c r="N19" s="2997"/>
      <c r="O19" s="3045"/>
      <c r="P19" s="3855"/>
      <c r="Q19" s="1615" t="str">
        <f>B19</f>
        <v>办公集聚程度</v>
      </c>
      <c r="R19" s="1725" t="s">
        <v>25</v>
      </c>
      <c r="S19" s="1726">
        <f>F19</f>
        <v>100</v>
      </c>
      <c r="T19" s="1725" t="s">
        <v>25</v>
      </c>
      <c r="U19" s="1726">
        <f>H19</f>
        <v>100</v>
      </c>
      <c r="V19" s="1725" t="s">
        <v>25</v>
      </c>
      <c r="W19" s="1726">
        <f>J19</f>
        <v>100</v>
      </c>
      <c r="X19" s="1665"/>
      <c r="Y19" s="3855"/>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1"/>
      <c r="M20" s="2997"/>
      <c r="N20" s="2997"/>
      <c r="O20" s="3045"/>
      <c r="P20" s="3855"/>
      <c r="Q20" s="1615"/>
      <c r="R20" s="1725"/>
      <c r="S20" s="1726"/>
      <c r="T20" s="1725"/>
      <c r="U20" s="1726"/>
      <c r="V20" s="1725"/>
      <c r="W20" s="1726"/>
      <c r="X20" s="1665"/>
      <c r="Y20" s="3855"/>
      <c r="Z20" s="1727"/>
      <c r="AA20" s="1728">
        <v>1</v>
      </c>
      <c r="AB20" s="1728">
        <v>1</v>
      </c>
      <c r="AC20" s="1728">
        <v>1</v>
      </c>
    </row>
    <row r="21" spans="1:29" ht="156.75">
      <c r="A21" s="1667"/>
      <c r="B21" s="1976" t="s">
        <v>2406</v>
      </c>
      <c r="C21" s="1980" t="str">
        <f>估价对象房地状况!C18</f>
        <v>估价对象临近知春路，距离地铁10、13号线知春路站约100米，周边有专168路、311路、319路、630路等公交车通达，停车便捷程度较好，综合评价交通便捷度好</v>
      </c>
      <c r="D21" s="1735">
        <v>100</v>
      </c>
      <c r="E21" s="1739"/>
      <c r="F21" s="1742">
        <f>SUMIF(94:94,E22,95:95)-SUMIF(94:94,C22,95:95)+100</f>
        <v>100</v>
      </c>
      <c r="G21" s="1739"/>
      <c r="H21" s="1735">
        <f>SUMIF(94:94,G22,95:95)-SUMIF(94:94,C22,95:95)+100</f>
        <v>100</v>
      </c>
      <c r="I21" s="1741"/>
      <c r="J21" s="1735">
        <f>SUMIF(94:94,I22,95:95)-SUMIF(94:94,C22,95:95)+100</f>
        <v>100</v>
      </c>
      <c r="K21" s="1970"/>
      <c r="L21" s="3001"/>
      <c r="M21" s="2997"/>
      <c r="N21" s="2997"/>
      <c r="O21" s="3045"/>
      <c r="P21" s="3855"/>
      <c r="Q21" s="1615" t="str">
        <f>B21</f>
        <v>交通便捷度</v>
      </c>
      <c r="R21" s="1725" t="s">
        <v>25</v>
      </c>
      <c r="S21" s="1726">
        <f>F21</f>
        <v>100</v>
      </c>
      <c r="T21" s="1725" t="s">
        <v>25</v>
      </c>
      <c r="U21" s="1726">
        <f>H21</f>
        <v>100</v>
      </c>
      <c r="V21" s="1725" t="s">
        <v>25</v>
      </c>
      <c r="W21" s="1726">
        <f>J21</f>
        <v>100</v>
      </c>
      <c r="X21" s="1665"/>
      <c r="Y21" s="3855"/>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1"/>
      <c r="M22" s="2997"/>
      <c r="N22" s="2997"/>
      <c r="O22" s="3045"/>
      <c r="P22" s="3855"/>
      <c r="Q22" s="1615"/>
      <c r="R22" s="1725"/>
      <c r="S22" s="1726"/>
      <c r="T22" s="1725"/>
      <c r="U22" s="1726"/>
      <c r="V22" s="1725"/>
      <c r="W22" s="1726"/>
      <c r="X22" s="1665"/>
      <c r="Y22" s="3855"/>
      <c r="Z22" s="1727"/>
      <c r="AA22" s="1728">
        <v>1</v>
      </c>
      <c r="AB22" s="1728">
        <v>1</v>
      </c>
      <c r="AC22" s="1728">
        <v>1</v>
      </c>
    </row>
    <row r="23" spans="1:29" ht="15">
      <c r="A23" s="1667"/>
      <c r="B23" s="1458" t="s">
        <v>2446</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1"/>
      <c r="M23" s="2997"/>
      <c r="N23" s="2997"/>
      <c r="O23" s="3045"/>
      <c r="P23" s="3855"/>
      <c r="Q23" s="1615" t="str">
        <f t="shared" ref="Q23:Q37" si="8">B23</f>
        <v>区域土地利用方向</v>
      </c>
      <c r="R23" s="1725" t="s">
        <v>25</v>
      </c>
      <c r="S23" s="1726">
        <f>F23</f>
        <v>100</v>
      </c>
      <c r="T23" s="1725" t="s">
        <v>25</v>
      </c>
      <c r="U23" s="1726">
        <f>H23</f>
        <v>100</v>
      </c>
      <c r="V23" s="1725" t="s">
        <v>25</v>
      </c>
      <c r="W23" s="1726">
        <f>J23</f>
        <v>100</v>
      </c>
      <c r="X23" s="1665"/>
      <c r="Y23" s="3855"/>
      <c r="Z23" s="1727" t="str">
        <f>Q23</f>
        <v>区域土地利用方向</v>
      </c>
      <c r="AA23" s="1728">
        <f t="shared" si="3"/>
        <v>1</v>
      </c>
      <c r="AB23" s="1728">
        <f t="shared" si="4"/>
        <v>1</v>
      </c>
      <c r="AC23" s="1728">
        <f t="shared" si="5"/>
        <v>1</v>
      </c>
    </row>
    <row r="24" spans="1:29" ht="15">
      <c r="A24" s="1667"/>
      <c r="B24" s="1459"/>
      <c r="C24" s="1983"/>
      <c r="D24" s="1731"/>
      <c r="E24" s="1732"/>
      <c r="F24" s="1731"/>
      <c r="G24" s="1734"/>
      <c r="H24" s="1731"/>
      <c r="I24" s="1734"/>
      <c r="J24" s="1731"/>
      <c r="K24" s="1984"/>
      <c r="L24" s="3001"/>
      <c r="M24" s="2997"/>
      <c r="N24" s="2997"/>
      <c r="O24" s="3045"/>
      <c r="P24" s="3855"/>
      <c r="Q24" s="1615"/>
      <c r="R24" s="1725"/>
      <c r="S24" s="1726"/>
      <c r="T24" s="1725"/>
      <c r="U24" s="1726"/>
      <c r="V24" s="1725"/>
      <c r="W24" s="1726"/>
      <c r="X24" s="1665"/>
      <c r="Y24" s="3855"/>
      <c r="Z24" s="1727"/>
      <c r="AA24" s="1728"/>
      <c r="AB24" s="1728"/>
      <c r="AC24" s="1728"/>
    </row>
    <row r="25" spans="1:29" ht="114">
      <c r="A25" s="1667"/>
      <c r="B25" s="1981" t="s">
        <v>2447</v>
      </c>
      <c r="C25" s="1977" t="str">
        <f>估价对象房地状况!C20</f>
        <v>区域自然环境：知春公园、双榆树公园；人文环境；首体足球场、大运村网球场；
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70"/>
      <c r="L25" s="3001"/>
      <c r="M25" s="2997"/>
      <c r="N25" s="2997"/>
      <c r="O25" s="3045"/>
      <c r="P25" s="3855"/>
      <c r="Q25" s="1615" t="str">
        <f t="shared" si="8"/>
        <v>自然及人文环境状况</v>
      </c>
      <c r="R25" s="1725" t="s">
        <v>25</v>
      </c>
      <c r="S25" s="1726">
        <f>F25</f>
        <v>100</v>
      </c>
      <c r="T25" s="1725" t="s">
        <v>25</v>
      </c>
      <c r="U25" s="1726">
        <f>H25</f>
        <v>100</v>
      </c>
      <c r="V25" s="1725" t="s">
        <v>25</v>
      </c>
      <c r="W25" s="1726">
        <f>J25</f>
        <v>100</v>
      </c>
      <c r="X25" s="1665"/>
      <c r="Y25" s="3855"/>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1"/>
      <c r="M26" s="2997"/>
      <c r="N26" s="2997"/>
      <c r="O26" s="3045"/>
      <c r="P26" s="3855"/>
      <c r="Q26" s="1615"/>
      <c r="R26" s="1725"/>
      <c r="S26" s="1726"/>
      <c r="T26" s="1725"/>
      <c r="U26" s="1726"/>
      <c r="V26" s="1725"/>
      <c r="W26" s="1726"/>
      <c r="X26" s="1665"/>
      <c r="Y26" s="3855"/>
      <c r="Z26" s="1727"/>
      <c r="AA26" s="1728">
        <v>1</v>
      </c>
      <c r="AB26" s="1728">
        <v>1</v>
      </c>
      <c r="AC26" s="1728">
        <v>1</v>
      </c>
    </row>
    <row r="27" spans="1:29" ht="313.5">
      <c r="A27" s="1667"/>
      <c r="B27" s="1981" t="s">
        <v>2355</v>
      </c>
      <c r="C27" s="1980"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1"/>
      <c r="M27" s="2997"/>
      <c r="N27" s="2997"/>
      <c r="O27" s="3045"/>
      <c r="P27" s="3855"/>
      <c r="Q27" s="1634" t="str">
        <f t="shared" ref="Q27" si="9">B27</f>
        <v>公共配套设施</v>
      </c>
      <c r="R27" s="1680" t="s">
        <v>25</v>
      </c>
      <c r="S27" s="1681">
        <f>F27</f>
        <v>100</v>
      </c>
      <c r="T27" s="1680" t="s">
        <v>25</v>
      </c>
      <c r="U27" s="1681">
        <f>H27</f>
        <v>100</v>
      </c>
      <c r="V27" s="1680" t="s">
        <v>25</v>
      </c>
      <c r="W27" s="1681">
        <f>J27</f>
        <v>100</v>
      </c>
      <c r="X27" s="1665"/>
      <c r="Y27" s="3855"/>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1"/>
      <c r="M28" s="2997"/>
      <c r="N28" s="2997"/>
      <c r="O28" s="3045"/>
      <c r="P28" s="3855"/>
      <c r="Q28" s="1615"/>
      <c r="R28" s="1725"/>
      <c r="S28" s="1726"/>
      <c r="T28" s="1725"/>
      <c r="U28" s="1726"/>
      <c r="V28" s="1725"/>
      <c r="W28" s="1726"/>
      <c r="X28" s="1665"/>
      <c r="Y28" s="3855"/>
      <c r="Z28" s="1693"/>
      <c r="AA28" s="1728">
        <v>1</v>
      </c>
      <c r="AB28" s="1728">
        <v>1</v>
      </c>
      <c r="AC28" s="1728">
        <v>1</v>
      </c>
    </row>
    <row r="29" spans="1:29" s="1684" customFormat="1" ht="42.75">
      <c r="A29" s="1987"/>
      <c r="B29" s="1981" t="s">
        <v>2356</v>
      </c>
      <c r="C29" s="1988" t="str">
        <f>估价对象房地状况!C22</f>
        <v>估价对象所在区域基础设施水平-七通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6"/>
      <c r="M29" s="2969"/>
      <c r="N29" s="2969"/>
      <c r="O29" s="3043"/>
      <c r="P29" s="3855"/>
      <c r="Q29" s="1634" t="str">
        <f t="shared" si="8"/>
        <v>基础设施水平</v>
      </c>
      <c r="R29" s="1680" t="s">
        <v>25</v>
      </c>
      <c r="S29" s="1681">
        <f>F29</f>
        <v>100</v>
      </c>
      <c r="T29" s="1680" t="s">
        <v>25</v>
      </c>
      <c r="U29" s="1681">
        <f>H29</f>
        <v>100</v>
      </c>
      <c r="V29" s="1680" t="s">
        <v>25</v>
      </c>
      <c r="W29" s="1681">
        <f>J29</f>
        <v>100</v>
      </c>
      <c r="X29" s="1682"/>
      <c r="Y29" s="3855"/>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6"/>
      <c r="M30" s="2969"/>
      <c r="N30" s="2969"/>
      <c r="O30" s="3043"/>
      <c r="P30" s="3855"/>
      <c r="Q30" s="1634"/>
      <c r="R30" s="1680"/>
      <c r="S30" s="1681"/>
      <c r="T30" s="1680"/>
      <c r="U30" s="1681"/>
      <c r="V30" s="1680"/>
      <c r="W30" s="1681"/>
      <c r="X30" s="1682"/>
      <c r="Y30" s="3855"/>
      <c r="Z30" s="1693"/>
      <c r="AA30" s="1728">
        <v>1</v>
      </c>
      <c r="AB30" s="1728">
        <v>1</v>
      </c>
      <c r="AC30" s="1728">
        <v>1</v>
      </c>
    </row>
    <row r="31" spans="1:29" ht="15">
      <c r="A31" s="1667"/>
      <c r="B31" s="1978" t="s">
        <v>2357</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1"/>
      <c r="M31" s="2997"/>
      <c r="N31" s="2997"/>
      <c r="O31" s="3045"/>
      <c r="P31" s="3855"/>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855"/>
      <c r="Z31" s="1727" t="str">
        <f t="shared" ref="Z31:Z45" si="13">Q31</f>
        <v>临街状况</v>
      </c>
      <c r="AA31" s="1728">
        <f t="shared" si="3"/>
        <v>1</v>
      </c>
      <c r="AB31" s="1728">
        <f t="shared" si="4"/>
        <v>1</v>
      </c>
      <c r="AC31" s="1728">
        <f t="shared" si="5"/>
        <v>1</v>
      </c>
    </row>
    <row r="32" spans="1:29" ht="27">
      <c r="A32" s="1667"/>
      <c r="B32" s="1981" t="s">
        <v>2387</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1"/>
      <c r="M32" s="2997"/>
      <c r="N32" s="2997"/>
      <c r="O32" s="3045"/>
      <c r="P32" s="3855"/>
      <c r="Q32" s="1615" t="str">
        <f t="shared" si="8"/>
        <v>毗邻道路的类型与等级</v>
      </c>
      <c r="R32" s="1725" t="s">
        <v>25</v>
      </c>
      <c r="S32" s="1726">
        <f t="shared" si="10"/>
        <v>100</v>
      </c>
      <c r="T32" s="1725" t="s">
        <v>25</v>
      </c>
      <c r="U32" s="1726">
        <f t="shared" si="11"/>
        <v>100</v>
      </c>
      <c r="V32" s="1725" t="s">
        <v>25</v>
      </c>
      <c r="W32" s="1726">
        <f t="shared" si="12"/>
        <v>100</v>
      </c>
      <c r="X32" s="1665"/>
      <c r="Y32" s="3855"/>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1"/>
      <c r="M33" s="2997"/>
      <c r="N33" s="2997"/>
      <c r="O33" s="3045"/>
      <c r="P33" s="3855"/>
      <c r="Q33" s="1615"/>
      <c r="R33" s="1725"/>
      <c r="S33" s="1726"/>
      <c r="T33" s="1725"/>
      <c r="U33" s="1726"/>
      <c r="V33" s="1725"/>
      <c r="W33" s="1726"/>
      <c r="X33" s="1665"/>
      <c r="Y33" s="3855"/>
      <c r="Z33" s="1727"/>
      <c r="AA33" s="1728">
        <v>1</v>
      </c>
      <c r="AB33" s="1728">
        <v>1</v>
      </c>
      <c r="AC33" s="1728">
        <v>1</v>
      </c>
    </row>
    <row r="34" spans="1:29" ht="15">
      <c r="A34" s="1667"/>
      <c r="B34" s="1990" t="s">
        <v>2448</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1"/>
      <c r="M34" s="2997"/>
      <c r="N34" s="2997"/>
      <c r="O34" s="3045"/>
      <c r="P34" s="3855"/>
      <c r="Q34" s="1615" t="str">
        <f t="shared" si="8"/>
        <v>土地级别</v>
      </c>
      <c r="R34" s="1725" t="s">
        <v>25</v>
      </c>
      <c r="S34" s="1726">
        <f t="shared" si="10"/>
        <v>100</v>
      </c>
      <c r="T34" s="1725" t="s">
        <v>25</v>
      </c>
      <c r="U34" s="1726">
        <f t="shared" si="11"/>
        <v>100</v>
      </c>
      <c r="V34" s="1725" t="s">
        <v>25</v>
      </c>
      <c r="W34" s="1726">
        <f t="shared" si="12"/>
        <v>100</v>
      </c>
      <c r="X34" s="1665"/>
      <c r="Y34" s="3855"/>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1"/>
      <c r="M35" s="2997"/>
      <c r="N35" s="2997"/>
      <c r="O35" s="3045"/>
      <c r="P35" s="3855"/>
      <c r="Q35" s="1615">
        <f t="shared" si="8"/>
        <v>111</v>
      </c>
      <c r="R35" s="1725" t="s">
        <v>25</v>
      </c>
      <c r="S35" s="1726">
        <f t="shared" si="10"/>
        <v>100</v>
      </c>
      <c r="T35" s="1725" t="s">
        <v>25</v>
      </c>
      <c r="U35" s="1726">
        <f t="shared" si="11"/>
        <v>100</v>
      </c>
      <c r="V35" s="1725" t="s">
        <v>25</v>
      </c>
      <c r="W35" s="1726">
        <f t="shared" si="12"/>
        <v>100</v>
      </c>
      <c r="X35" s="1665"/>
      <c r="Y35" s="3855"/>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1"/>
      <c r="M36" s="2997"/>
      <c r="N36" s="2997"/>
      <c r="O36" s="3045"/>
      <c r="P36" s="3842" t="s">
        <v>2275</v>
      </c>
      <c r="Q36" s="1615">
        <f t="shared" si="8"/>
        <v>111</v>
      </c>
      <c r="R36" s="1725" t="s">
        <v>25</v>
      </c>
      <c r="S36" s="1726">
        <f t="shared" si="10"/>
        <v>100</v>
      </c>
      <c r="T36" s="1725" t="s">
        <v>25</v>
      </c>
      <c r="U36" s="1726">
        <f t="shared" si="11"/>
        <v>100</v>
      </c>
      <c r="V36" s="1725" t="s">
        <v>25</v>
      </c>
      <c r="W36" s="1726">
        <f t="shared" si="12"/>
        <v>100</v>
      </c>
      <c r="X36" s="1665"/>
      <c r="Y36" s="3843" t="s">
        <v>2275</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0"/>
      <c r="M37" s="2059"/>
      <c r="N37" s="2059"/>
      <c r="O37" s="3046"/>
      <c r="P37" s="3843"/>
      <c r="Q37" s="1615">
        <f t="shared" si="8"/>
        <v>111</v>
      </c>
      <c r="R37" s="1767" t="s">
        <v>25</v>
      </c>
      <c r="S37" s="1768">
        <f t="shared" si="10"/>
        <v>100</v>
      </c>
      <c r="T37" s="1767" t="s">
        <v>25</v>
      </c>
      <c r="U37" s="1768">
        <f t="shared" si="11"/>
        <v>100</v>
      </c>
      <c r="V37" s="1767" t="s">
        <v>25</v>
      </c>
      <c r="W37" s="1768">
        <f t="shared" si="12"/>
        <v>100</v>
      </c>
      <c r="X37" s="1769"/>
      <c r="Y37" s="3843"/>
      <c r="Z37" s="1770">
        <f t="shared" si="13"/>
        <v>111</v>
      </c>
      <c r="AA37" s="1728">
        <f t="shared" si="3"/>
        <v>1</v>
      </c>
      <c r="AB37" s="1728">
        <f t="shared" si="4"/>
        <v>1</v>
      </c>
      <c r="AC37" s="1728">
        <f t="shared" si="5"/>
        <v>1</v>
      </c>
    </row>
    <row r="38" spans="1:29" ht="15">
      <c r="A38" s="1662" t="s">
        <v>2273</v>
      </c>
      <c r="B38" s="1743" t="s">
        <v>2449</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1"/>
      <c r="M38" s="2997"/>
      <c r="N38" s="2997"/>
      <c r="O38" s="3045"/>
      <c r="P38" s="3843"/>
      <c r="Q38" s="1615" t="str">
        <f>B38</f>
        <v>宗地面积</v>
      </c>
      <c r="R38" s="1725" t="s">
        <v>25</v>
      </c>
      <c r="S38" s="1726" t="e">
        <f t="shared" si="10"/>
        <v>#N/A</v>
      </c>
      <c r="T38" s="1725" t="s">
        <v>25</v>
      </c>
      <c r="U38" s="1726" t="e">
        <f t="shared" si="11"/>
        <v>#N/A</v>
      </c>
      <c r="V38" s="1725" t="s">
        <v>25</v>
      </c>
      <c r="W38" s="1726" t="e">
        <f t="shared" si="12"/>
        <v>#N/A</v>
      </c>
      <c r="X38" s="1665"/>
      <c r="Y38" s="3843"/>
      <c r="Z38" s="1727" t="str">
        <f t="shared" si="13"/>
        <v>宗地面积</v>
      </c>
      <c r="AA38" s="1728" t="e">
        <f t="shared" si="3"/>
        <v>#N/A</v>
      </c>
      <c r="AB38" s="1728" t="e">
        <f t="shared" si="4"/>
        <v>#N/A</v>
      </c>
      <c r="AC38" s="1728" t="e">
        <f t="shared" si="5"/>
        <v>#N/A</v>
      </c>
    </row>
    <row r="39" spans="1:29" ht="15">
      <c r="A39" s="1772"/>
      <c r="B39" s="1695" t="s">
        <v>2450</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1"/>
      <c r="M39" s="2997"/>
      <c r="N39" s="2997"/>
      <c r="O39" s="3045"/>
      <c r="P39" s="3843"/>
      <c r="Q39" s="1615" t="str">
        <f t="shared" ref="Q39:Q45" si="14">B39</f>
        <v>宗地形状</v>
      </c>
      <c r="R39" s="1725" t="s">
        <v>25</v>
      </c>
      <c r="S39" s="1726">
        <f t="shared" si="10"/>
        <v>100</v>
      </c>
      <c r="T39" s="1725" t="s">
        <v>25</v>
      </c>
      <c r="U39" s="1726">
        <f t="shared" si="11"/>
        <v>100</v>
      </c>
      <c r="V39" s="1725" t="s">
        <v>25</v>
      </c>
      <c r="W39" s="1726">
        <f t="shared" si="12"/>
        <v>100</v>
      </c>
      <c r="X39" s="1665"/>
      <c r="Y39" s="3843"/>
      <c r="Z39" s="1727" t="str">
        <f t="shared" si="13"/>
        <v>宗地形状</v>
      </c>
      <c r="AA39" s="1728">
        <f t="shared" si="3"/>
        <v>1</v>
      </c>
      <c r="AB39" s="1728">
        <f t="shared" si="4"/>
        <v>1</v>
      </c>
      <c r="AC39" s="1728">
        <f t="shared" si="5"/>
        <v>1</v>
      </c>
    </row>
    <row r="40" spans="1:29" ht="15">
      <c r="A40" s="1772"/>
      <c r="B40" s="1695" t="s">
        <v>2451</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1"/>
      <c r="M40" s="2997"/>
      <c r="N40" s="2997"/>
      <c r="O40" s="3045"/>
      <c r="P40" s="3843"/>
      <c r="Q40" s="1615" t="str">
        <f t="shared" si="14"/>
        <v>临街宽度及深度</v>
      </c>
      <c r="R40" s="1725" t="s">
        <v>25</v>
      </c>
      <c r="S40" s="1726">
        <f t="shared" si="10"/>
        <v>100</v>
      </c>
      <c r="T40" s="1725" t="s">
        <v>25</v>
      </c>
      <c r="U40" s="1726">
        <f t="shared" si="11"/>
        <v>100</v>
      </c>
      <c r="V40" s="1725" t="s">
        <v>25</v>
      </c>
      <c r="W40" s="1726">
        <f t="shared" si="12"/>
        <v>100</v>
      </c>
      <c r="X40" s="1665"/>
      <c r="Y40" s="3843"/>
      <c r="Z40" s="1727" t="str">
        <f t="shared" si="13"/>
        <v>临街宽度及深度</v>
      </c>
      <c r="AA40" s="1728">
        <f t="shared" si="3"/>
        <v>1</v>
      </c>
      <c r="AB40" s="1728">
        <f t="shared" si="4"/>
        <v>1</v>
      </c>
      <c r="AC40" s="1728">
        <f t="shared" si="5"/>
        <v>1</v>
      </c>
    </row>
    <row r="41" spans="1:29" s="1684" customFormat="1" ht="15">
      <c r="A41" s="1775"/>
      <c r="B41" s="1695" t="s">
        <v>2452</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6"/>
      <c r="M41" s="2969"/>
      <c r="N41" s="2969"/>
      <c r="O41" s="3043"/>
      <c r="P41" s="3843"/>
      <c r="Q41" s="1615" t="str">
        <f t="shared" si="14"/>
        <v>宗地开发程度</v>
      </c>
      <c r="R41" s="1680" t="s">
        <v>25</v>
      </c>
      <c r="S41" s="1681">
        <f t="shared" si="10"/>
        <v>100</v>
      </c>
      <c r="T41" s="1680" t="s">
        <v>25</v>
      </c>
      <c r="U41" s="1681">
        <f t="shared" si="11"/>
        <v>100</v>
      </c>
      <c r="V41" s="1680" t="s">
        <v>25</v>
      </c>
      <c r="W41" s="1681">
        <f t="shared" si="12"/>
        <v>100</v>
      </c>
      <c r="X41" s="1682"/>
      <c r="Y41" s="3843"/>
      <c r="Z41" s="1693" t="str">
        <f t="shared" si="13"/>
        <v>宗地开发程度</v>
      </c>
      <c r="AA41" s="1683">
        <f t="shared" si="3"/>
        <v>1</v>
      </c>
      <c r="AB41" s="1683">
        <f t="shared" si="4"/>
        <v>1</v>
      </c>
      <c r="AC41" s="1683">
        <f t="shared" si="5"/>
        <v>1</v>
      </c>
    </row>
    <row r="42" spans="1:29" ht="15">
      <c r="A42" s="1772"/>
      <c r="B42" s="1695" t="s">
        <v>2453</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1"/>
      <c r="M42" s="2997"/>
      <c r="N42" s="2997"/>
      <c r="O42" s="3045"/>
      <c r="P42" s="3843" t="s">
        <v>2275</v>
      </c>
      <c r="Q42" s="1615" t="str">
        <f t="shared" si="14"/>
        <v>工程地质条件</v>
      </c>
      <c r="R42" s="1725" t="s">
        <v>25</v>
      </c>
      <c r="S42" s="1726">
        <f t="shared" si="10"/>
        <v>100</v>
      </c>
      <c r="T42" s="1725" t="s">
        <v>25</v>
      </c>
      <c r="U42" s="1726">
        <f t="shared" si="11"/>
        <v>100</v>
      </c>
      <c r="V42" s="1725" t="s">
        <v>25</v>
      </c>
      <c r="W42" s="1726">
        <f t="shared" si="12"/>
        <v>100</v>
      </c>
      <c r="X42" s="1665"/>
      <c r="Y42" s="3843" t="s">
        <v>2275</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1"/>
      <c r="M43" s="2997"/>
      <c r="N43" s="2997"/>
      <c r="O43" s="3045"/>
      <c r="P43" s="3843"/>
      <c r="Q43" s="1615">
        <f t="shared" si="14"/>
        <v>111</v>
      </c>
      <c r="R43" s="1725" t="s">
        <v>25</v>
      </c>
      <c r="S43" s="1726">
        <f t="shared" si="10"/>
        <v>100</v>
      </c>
      <c r="T43" s="1725" t="s">
        <v>25</v>
      </c>
      <c r="U43" s="1726">
        <f t="shared" si="11"/>
        <v>100</v>
      </c>
      <c r="V43" s="1725" t="s">
        <v>25</v>
      </c>
      <c r="W43" s="1726">
        <f t="shared" si="12"/>
        <v>100</v>
      </c>
      <c r="X43" s="1665"/>
      <c r="Y43" s="3843"/>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1"/>
      <c r="M44" s="2997"/>
      <c r="N44" s="2997"/>
      <c r="O44" s="3045"/>
      <c r="P44" s="3843"/>
      <c r="Q44" s="1615">
        <f t="shared" si="14"/>
        <v>111</v>
      </c>
      <c r="R44" s="1725" t="s">
        <v>25</v>
      </c>
      <c r="S44" s="1726">
        <f t="shared" si="10"/>
        <v>100</v>
      </c>
      <c r="T44" s="1725" t="s">
        <v>25</v>
      </c>
      <c r="U44" s="1726">
        <f t="shared" si="11"/>
        <v>100</v>
      </c>
      <c r="V44" s="1725" t="s">
        <v>25</v>
      </c>
      <c r="W44" s="1726">
        <f t="shared" si="12"/>
        <v>100</v>
      </c>
      <c r="X44" s="1665"/>
      <c r="Y44" s="3843"/>
      <c r="Z44" s="1727">
        <f t="shared" si="13"/>
        <v>111</v>
      </c>
      <c r="AA44" s="1728">
        <f t="shared" si="3"/>
        <v>1</v>
      </c>
      <c r="AB44" s="1728">
        <f t="shared" si="4"/>
        <v>1</v>
      </c>
      <c r="AC44" s="1728">
        <f t="shared" si="5"/>
        <v>1</v>
      </c>
    </row>
    <row r="45" spans="1:29" s="1771" customFormat="1" ht="15.75" thickBot="1">
      <c r="A45" s="1764"/>
      <c r="B45" s="2003">
        <v>111</v>
      </c>
      <c r="C45" s="2004"/>
      <c r="D45" s="3144">
        <v>100</v>
      </c>
      <c r="E45" s="1971"/>
      <c r="F45" s="1715">
        <f>SUMIF(131:131,E45,132:132)-SUMIF(131:131,C45,132:132)+100</f>
        <v>100</v>
      </c>
      <c r="G45" s="1971"/>
      <c r="H45" s="1715">
        <f>SUMIF(131:131,G45,132:132)-SUMIF(131:131,C45,132:132)+100</f>
        <v>100</v>
      </c>
      <c r="I45" s="1971"/>
      <c r="J45" s="1715">
        <f>SUMIF(131:131,I45,132:132)-SUMIF(131:131,C45,132:132)+100</f>
        <v>100</v>
      </c>
      <c r="K45" s="2005"/>
      <c r="L45" s="3000"/>
      <c r="M45" s="2059"/>
      <c r="N45" s="2059"/>
      <c r="O45" s="3046"/>
      <c r="P45" s="3843"/>
      <c r="Q45" s="1615">
        <f t="shared" si="14"/>
        <v>111</v>
      </c>
      <c r="R45" s="1767" t="s">
        <v>25</v>
      </c>
      <c r="S45" s="1768">
        <f t="shared" si="10"/>
        <v>100</v>
      </c>
      <c r="T45" s="1767" t="s">
        <v>25</v>
      </c>
      <c r="U45" s="1768">
        <f t="shared" si="11"/>
        <v>100</v>
      </c>
      <c r="V45" s="1767" t="s">
        <v>25</v>
      </c>
      <c r="W45" s="1768">
        <f t="shared" si="12"/>
        <v>100</v>
      </c>
      <c r="X45" s="1769"/>
      <c r="Y45" s="3843"/>
      <c r="Z45" s="1770">
        <f t="shared" si="13"/>
        <v>111</v>
      </c>
      <c r="AA45" s="1728">
        <f t="shared" si="3"/>
        <v>1</v>
      </c>
      <c r="AB45" s="1728">
        <f t="shared" si="4"/>
        <v>1</v>
      </c>
      <c r="AC45" s="1728">
        <f t="shared" si="5"/>
        <v>1</v>
      </c>
    </row>
    <row r="46" spans="1:29" ht="15">
      <c r="A46" s="1781" t="s">
        <v>2417</v>
      </c>
      <c r="B46" s="2006" t="s">
        <v>2454</v>
      </c>
      <c r="C46" s="2007" t="s">
        <v>1</v>
      </c>
      <c r="D46" s="2008"/>
      <c r="E46" s="2009"/>
      <c r="F46" s="2010"/>
      <c r="G46" s="2011"/>
      <c r="H46" s="2012"/>
      <c r="I46" s="2009"/>
      <c r="J46" s="2012"/>
      <c r="K46" s="2013"/>
      <c r="L46" s="3002"/>
      <c r="N46" s="2997"/>
      <c r="P46" s="3837" t="str">
        <f>A46</f>
        <v>成交单价</v>
      </c>
      <c r="Q46" s="3837"/>
      <c r="R46" s="3870">
        <f>E46</f>
        <v>0</v>
      </c>
      <c r="S46" s="3870"/>
      <c r="T46" s="3870">
        <f>G46</f>
        <v>0</v>
      </c>
      <c r="U46" s="3870"/>
      <c r="V46" s="3870">
        <f>I46</f>
        <v>0</v>
      </c>
      <c r="W46" s="3870"/>
      <c r="X46" s="1791"/>
      <c r="Y46" s="1792"/>
      <c r="Z46" s="1791"/>
      <c r="AA46" s="1791"/>
      <c r="AB46" s="1791"/>
      <c r="AC46" s="1791"/>
    </row>
    <row r="47" spans="1:29" ht="15.75" thickBot="1">
      <c r="A47" s="1793" t="s">
        <v>2370</v>
      </c>
      <c r="B47" s="2014"/>
      <c r="C47" s="2015" t="e">
        <f>R48</f>
        <v>#DIV/0!</v>
      </c>
      <c r="D47" s="1796" t="s">
        <v>2741</v>
      </c>
      <c r="E47" s="2015" t="e">
        <f>R47</f>
        <v>#DIV/0!</v>
      </c>
      <c r="F47" s="1798"/>
      <c r="G47" s="2016" t="e">
        <f>T47</f>
        <v>#DIV/0!</v>
      </c>
      <c r="H47" s="1798"/>
      <c r="I47" s="2015" t="e">
        <f>V47</f>
        <v>#DIV/0!</v>
      </c>
      <c r="J47" s="1798"/>
      <c r="K47" s="2510">
        <f>F47+H47+J47</f>
        <v>0</v>
      </c>
      <c r="L47" s="3002"/>
      <c r="P47" s="3837" t="str">
        <f>A47</f>
        <v>比较价值（元/平方米）</v>
      </c>
      <c r="Q47" s="3837"/>
      <c r="R47" s="4140" t="e">
        <f>ROUND(PRODUCT(R46,AA7:AA45),0)</f>
        <v>#DIV/0!</v>
      </c>
      <c r="S47" s="4140"/>
      <c r="T47" s="4140" t="e">
        <f>ROUND(PRODUCT(T46,AB7:AB45),0)</f>
        <v>#DIV/0!</v>
      </c>
      <c r="U47" s="4140"/>
      <c r="V47" s="4140" t="e">
        <f>ROUND(PRODUCT(V46,AC7:AC45),0)</f>
        <v>#DIV/0!</v>
      </c>
      <c r="W47" s="4140"/>
      <c r="X47" s="1791"/>
      <c r="Y47" s="1791"/>
      <c r="Z47" s="1791"/>
      <c r="AA47" s="1791"/>
      <c r="AB47" s="1791"/>
      <c r="AC47" s="1791"/>
    </row>
    <row r="48" spans="1:29" ht="15.75" thickBot="1">
      <c r="A48" s="1799" t="s">
        <v>2393</v>
      </c>
      <c r="B48" s="1800"/>
      <c r="C48" s="2017" t="e">
        <f>R48</f>
        <v>#DIV/0!</v>
      </c>
      <c r="D48" s="2017"/>
      <c r="E48" s="2017"/>
      <c r="F48" s="2017"/>
      <c r="G48" s="2017"/>
      <c r="H48" s="2017"/>
      <c r="I48" s="2017"/>
      <c r="J48" s="2017"/>
      <c r="K48" s="2018"/>
      <c r="L48" s="3002"/>
      <c r="P48" s="3839" t="str">
        <f>A48</f>
        <v>估价对象XX用房的比较价值（楼面单价，元/平方米）</v>
      </c>
      <c r="Q48" s="3840"/>
      <c r="R48" s="4141" t="e">
        <f>ROUND(IF(D47="简单平均",AVERAGE(R47:W47),R47*F47+T47*H47+V47*J47),0)</f>
        <v>#DIV/0!</v>
      </c>
      <c r="S48" s="4141"/>
      <c r="T48" s="4141"/>
      <c r="U48" s="4141"/>
      <c r="V48" s="4141"/>
      <c r="W48" s="4141"/>
      <c r="X48" s="1791"/>
      <c r="Y48" s="1791"/>
      <c r="Z48" s="1791"/>
      <c r="AA48" s="1791"/>
      <c r="AB48" s="1791"/>
      <c r="AC48" s="1791"/>
    </row>
    <row r="49" spans="1:14">
      <c r="G49" s="3006"/>
    </row>
    <row r="51" spans="1:14" ht="13.5" customHeight="1">
      <c r="C51" s="383" t="s">
        <v>2372</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2373</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2374</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9"/>
      <c r="L53" s="3003"/>
    </row>
    <row r="54" spans="1:14" s="1813" customFormat="1" ht="15" thickBot="1">
      <c r="B54" s="3007"/>
      <c r="C54" s="3008"/>
      <c r="K54" s="3009"/>
      <c r="L54" s="3003"/>
    </row>
    <row r="55" spans="1:14" ht="27">
      <c r="A55" s="564" t="s">
        <v>2455</v>
      </c>
      <c r="B55" s="2019" t="s">
        <v>2456</v>
      </c>
      <c r="C55" s="2020" t="s">
        <v>2457</v>
      </c>
      <c r="D55" s="2021" t="s">
        <v>2458</v>
      </c>
      <c r="E55" s="2022" t="s">
        <v>2459</v>
      </c>
      <c r="F55" s="2023" t="s">
        <v>2460</v>
      </c>
      <c r="G55" s="1918" t="s">
        <v>2461</v>
      </c>
      <c r="H55" s="1918" t="str">
        <f>项目基本情况!G8</f>
        <v>XX</v>
      </c>
      <c r="I55" s="1593" t="s">
        <v>2462</v>
      </c>
      <c r="J55" s="2024"/>
      <c r="K55" s="1805"/>
    </row>
    <row r="56" spans="1:14" s="2031" customFormat="1">
      <c r="A56" s="2025" t="s">
        <v>2463</v>
      </c>
      <c r="B56" s="2026" t="e">
        <f>C48</f>
        <v>#DIV/0!</v>
      </c>
      <c r="C56" s="280">
        <v>1</v>
      </c>
      <c r="D56" s="2027">
        <v>1</v>
      </c>
      <c r="E56" s="2028">
        <v>120</v>
      </c>
      <c r="F56" s="2029" t="e">
        <f t="shared" ref="F56:F65" si="15">ROUND(B56*E56,0)</f>
        <v>#DIV/0!</v>
      </c>
      <c r="G56" s="2030">
        <v>1</v>
      </c>
      <c r="H56" s="2030">
        <v>1</v>
      </c>
      <c r="I56" s="1813"/>
      <c r="J56" s="1813"/>
      <c r="K56" s="3009"/>
      <c r="L56" s="3003"/>
      <c r="M56" s="1813"/>
      <c r="N56" s="1813"/>
    </row>
    <row r="57" spans="1:14" s="2031" customFormat="1">
      <c r="A57" s="2032" t="s">
        <v>2464</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2465</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9"/>
      <c r="L58" s="3003"/>
      <c r="M58" s="1813"/>
      <c r="N58" s="1813"/>
    </row>
    <row r="59" spans="1:14" s="2031" customFormat="1">
      <c r="A59" s="2032" t="s">
        <v>2466</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2467</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9"/>
      <c r="L60" s="3003"/>
      <c r="M60" s="1813"/>
      <c r="N60" s="1813"/>
    </row>
    <row r="61" spans="1:14" s="2031" customFormat="1">
      <c r="A61" s="2032" t="s">
        <v>2468</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2469</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9"/>
      <c r="L62" s="3003"/>
      <c r="M62" s="1813"/>
      <c r="N62" s="1813"/>
    </row>
    <row r="63" spans="1:14" s="2031" customFormat="1">
      <c r="A63" s="2032" t="s">
        <v>2470</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2471</v>
      </c>
      <c r="B64" s="2033" t="e">
        <f t="shared" si="16"/>
        <v>#DIV/0!</v>
      </c>
      <c r="C64" s="50">
        <f t="shared" si="17"/>
        <v>0.2</v>
      </c>
      <c r="D64" s="2034">
        <v>0.25</v>
      </c>
      <c r="E64" s="2028">
        <v>0</v>
      </c>
      <c r="F64" s="2029" t="e">
        <f t="shared" si="15"/>
        <v>#DIV/0!</v>
      </c>
      <c r="G64" s="2030">
        <f>G63</f>
        <v>0.2</v>
      </c>
      <c r="H64" s="2035"/>
      <c r="I64" s="1813"/>
      <c r="J64" s="1813"/>
      <c r="K64" s="3009"/>
      <c r="L64" s="3003"/>
      <c r="M64" s="1813"/>
      <c r="N64" s="1813"/>
    </row>
    <row r="65" spans="1:17" s="2031" customFormat="1">
      <c r="A65" s="2032" t="s">
        <v>2472</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ht="13.5" thickBot="1">
      <c r="A66" s="2036" t="s">
        <v>2473</v>
      </c>
      <c r="B66" s="2037" t="s">
        <v>39</v>
      </c>
      <c r="C66" s="2037" t="s">
        <v>40</v>
      </c>
      <c r="D66" s="2037" t="s">
        <v>36</v>
      </c>
      <c r="E66" s="2037">
        <f>SUM(E56:E65)</f>
        <v>120</v>
      </c>
      <c r="F66" s="2038" t="e">
        <f>SUM(F56:F65)</f>
        <v>#DIV/0!</v>
      </c>
      <c r="G66" s="2039"/>
      <c r="H66" s="2039"/>
      <c r="I66" s="3047"/>
      <c r="J66" s="3047"/>
      <c r="K66" s="304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2016-7-1</v>
      </c>
      <c r="D68" s="2040">
        <f>EDATE(C68,-3)</f>
        <v>42461</v>
      </c>
      <c r="E68" s="2040">
        <f t="shared" ref="E68:O68" si="18">EDATE(D68,-3)</f>
        <v>42370</v>
      </c>
      <c r="F68" s="2040">
        <f t="shared" si="18"/>
        <v>42278</v>
      </c>
      <c r="G68" s="2040">
        <f t="shared" si="18"/>
        <v>42186</v>
      </c>
      <c r="H68" s="2040">
        <f t="shared" si="18"/>
        <v>42095</v>
      </c>
      <c r="I68" s="2040">
        <f t="shared" si="18"/>
        <v>42005</v>
      </c>
      <c r="J68" s="2040">
        <f t="shared" si="18"/>
        <v>41913</v>
      </c>
      <c r="K68" s="2040">
        <f t="shared" si="18"/>
        <v>41821</v>
      </c>
      <c r="L68" s="2040">
        <f t="shared" si="18"/>
        <v>41730</v>
      </c>
      <c r="M68" s="2040">
        <f t="shared" si="18"/>
        <v>41640</v>
      </c>
      <c r="N68" s="2040">
        <f t="shared" si="18"/>
        <v>41548</v>
      </c>
      <c r="O68" s="2040">
        <f t="shared" si="18"/>
        <v>41456</v>
      </c>
    </row>
    <row r="69" spans="1:17" ht="21.75" thickBot="1">
      <c r="A69" s="1816" t="s">
        <v>2375</v>
      </c>
      <c r="B69" s="1791"/>
      <c r="C69" s="1817"/>
      <c r="D69" s="1817"/>
      <c r="E69" s="1817"/>
      <c r="F69" s="1817"/>
      <c r="G69" s="1817"/>
      <c r="H69" s="1817"/>
      <c r="I69" s="2042"/>
      <c r="J69" s="2042"/>
      <c r="K69" s="2043"/>
      <c r="L69" s="2044"/>
      <c r="M69" s="2042"/>
      <c r="N69" s="2042"/>
      <c r="O69" s="2042"/>
      <c r="P69" s="2045"/>
      <c r="Q69" s="1821"/>
    </row>
    <row r="70" spans="1:17" s="2050" customFormat="1" ht="15">
      <c r="A70" s="2046" t="s">
        <v>2474</v>
      </c>
      <c r="B70" s="2047"/>
      <c r="C70" s="2048" t="str">
        <f>YEAR(C68)&amp;"-"&amp;ROUNDUP(MONTH(C68)/3,0)</f>
        <v>2016-3</v>
      </c>
      <c r="D70" s="2048" t="str">
        <f>YEAR(D68)&amp;"-"&amp;ROUNDUP(MONTH(D68)/3,0)</f>
        <v>2016-2</v>
      </c>
      <c r="E70" s="2048" t="str">
        <f t="shared" ref="E70:O70" si="19">YEAR(E68)&amp;"-"&amp;ROUNDUP(MONTH(E68)/3,0)</f>
        <v>2016-1</v>
      </c>
      <c r="F70" s="2048" t="str">
        <f t="shared" si="19"/>
        <v>2015-4</v>
      </c>
      <c r="G70" s="2048" t="str">
        <f t="shared" si="19"/>
        <v>2015-3</v>
      </c>
      <c r="H70" s="2048" t="str">
        <f t="shared" si="19"/>
        <v>2015-2</v>
      </c>
      <c r="I70" s="2048" t="str">
        <f t="shared" si="19"/>
        <v>2015-1</v>
      </c>
      <c r="J70" s="2048" t="str">
        <f t="shared" si="19"/>
        <v>2014-4</v>
      </c>
      <c r="K70" s="2048" t="str">
        <f t="shared" si="19"/>
        <v>2014-3</v>
      </c>
      <c r="L70" s="2048" t="str">
        <f t="shared" si="19"/>
        <v>2014-2</v>
      </c>
      <c r="M70" s="2048" t="str">
        <f t="shared" si="19"/>
        <v>2014-1</v>
      </c>
      <c r="N70" s="2048" t="str">
        <f t="shared" si="19"/>
        <v>2013-4</v>
      </c>
      <c r="O70" s="2048" t="str">
        <f t="shared" si="19"/>
        <v>2013-3</v>
      </c>
      <c r="P70" s="2049"/>
    </row>
    <row r="71" spans="1:17" s="1684" customFormat="1" ht="29.25" customHeight="1">
      <c r="A71" s="2051" t="s">
        <v>2475</v>
      </c>
      <c r="B71" s="2052" t="str">
        <f>"北京市平均增长率"&amp;TEXT(SUMIF(基准地价修正!N21:N25,A71,基准地价修正!P21:P25),"0.00%")</f>
        <v>北京市平均增长率1.49%</v>
      </c>
      <c r="C71" s="1905">
        <v>100</v>
      </c>
      <c r="D71" s="1901"/>
      <c r="E71" s="1901"/>
      <c r="F71" s="1901"/>
      <c r="G71" s="1901"/>
      <c r="H71" s="1901"/>
      <c r="I71" s="1901"/>
      <c r="J71" s="1901"/>
      <c r="K71" s="1901"/>
      <c r="L71" s="1901"/>
      <c r="M71" s="2053"/>
      <c r="N71" s="1901"/>
      <c r="O71" s="2054"/>
      <c r="P71" s="1821"/>
    </row>
    <row r="72" spans="1:17" s="1684" customFormat="1" ht="15.75" thickBot="1">
      <c r="A72" s="1834" t="s">
        <v>2295</v>
      </c>
      <c r="B72" s="1835"/>
      <c r="C72" s="1836"/>
      <c r="D72" s="1837"/>
      <c r="E72" s="1837"/>
      <c r="F72" s="1837"/>
      <c r="G72" s="1837"/>
      <c r="H72" s="1837"/>
      <c r="I72" s="1837"/>
      <c r="J72" s="1837"/>
      <c r="K72" s="1837"/>
      <c r="L72" s="1837"/>
      <c r="M72" s="1838"/>
      <c r="N72" s="1837"/>
      <c r="O72" s="2055"/>
      <c r="P72" s="1821"/>
      <c r="Q72" s="1821"/>
    </row>
    <row r="73" spans="1:17" s="1684" customFormat="1" ht="15">
      <c r="A73" s="1839" t="s">
        <v>2259</v>
      </c>
      <c r="B73" s="1829"/>
      <c r="C73" s="1840" t="s">
        <v>2260</v>
      </c>
      <c r="D73" s="409"/>
      <c r="E73" s="409"/>
      <c r="F73" s="409"/>
      <c r="G73" s="409"/>
      <c r="H73" s="409"/>
      <c r="I73" s="409"/>
      <c r="J73" s="409"/>
      <c r="K73" s="409"/>
      <c r="L73" s="409"/>
      <c r="M73" s="1841"/>
      <c r="N73" s="3014"/>
      <c r="O73" s="3014"/>
      <c r="P73" s="2056"/>
      <c r="Q73" s="1821"/>
    </row>
    <row r="74" spans="1:17" s="1684" customFormat="1" ht="15.75" thickBot="1">
      <c r="A74" s="1839"/>
      <c r="B74" s="1829"/>
      <c r="C74" s="1830">
        <v>100</v>
      </c>
      <c r="D74" s="1831"/>
      <c r="E74" s="1831"/>
      <c r="F74" s="1831"/>
      <c r="G74" s="1831"/>
      <c r="H74" s="1831"/>
      <c r="I74" s="1831"/>
      <c r="J74" s="1831"/>
      <c r="K74" s="1831"/>
      <c r="L74" s="1831"/>
      <c r="M74" s="1845"/>
      <c r="N74" s="3014"/>
      <c r="O74" s="3014"/>
      <c r="P74" s="1821"/>
      <c r="Q74" s="1821"/>
    </row>
    <row r="75" spans="1:17">
      <c r="A75" s="1846" t="s">
        <v>2298</v>
      </c>
      <c r="B75" s="1847" t="s">
        <v>2263</v>
      </c>
      <c r="C75" s="1849"/>
      <c r="D75" s="1849"/>
      <c r="E75" s="1849"/>
      <c r="F75" s="1849"/>
      <c r="G75" s="1849"/>
      <c r="H75" s="1849"/>
      <c r="I75" s="1849"/>
      <c r="J75" s="1849"/>
      <c r="K75" s="417"/>
      <c r="L75" s="417"/>
      <c r="M75" s="1850"/>
      <c r="N75" s="3015"/>
      <c r="O75" s="3015"/>
      <c r="P75" s="2057"/>
      <c r="Q75" s="1821"/>
    </row>
    <row r="76" spans="1:17" ht="15.75" thickBot="1">
      <c r="A76" s="1853"/>
      <c r="B76" s="1854"/>
      <c r="C76" s="1855"/>
      <c r="D76" s="1855"/>
      <c r="E76" s="1855"/>
      <c r="F76" s="1855"/>
      <c r="G76" s="1855"/>
      <c r="H76" s="1855"/>
      <c r="I76" s="1855"/>
      <c r="J76" s="1855"/>
      <c r="K76" s="1855"/>
      <c r="L76" s="1855"/>
      <c r="M76" s="1856"/>
      <c r="N76" s="3016"/>
      <c r="O76" s="3016"/>
      <c r="P76" s="2057"/>
      <c r="Q76" s="1821"/>
    </row>
    <row r="77" spans="1:17" ht="27.75" thickTop="1">
      <c r="A77" s="1853"/>
      <c r="B77" s="1858" t="s">
        <v>2266</v>
      </c>
      <c r="C77" s="1859"/>
      <c r="D77" s="1859"/>
      <c r="E77" s="1859"/>
      <c r="F77" s="1859"/>
      <c r="G77" s="1859"/>
      <c r="H77" s="1859"/>
      <c r="I77" s="1859"/>
      <c r="J77" s="1859"/>
      <c r="K77" s="428"/>
      <c r="L77" s="428"/>
      <c r="M77" s="1860"/>
      <c r="N77" s="3015"/>
      <c r="O77" s="3015"/>
      <c r="P77" s="2057"/>
      <c r="Q77" s="1821"/>
    </row>
    <row r="78" spans="1:17" ht="15.75" thickBot="1">
      <c r="A78" s="1853"/>
      <c r="B78" s="1861"/>
      <c r="C78" s="1862"/>
      <c r="D78" s="1862"/>
      <c r="E78" s="1862"/>
      <c r="F78" s="1862"/>
      <c r="G78" s="1862"/>
      <c r="H78" s="1862"/>
      <c r="I78" s="1862"/>
      <c r="J78" s="1862"/>
      <c r="K78" s="1862"/>
      <c r="L78" s="1862"/>
      <c r="M78" s="1863"/>
      <c r="N78" s="3016"/>
      <c r="O78" s="3016"/>
      <c r="P78" s="2057"/>
      <c r="Q78" s="1821"/>
    </row>
    <row r="79" spans="1:17" ht="15.75" thickTop="1">
      <c r="A79" s="1853"/>
      <c r="B79" s="1864" t="s">
        <v>2267</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6"/>
      <c r="O79" s="3016"/>
      <c r="P79" s="2057"/>
      <c r="Q79" s="1821"/>
    </row>
    <row r="80" spans="1:17" ht="15">
      <c r="A80" s="1853"/>
      <c r="B80" s="1866"/>
      <c r="C80" s="1867"/>
      <c r="D80" s="1867"/>
      <c r="E80" s="1867"/>
      <c r="F80" s="1867"/>
      <c r="G80" s="1867"/>
      <c r="H80" s="1867"/>
      <c r="I80" s="1867"/>
      <c r="J80" s="1867"/>
      <c r="K80" s="438"/>
      <c r="L80" s="438"/>
      <c r="M80" s="1868"/>
      <c r="N80" s="3015"/>
      <c r="O80" s="301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6"/>
      <c r="O81" s="3016"/>
      <c r="P81" s="2057"/>
      <c r="Q81" s="1821"/>
    </row>
    <row r="82" spans="1:17" s="1771" customFormat="1" ht="15.75" thickTop="1">
      <c r="A82" s="1869"/>
      <c r="B82" s="1858" t="str">
        <f>B12</f>
        <v>配建</v>
      </c>
      <c r="C82" s="468"/>
      <c r="D82" s="468"/>
      <c r="E82" s="468"/>
      <c r="F82" s="468"/>
      <c r="G82" s="468"/>
      <c r="H82" s="443"/>
      <c r="I82" s="443"/>
      <c r="J82" s="443"/>
      <c r="K82" s="443"/>
      <c r="L82" s="443"/>
      <c r="M82" s="1870"/>
      <c r="N82" s="3017"/>
      <c r="O82" s="3017"/>
      <c r="P82" s="2058"/>
      <c r="Q82" s="1873"/>
    </row>
    <row r="83" spans="1:17" s="1771" customFormat="1" ht="15.75" thickBot="1">
      <c r="A83" s="1869"/>
      <c r="B83" s="1861"/>
      <c r="C83" s="1874"/>
      <c r="D83" s="1855"/>
      <c r="E83" s="1855"/>
      <c r="F83" s="1855"/>
      <c r="G83" s="1855"/>
      <c r="H83" s="1855"/>
      <c r="I83" s="1855"/>
      <c r="J83" s="1855"/>
      <c r="K83" s="1855"/>
      <c r="L83" s="1855"/>
      <c r="M83" s="1856"/>
      <c r="N83" s="3016"/>
      <c r="O83" s="3016"/>
      <c r="P83" s="2058"/>
      <c r="Q83" s="1873"/>
    </row>
    <row r="84" spans="1:17" s="1771" customFormat="1" ht="15.75" thickTop="1">
      <c r="A84" s="1869"/>
      <c r="B84" s="1858">
        <f>B13</f>
        <v>111</v>
      </c>
      <c r="C84" s="468"/>
      <c r="D84" s="468"/>
      <c r="E84" s="468"/>
      <c r="F84" s="468"/>
      <c r="G84" s="468"/>
      <c r="H84" s="443"/>
      <c r="I84" s="443"/>
      <c r="J84" s="443"/>
      <c r="K84" s="443"/>
      <c r="L84" s="443"/>
      <c r="M84" s="1870"/>
      <c r="N84" s="3017"/>
      <c r="O84" s="3017"/>
      <c r="P84" s="2059"/>
      <c r="Q84" s="1876"/>
    </row>
    <row r="85" spans="1:17" s="1771" customFormat="1" ht="15.75" thickBot="1">
      <c r="A85" s="1869"/>
      <c r="B85" s="1861"/>
      <c r="C85" s="1874"/>
      <c r="D85" s="1874"/>
      <c r="E85" s="1874"/>
      <c r="F85" s="1874"/>
      <c r="G85" s="1874"/>
      <c r="H85" s="1877"/>
      <c r="I85" s="1877"/>
      <c r="J85" s="1877"/>
      <c r="K85" s="1877"/>
      <c r="L85" s="1877"/>
      <c r="M85" s="1878"/>
      <c r="N85" s="3017"/>
      <c r="O85" s="3017"/>
      <c r="P85" s="2058"/>
      <c r="Q85" s="1873"/>
    </row>
    <row r="86" spans="1:17" s="1771" customFormat="1" ht="15.75" thickTop="1">
      <c r="A86" s="1869"/>
      <c r="B86" s="1864">
        <f>B14</f>
        <v>111</v>
      </c>
      <c r="C86" s="409"/>
      <c r="D86" s="409"/>
      <c r="E86" s="409"/>
      <c r="F86" s="409"/>
      <c r="G86" s="409"/>
      <c r="H86" s="453"/>
      <c r="I86" s="453"/>
      <c r="J86" s="453"/>
      <c r="K86" s="453"/>
      <c r="L86" s="453"/>
      <c r="M86" s="1879"/>
      <c r="N86" s="3017"/>
      <c r="O86" s="3017"/>
      <c r="P86" s="2058"/>
      <c r="Q86" s="1873"/>
    </row>
    <row r="87" spans="1:17" s="1771" customFormat="1" ht="15.75" thickBot="1">
      <c r="A87" s="1880"/>
      <c r="B87" s="1881"/>
      <c r="C87" s="1882"/>
      <c r="D87" s="1882"/>
      <c r="E87" s="1882"/>
      <c r="F87" s="1882"/>
      <c r="G87" s="1882"/>
      <c r="H87" s="1883"/>
      <c r="I87" s="1883"/>
      <c r="J87" s="1883"/>
      <c r="K87" s="1883"/>
      <c r="L87" s="1883"/>
      <c r="M87" s="1884"/>
      <c r="N87" s="3017"/>
      <c r="O87" s="3017"/>
      <c r="P87" s="2058"/>
      <c r="Q87" s="1873"/>
    </row>
    <row r="88" spans="1:17">
      <c r="A88" s="1846" t="s">
        <v>2268</v>
      </c>
      <c r="B88" s="1847" t="s">
        <v>2306</v>
      </c>
      <c r="C88" s="1885" t="s">
        <v>2307</v>
      </c>
      <c r="D88" s="1885" t="s">
        <v>2308</v>
      </c>
      <c r="E88" s="1885" t="s">
        <v>2309</v>
      </c>
      <c r="F88" s="1885" t="s">
        <v>2310</v>
      </c>
      <c r="G88" s="1885" t="s">
        <v>2311</v>
      </c>
      <c r="H88" s="1848"/>
      <c r="I88" s="1848"/>
      <c r="J88" s="1848"/>
      <c r="K88" s="463"/>
      <c r="L88" s="463"/>
      <c r="M88" s="1886"/>
      <c r="N88" s="3015"/>
      <c r="O88" s="301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6"/>
      <c r="O89" s="3016"/>
      <c r="P89" s="2057"/>
      <c r="Q89" s="1821"/>
    </row>
    <row r="90" spans="1:17" ht="15.75" thickTop="1">
      <c r="A90" s="1853"/>
      <c r="B90" s="1858" t="s">
        <v>2476</v>
      </c>
      <c r="C90" s="579" t="s">
        <v>2307</v>
      </c>
      <c r="D90" s="579" t="s">
        <v>2308</v>
      </c>
      <c r="E90" s="579" t="s">
        <v>2309</v>
      </c>
      <c r="F90" s="579" t="s">
        <v>2310</v>
      </c>
      <c r="G90" s="579" t="s">
        <v>2311</v>
      </c>
      <c r="H90" s="1859"/>
      <c r="I90" s="1859"/>
      <c r="J90" s="1859"/>
      <c r="K90" s="428"/>
      <c r="L90" s="428"/>
      <c r="M90" s="1860"/>
      <c r="N90" s="3015"/>
      <c r="O90" s="301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6"/>
      <c r="O91" s="3016"/>
      <c r="P91" s="2057"/>
      <c r="Q91" s="1821"/>
    </row>
    <row r="92" spans="1:17" ht="15.75" thickTop="1">
      <c r="A92" s="1853"/>
      <c r="B92" s="1858" t="s">
        <v>2394</v>
      </c>
      <c r="C92" s="579" t="s">
        <v>2307</v>
      </c>
      <c r="D92" s="579" t="s">
        <v>2308</v>
      </c>
      <c r="E92" s="579" t="s">
        <v>2309</v>
      </c>
      <c r="F92" s="579" t="s">
        <v>2310</v>
      </c>
      <c r="G92" s="579" t="s">
        <v>2311</v>
      </c>
      <c r="H92" s="1859"/>
      <c r="I92" s="1859"/>
      <c r="J92" s="1859"/>
      <c r="K92" s="428"/>
      <c r="L92" s="428"/>
      <c r="M92" s="1860"/>
      <c r="N92" s="3015"/>
      <c r="O92" s="301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6"/>
      <c r="O93" s="3016"/>
      <c r="P93" s="2057"/>
      <c r="Q93" s="1821"/>
    </row>
    <row r="94" spans="1:17" ht="15.75" thickTop="1">
      <c r="A94" s="1853"/>
      <c r="B94" s="1858" t="s">
        <v>2312</v>
      </c>
      <c r="C94" s="579" t="s">
        <v>2307</v>
      </c>
      <c r="D94" s="579" t="s">
        <v>2308</v>
      </c>
      <c r="E94" s="579" t="s">
        <v>2309</v>
      </c>
      <c r="F94" s="579" t="s">
        <v>2310</v>
      </c>
      <c r="G94" s="579" t="s">
        <v>2311</v>
      </c>
      <c r="H94" s="1859"/>
      <c r="I94" s="1859"/>
      <c r="J94" s="1859"/>
      <c r="K94" s="428"/>
      <c r="L94" s="428"/>
      <c r="M94" s="1860"/>
      <c r="N94" s="3015"/>
      <c r="O94" s="301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6"/>
      <c r="O95" s="3016"/>
      <c r="P95" s="2057"/>
      <c r="Q95" s="1821"/>
    </row>
    <row r="96" spans="1:17" s="1684" customFormat="1" ht="15.75" thickTop="1">
      <c r="A96" s="1889"/>
      <c r="B96" s="1858" t="s">
        <v>2477</v>
      </c>
      <c r="C96" s="579" t="s">
        <v>2307</v>
      </c>
      <c r="D96" s="579" t="s">
        <v>2308</v>
      </c>
      <c r="E96" s="579" t="s">
        <v>2309</v>
      </c>
      <c r="F96" s="579" t="s">
        <v>2310</v>
      </c>
      <c r="G96" s="579" t="s">
        <v>2311</v>
      </c>
      <c r="H96" s="579"/>
      <c r="I96" s="579"/>
      <c r="J96" s="579"/>
      <c r="K96" s="579"/>
      <c r="L96" s="579"/>
      <c r="M96" s="2060"/>
      <c r="N96" s="3014"/>
      <c r="O96" s="3014"/>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6"/>
      <c r="O97" s="3016"/>
      <c r="P97" s="2057"/>
      <c r="Q97" s="1821"/>
    </row>
    <row r="98" spans="1:17" s="1684" customFormat="1" ht="27.75" thickTop="1">
      <c r="A98" s="1889"/>
      <c r="B98" s="1858" t="s">
        <v>2478</v>
      </c>
      <c r="C98" s="1885" t="s">
        <v>2307</v>
      </c>
      <c r="D98" s="1885" t="s">
        <v>2308</v>
      </c>
      <c r="E98" s="1885" t="s">
        <v>2309</v>
      </c>
      <c r="F98" s="1885" t="s">
        <v>2310</v>
      </c>
      <c r="G98" s="1885" t="s">
        <v>2311</v>
      </c>
      <c r="H98" s="579"/>
      <c r="I98" s="579"/>
      <c r="J98" s="579"/>
      <c r="K98" s="579"/>
      <c r="L98" s="579"/>
      <c r="M98" s="2060"/>
      <c r="N98" s="3014"/>
      <c r="O98" s="3014"/>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6"/>
      <c r="O99" s="3016"/>
      <c r="P99" s="2057"/>
      <c r="Q99" s="1821"/>
    </row>
    <row r="100" spans="1:17" s="1684" customFormat="1" ht="15.75" thickTop="1">
      <c r="A100" s="1889"/>
      <c r="B100" s="1864" t="s">
        <v>2355</v>
      </c>
      <c r="C100" s="1885" t="s">
        <v>2307</v>
      </c>
      <c r="D100" s="1885" t="s">
        <v>2308</v>
      </c>
      <c r="E100" s="1885" t="s">
        <v>2309</v>
      </c>
      <c r="F100" s="1885" t="s">
        <v>2310</v>
      </c>
      <c r="G100" s="1885" t="s">
        <v>2311</v>
      </c>
      <c r="H100" s="1859"/>
      <c r="I100" s="1859"/>
      <c r="J100" s="1859"/>
      <c r="K100" s="1859"/>
      <c r="L100" s="1859"/>
      <c r="M100" s="1887"/>
      <c r="N100" s="3016"/>
      <c r="O100" s="3016"/>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6"/>
      <c r="O101" s="3016"/>
      <c r="P101" s="2057"/>
      <c r="Q101" s="1821"/>
    </row>
    <row r="102" spans="1:17" s="1771" customFormat="1" ht="15.75" thickTop="1">
      <c r="A102" s="1869"/>
      <c r="B102" s="1858" t="s">
        <v>2356</v>
      </c>
      <c r="C102" s="1859" t="s">
        <v>2314</v>
      </c>
      <c r="D102" s="1859" t="s">
        <v>2315</v>
      </c>
      <c r="E102" s="1859" t="s">
        <v>2316</v>
      </c>
      <c r="F102" s="1859" t="s">
        <v>2317</v>
      </c>
      <c r="G102" s="1859" t="s">
        <v>2318</v>
      </c>
      <c r="H102" s="489"/>
      <c r="I102" s="489"/>
      <c r="J102" s="489"/>
      <c r="K102" s="489"/>
      <c r="L102" s="489"/>
      <c r="M102" s="1904"/>
      <c r="N102" s="3017"/>
      <c r="O102" s="301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7"/>
      <c r="O103" s="3017"/>
      <c r="P103" s="2058"/>
      <c r="Q103" s="1873"/>
    </row>
    <row r="104" spans="1:17" ht="15.75" thickTop="1">
      <c r="A104" s="1853"/>
      <c r="B104" s="1858" t="str">
        <f>B31</f>
        <v>临街状况</v>
      </c>
      <c r="C104" s="1859" t="s">
        <v>2479</v>
      </c>
      <c r="D104" s="1859" t="s">
        <v>2480</v>
      </c>
      <c r="E104" s="1859" t="s">
        <v>2481</v>
      </c>
      <c r="F104" s="1859" t="s">
        <v>2482</v>
      </c>
      <c r="G104" s="1859"/>
      <c r="H104" s="1859"/>
      <c r="I104" s="1859"/>
      <c r="J104" s="1859"/>
      <c r="K104" s="428"/>
      <c r="L104" s="428"/>
      <c r="M104" s="1860"/>
      <c r="N104" s="3015"/>
      <c r="O104" s="301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6"/>
      <c r="O105" s="3016"/>
      <c r="P105" s="2057"/>
      <c r="Q105" s="1821"/>
    </row>
    <row r="106" spans="1:17" ht="27.75" thickTop="1">
      <c r="A106" s="1853"/>
      <c r="B106" s="1858" t="s">
        <v>2387</v>
      </c>
      <c r="C106" s="468"/>
      <c r="D106" s="468"/>
      <c r="E106" s="468"/>
      <c r="F106" s="468"/>
      <c r="G106" s="468"/>
      <c r="H106" s="1578"/>
      <c r="I106" s="1578"/>
      <c r="J106" s="1578"/>
      <c r="K106" s="473"/>
      <c r="L106" s="473"/>
      <c r="M106" s="1893"/>
      <c r="N106" s="3015"/>
      <c r="O106" s="301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6"/>
      <c r="O107" s="3016"/>
      <c r="P107" s="2057"/>
      <c r="Q107" s="1821"/>
    </row>
    <row r="108" spans="1:17" ht="15.75" thickTop="1">
      <c r="A108" s="1853"/>
      <c r="B108" s="1858" t="s">
        <v>2448</v>
      </c>
      <c r="C108" s="1578"/>
      <c r="D108" s="1578"/>
      <c r="E108" s="1578"/>
      <c r="F108" s="1578"/>
      <c r="G108" s="1578"/>
      <c r="H108" s="1578"/>
      <c r="I108" s="1578"/>
      <c r="J108" s="1578"/>
      <c r="K108" s="473"/>
      <c r="L108" s="473"/>
      <c r="M108" s="1893"/>
      <c r="N108" s="3015"/>
      <c r="O108" s="301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6"/>
      <c r="O109" s="3016"/>
      <c r="P109" s="2057"/>
      <c r="Q109" s="1821"/>
    </row>
    <row r="110" spans="1:17" ht="15.75" thickTop="1">
      <c r="A110" s="1853"/>
      <c r="B110" s="1864">
        <f>B35</f>
        <v>111</v>
      </c>
      <c r="C110" s="468"/>
      <c r="D110" s="468"/>
      <c r="E110" s="468"/>
      <c r="F110" s="468"/>
      <c r="G110" s="1894"/>
      <c r="H110" s="1894"/>
      <c r="I110" s="1894"/>
      <c r="J110" s="1894"/>
      <c r="K110" s="477"/>
      <c r="L110" s="477"/>
      <c r="M110" s="1895"/>
      <c r="N110" s="3015"/>
      <c r="O110" s="3015"/>
      <c r="P110" s="2057"/>
      <c r="Q110" s="1821"/>
    </row>
    <row r="111" spans="1:17" ht="15.75" thickBot="1">
      <c r="A111" s="1853"/>
      <c r="B111" s="1881"/>
      <c r="C111" s="1874"/>
      <c r="D111" s="1874"/>
      <c r="E111" s="1874"/>
      <c r="F111" s="1874"/>
      <c r="G111" s="1897"/>
      <c r="H111" s="1897"/>
      <c r="I111" s="1897"/>
      <c r="J111" s="1897"/>
      <c r="K111" s="1897"/>
      <c r="L111" s="1897"/>
      <c r="M111" s="1898"/>
      <c r="N111" s="3016"/>
      <c r="O111" s="3016"/>
      <c r="P111" s="2057"/>
      <c r="Q111" s="1821"/>
    </row>
    <row r="112" spans="1:17" ht="15" thickTop="1">
      <c r="A112" s="1994"/>
      <c r="B112" s="1858">
        <f>B36</f>
        <v>111</v>
      </c>
      <c r="C112" s="409"/>
      <c r="D112" s="409"/>
      <c r="E112" s="409"/>
      <c r="F112" s="409"/>
      <c r="G112" s="1578"/>
      <c r="H112" s="1578"/>
      <c r="I112" s="1578"/>
      <c r="J112" s="1578"/>
      <c r="K112" s="473"/>
      <c r="L112" s="473"/>
      <c r="M112" s="1893"/>
      <c r="N112" s="3015"/>
      <c r="O112" s="3015"/>
      <c r="P112" s="2057"/>
      <c r="Q112" s="1821"/>
    </row>
    <row r="113" spans="1:17" ht="15.75" thickBot="1">
      <c r="A113" s="1853"/>
      <c r="B113" s="1861"/>
      <c r="C113" s="1882"/>
      <c r="D113" s="1882"/>
      <c r="E113" s="1882"/>
      <c r="F113" s="1882"/>
      <c r="G113" s="1855"/>
      <c r="H113" s="1855"/>
      <c r="I113" s="1855"/>
      <c r="J113" s="1855"/>
      <c r="K113" s="1855"/>
      <c r="L113" s="1855"/>
      <c r="M113" s="1856"/>
      <c r="N113" s="3016"/>
      <c r="O113" s="301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7"/>
      <c r="O114" s="301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6"/>
      <c r="O115" s="3016"/>
      <c r="P115" s="2058"/>
      <c r="Q115" s="1873"/>
    </row>
    <row r="116" spans="1:17">
      <c r="A116" s="1846" t="s">
        <v>2273</v>
      </c>
      <c r="B116" s="1847"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5"/>
      <c r="O116" s="3015"/>
      <c r="P116" s="2057"/>
      <c r="Q116" s="1821"/>
    </row>
    <row r="117" spans="1:17" ht="15">
      <c r="A117" s="1853"/>
      <c r="B117" s="1864"/>
      <c r="C117" s="1901"/>
      <c r="D117" s="1901"/>
      <c r="E117" s="1901"/>
      <c r="F117" s="1901"/>
      <c r="G117" s="1901"/>
      <c r="H117" s="1901"/>
      <c r="I117" s="1901"/>
      <c r="J117" s="485"/>
      <c r="K117" s="485"/>
      <c r="L117" s="485"/>
      <c r="M117" s="1902"/>
      <c r="N117" s="3015"/>
      <c r="O117" s="3015"/>
      <c r="P117" s="2057"/>
      <c r="Q117" s="1821"/>
    </row>
    <row r="118" spans="1:17" ht="15.75" thickBot="1">
      <c r="A118" s="1853"/>
      <c r="B118" s="1861"/>
      <c r="C118" s="1882"/>
      <c r="D118" s="1897"/>
      <c r="E118" s="1897"/>
      <c r="F118" s="1897"/>
      <c r="G118" s="1897"/>
      <c r="H118" s="1897"/>
      <c r="I118" s="1897"/>
      <c r="J118" s="1897"/>
      <c r="K118" s="1897"/>
      <c r="L118" s="1897"/>
      <c r="M118" s="1898"/>
      <c r="N118" s="3016"/>
      <c r="O118" s="3016"/>
      <c r="P118" s="2057"/>
      <c r="Q118" s="1821"/>
    </row>
    <row r="119" spans="1:17" ht="15" thickTop="1">
      <c r="A119" s="1903"/>
      <c r="B119" s="1858" t="s">
        <v>2484</v>
      </c>
      <c r="C119" s="1578"/>
      <c r="D119" s="1578"/>
      <c r="E119" s="1578"/>
      <c r="F119" s="1578"/>
      <c r="G119" s="1578"/>
      <c r="H119" s="1578"/>
      <c r="I119" s="1578"/>
      <c r="J119" s="1578"/>
      <c r="K119" s="473"/>
      <c r="L119" s="473"/>
      <c r="M119" s="1893"/>
      <c r="N119" s="3015"/>
      <c r="O119" s="301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6"/>
      <c r="O120" s="3016"/>
      <c r="P120" s="2057"/>
      <c r="Q120" s="1821"/>
    </row>
    <row r="121" spans="1:17" ht="15" thickTop="1">
      <c r="A121" s="1903"/>
      <c r="B121" s="1858" t="s">
        <v>2485</v>
      </c>
      <c r="C121" s="468"/>
      <c r="D121" s="468"/>
      <c r="E121" s="468"/>
      <c r="F121" s="1578"/>
      <c r="G121" s="1578"/>
      <c r="H121" s="1578"/>
      <c r="I121" s="1578"/>
      <c r="J121" s="1578"/>
      <c r="K121" s="473"/>
      <c r="L121" s="473"/>
      <c r="M121" s="1893"/>
      <c r="N121" s="3015"/>
      <c r="O121" s="301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6"/>
      <c r="O122" s="3016"/>
      <c r="P122" s="2057"/>
      <c r="Q122" s="1821"/>
    </row>
    <row r="123" spans="1:17" s="1771" customFormat="1" ht="15" thickTop="1">
      <c r="A123" s="1899"/>
      <c r="B123" s="1858" t="s">
        <v>2486</v>
      </c>
      <c r="C123" s="468"/>
      <c r="D123" s="468"/>
      <c r="E123" s="468"/>
      <c r="F123" s="468"/>
      <c r="G123" s="468"/>
      <c r="H123" s="1578"/>
      <c r="I123" s="1578"/>
      <c r="J123" s="1578"/>
      <c r="K123" s="473"/>
      <c r="L123" s="473"/>
      <c r="M123" s="1893"/>
      <c r="N123" s="3017"/>
      <c r="O123" s="301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7"/>
      <c r="O124" s="3017"/>
      <c r="P124" s="2058"/>
      <c r="Q124" s="1873"/>
    </row>
    <row r="125" spans="1:17" ht="15" thickTop="1">
      <c r="A125" s="1903"/>
      <c r="B125" s="1858" t="s">
        <v>2487</v>
      </c>
      <c r="C125" s="468"/>
      <c r="D125" s="468"/>
      <c r="E125" s="1578"/>
      <c r="F125" s="1578"/>
      <c r="G125" s="1578"/>
      <c r="H125" s="1578"/>
      <c r="I125" s="1578"/>
      <c r="J125" s="1578"/>
      <c r="K125" s="473"/>
      <c r="L125" s="473"/>
      <c r="M125" s="1893"/>
      <c r="N125" s="3015"/>
      <c r="O125" s="301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6"/>
      <c r="O126" s="3016"/>
      <c r="P126" s="2057"/>
      <c r="Q126" s="1821"/>
    </row>
    <row r="127" spans="1:17" ht="15" thickTop="1">
      <c r="A127" s="1903"/>
      <c r="B127" s="1858">
        <f>B43</f>
        <v>111</v>
      </c>
      <c r="C127" s="468"/>
      <c r="D127" s="468"/>
      <c r="E127" s="468"/>
      <c r="F127" s="468"/>
      <c r="G127" s="468"/>
      <c r="H127" s="1578"/>
      <c r="I127" s="1578"/>
      <c r="J127" s="1578"/>
      <c r="K127" s="473"/>
      <c r="L127" s="473"/>
      <c r="M127" s="1893"/>
      <c r="N127" s="3015"/>
      <c r="O127" s="3015"/>
      <c r="P127" s="2057"/>
      <c r="Q127" s="1821"/>
    </row>
    <row r="128" spans="1:17" ht="15.75" thickBot="1">
      <c r="A128" s="1853"/>
      <c r="B128" s="1861"/>
      <c r="C128" s="1874"/>
      <c r="D128" s="1874"/>
      <c r="E128" s="1874"/>
      <c r="F128" s="1874"/>
      <c r="G128" s="1855"/>
      <c r="H128" s="1855"/>
      <c r="I128" s="1855"/>
      <c r="J128" s="1855"/>
      <c r="K128" s="1855"/>
      <c r="L128" s="1855"/>
      <c r="M128" s="1856"/>
      <c r="N128" s="3016"/>
      <c r="O128" s="3016"/>
      <c r="P128" s="2057"/>
      <c r="Q128" s="1821"/>
    </row>
    <row r="129" spans="1:17" ht="15" thickTop="1">
      <c r="A129" s="1903"/>
      <c r="B129" s="1858">
        <f>B44</f>
        <v>111</v>
      </c>
      <c r="C129" s="409"/>
      <c r="D129" s="409"/>
      <c r="E129" s="409"/>
      <c r="F129" s="409"/>
      <c r="G129" s="1578"/>
      <c r="H129" s="1578"/>
      <c r="I129" s="1578"/>
      <c r="J129" s="1578"/>
      <c r="K129" s="473"/>
      <c r="L129" s="473"/>
      <c r="M129" s="1893"/>
      <c r="N129" s="3015"/>
      <c r="O129" s="3015"/>
      <c r="P129" s="2057"/>
      <c r="Q129" s="1821"/>
    </row>
    <row r="130" spans="1:17" ht="15.75" thickBot="1">
      <c r="A130" s="1853"/>
      <c r="B130" s="1861"/>
      <c r="C130" s="1882"/>
      <c r="D130" s="1882"/>
      <c r="E130" s="1882"/>
      <c r="F130" s="1882"/>
      <c r="G130" s="1855"/>
      <c r="H130" s="1855"/>
      <c r="I130" s="1855"/>
      <c r="J130" s="1855"/>
      <c r="K130" s="1855"/>
      <c r="L130" s="1855"/>
      <c r="M130" s="1856"/>
      <c r="N130" s="3016"/>
      <c r="O130" s="301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7"/>
      <c r="O131" s="301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7"/>
      <c r="O132" s="3017"/>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7"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A00-000000000000}">
      <formula1>住宅朝向</formula1>
    </dataValidation>
    <dataValidation type="list" allowBlank="1" showInputMessage="1" showErrorMessage="1" sqref="C28 I28 E28 G28" xr:uid="{00000000-0002-0000-1A00-000001000000}">
      <formula1>公共配套设施</formula1>
    </dataValidation>
    <dataValidation type="list" allowBlank="1" showInputMessage="1" showErrorMessage="1" sqref="E22 C22 G22 I22" xr:uid="{00000000-0002-0000-1A00-000002000000}">
      <formula1>交通便捷度</formula1>
    </dataValidation>
    <dataValidation type="list" allowBlank="1" showInputMessage="1" showErrorMessage="1" sqref="E16 G16 I16 C16" xr:uid="{00000000-0002-0000-1A00-000003000000}">
      <formula1>居住社区成熟度</formula1>
    </dataValidation>
    <dataValidation type="list" allowBlank="1" showInputMessage="1" showErrorMessage="1" sqref="E26 G26 C26 I26" xr:uid="{00000000-0002-0000-1A00-000004000000}">
      <formula1>环境</formula1>
    </dataValidation>
    <dataValidation type="list" allowBlank="1" showInputMessage="1" showErrorMessage="1" sqref="B46" xr:uid="{00000000-0002-0000-1A00-000005000000}">
      <formula1>单价内涵</formula1>
    </dataValidation>
    <dataValidation type="list" allowBlank="1" showInputMessage="1" showErrorMessage="1" sqref="C8 E8 G8 I8" xr:uid="{00000000-0002-0000-1A00-000006000000}">
      <formula1>套综交易情况</formula1>
    </dataValidation>
    <dataValidation type="list" allowBlank="1" showInputMessage="1" showErrorMessage="1" sqref="C9 E9 G9 I9" xr:uid="{00000000-0002-0000-1A00-000007000000}">
      <formula1>套综用途</formula1>
    </dataValidation>
    <dataValidation type="list" allowBlank="1" showInputMessage="1" showErrorMessage="1" sqref="E18 C18 G18 I18" xr:uid="{00000000-0002-0000-1A00-000008000000}">
      <formula1>商业繁华度</formula1>
    </dataValidation>
    <dataValidation type="list" allowBlank="1" showInputMessage="1" showErrorMessage="1" sqref="E20 C20 G20 I20" xr:uid="{00000000-0002-0000-1A00-000009000000}">
      <formula1>办公集聚程度</formula1>
    </dataValidation>
    <dataValidation type="list" allowBlank="1" showInputMessage="1" showErrorMessage="1" sqref="C33 E33 G33 I33" xr:uid="{00000000-0002-0000-1A00-00000A000000}">
      <formula1>套综道路等级</formula1>
    </dataValidation>
    <dataValidation type="list" allowBlank="1" showInputMessage="1" showErrorMessage="1" sqref="C34 E34 G34 I34" xr:uid="{00000000-0002-0000-1A00-00000B000000}">
      <formula1>套综土地级别</formula1>
    </dataValidation>
    <dataValidation type="list" allowBlank="1" showInputMessage="1" showErrorMessage="1" sqref="C39 E39 G39 I39" xr:uid="{00000000-0002-0000-1A00-00000C000000}">
      <formula1>套综宗地形状</formula1>
    </dataValidation>
    <dataValidation type="list" allowBlank="1" showInputMessage="1" showErrorMessage="1" sqref="C40 E40 G40 I40" xr:uid="{00000000-0002-0000-1A00-00000D000000}">
      <formula1>套综临街宽度及深度</formula1>
    </dataValidation>
    <dataValidation type="list" allowBlank="1" showInputMessage="1" showErrorMessage="1" sqref="C41 E41 G41 I41" xr:uid="{00000000-0002-0000-1A00-00000E000000}">
      <formula1>套综宗地内开发程度</formula1>
    </dataValidation>
    <dataValidation type="list" allowBlank="1" showInputMessage="1" showErrorMessage="1" sqref="C42 E42 G42 I42" xr:uid="{00000000-0002-0000-1A00-00000F000000}">
      <formula1>套综工程地质条件</formula1>
    </dataValidation>
    <dataValidation type="list" allowBlank="1" showInputMessage="1" showErrorMessage="1" sqref="C31 E31 G31 I31" xr:uid="{00000000-0002-0000-1A00-000010000000}">
      <formula1>临街状况</formula1>
    </dataValidation>
    <dataValidation type="list" allowBlank="1" showInputMessage="1" showErrorMessage="1" sqref="E24 G24 I24 C24" xr:uid="{00000000-0002-0000-1A00-000011000000}">
      <formula1>区域土地利用方向</formula1>
    </dataValidation>
    <dataValidation type="list" allowBlank="1" showInputMessage="1" showErrorMessage="1" sqref="C55" xr:uid="{00000000-0002-0000-1A00-000012000000}">
      <formula1>"北京市系数,其他省市系数"</formula1>
    </dataValidation>
    <dataValidation type="list" allowBlank="1" showInputMessage="1" showErrorMessage="1" sqref="D57:D65" xr:uid="{00000000-0002-0000-1A00-000013000000}">
      <formula1>"25%,1"</formula1>
    </dataValidation>
    <dataValidation type="list" allowBlank="1" showInputMessage="1" showErrorMessage="1" sqref="C30 E30 G30 I30" xr:uid="{00000000-0002-0000-1A00-000014000000}">
      <formula1>基础设施水平</formula1>
    </dataValidation>
    <dataValidation type="list" allowBlank="1" showInputMessage="1" showErrorMessage="1" sqref="A71" xr:uid="{00000000-0002-0000-1A00-000015000000}">
      <formula1>"综合,商业,办公,住宅"</formula1>
    </dataValidation>
    <dataValidation type="list" allowBlank="1" showInputMessage="1" showErrorMessage="1" sqref="D47" xr:uid="{00000000-0002-0000-1A00-000016000000}">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19" t="s">
        <v>2245</v>
      </c>
      <c r="D4" s="4120"/>
      <c r="E4" s="4121" t="s">
        <v>2246</v>
      </c>
      <c r="F4" s="4122"/>
      <c r="G4" s="4119" t="s">
        <v>2247</v>
      </c>
      <c r="H4" s="4120"/>
      <c r="I4" s="4119" t="s">
        <v>2248</v>
      </c>
      <c r="J4" s="4120"/>
      <c r="K4" s="496" t="s">
        <v>2249</v>
      </c>
      <c r="L4" s="3024"/>
      <c r="M4" s="3025"/>
      <c r="N4" s="3025"/>
      <c r="O4" s="3025"/>
      <c r="P4" s="4123" t="s">
        <v>2250</v>
      </c>
      <c r="Q4" s="4124"/>
      <c r="R4" s="4106" t="s">
        <v>2246</v>
      </c>
      <c r="S4" s="4107"/>
      <c r="T4" s="4106" t="s">
        <v>2247</v>
      </c>
      <c r="U4" s="4107"/>
      <c r="V4" s="4129" t="s">
        <v>2248</v>
      </c>
      <c r="W4" s="4129"/>
      <c r="X4" s="1335"/>
      <c r="Y4" s="4106" t="s">
        <v>2250</v>
      </c>
      <c r="Z4" s="4107"/>
      <c r="AA4" s="4116" t="s">
        <v>2246</v>
      </c>
      <c r="AB4" s="4117" t="s">
        <v>2247</v>
      </c>
      <c r="AC4" s="4116" t="s">
        <v>2248</v>
      </c>
    </row>
    <row r="5" spans="1:29" ht="15">
      <c r="A5" s="297"/>
      <c r="B5" s="298"/>
      <c r="C5" s="4132" t="s">
        <v>2251</v>
      </c>
      <c r="D5" s="4133"/>
      <c r="E5" s="4130" t="s">
        <v>2252</v>
      </c>
      <c r="F5" s="4131"/>
      <c r="G5" s="4132" t="s">
        <v>2253</v>
      </c>
      <c r="H5" s="4133"/>
      <c r="I5" s="4132" t="s">
        <v>2254</v>
      </c>
      <c r="J5" s="4133"/>
      <c r="K5" s="496"/>
      <c r="L5" s="3024"/>
      <c r="M5" s="3025"/>
      <c r="N5" s="3025"/>
      <c r="O5" s="3025"/>
      <c r="P5" s="4125"/>
      <c r="Q5" s="4126"/>
      <c r="R5" s="4108"/>
      <c r="S5" s="4109"/>
      <c r="T5" s="4108"/>
      <c r="U5" s="4109"/>
      <c r="V5" s="4129"/>
      <c r="W5" s="4129"/>
      <c r="X5" s="1335"/>
      <c r="Y5" s="4108"/>
      <c r="Z5" s="4109"/>
      <c r="AA5" s="4117"/>
      <c r="AB5" s="4117"/>
      <c r="AC5" s="4117"/>
    </row>
    <row r="6" spans="1:29" ht="15.75" thickBot="1">
      <c r="A6" s="299"/>
      <c r="B6" s="300"/>
      <c r="C6" s="4134" t="s">
        <v>2255</v>
      </c>
      <c r="D6" s="4135"/>
      <c r="E6" s="4136" t="s">
        <v>2255</v>
      </c>
      <c r="F6" s="4137"/>
      <c r="G6" s="4134" t="s">
        <v>2255</v>
      </c>
      <c r="H6" s="4135"/>
      <c r="I6" s="4134" t="s">
        <v>2255</v>
      </c>
      <c r="J6" s="4135"/>
      <c r="K6" s="496" t="s">
        <v>2256</v>
      </c>
      <c r="L6" s="3024"/>
      <c r="M6" s="3025"/>
      <c r="N6" s="3025"/>
      <c r="O6" s="3025"/>
      <c r="P6" s="4127"/>
      <c r="Q6" s="4128"/>
      <c r="R6" s="4108"/>
      <c r="S6" s="4109"/>
      <c r="T6" s="4110"/>
      <c r="U6" s="4111"/>
      <c r="V6" s="4129"/>
      <c r="W6" s="4129"/>
      <c r="X6" s="1335"/>
      <c r="Y6" s="4110"/>
      <c r="Z6" s="4111"/>
      <c r="AA6" s="4118"/>
      <c r="AB6" s="4118"/>
      <c r="AC6" s="4118"/>
    </row>
    <row r="7" spans="1:29" s="25" customFormat="1" ht="15.75" thickBot="1">
      <c r="A7" s="301" t="s">
        <v>2257</v>
      </c>
      <c r="B7" s="302"/>
      <c r="C7" s="303">
        <f>'数据-取费表'!B2</f>
        <v>42558</v>
      </c>
      <c r="D7" s="304">
        <v>100</v>
      </c>
      <c r="E7" s="305"/>
      <c r="F7" s="306">
        <f>SUMIF(65:65,YEAR(E7)&amp;"-"&amp;INT((MONTH(E7)+2)/3),66:66)</f>
        <v>0</v>
      </c>
      <c r="G7" s="1575"/>
      <c r="H7" s="304">
        <f>SUMIF(65:65,YEAR(G7)&amp;"-"&amp;INT((MONTH(G7)+2)/3),66:66)</f>
        <v>0</v>
      </c>
      <c r="I7" s="1575"/>
      <c r="J7" s="304">
        <f>SUMIF(65:65,YEAR(I7)&amp;"-"&amp;INT((MONTH(I7)+2)/3),66:66)</f>
        <v>0</v>
      </c>
      <c r="K7" s="497"/>
      <c r="L7" s="3026"/>
      <c r="M7" s="3027"/>
      <c r="N7" s="3027"/>
      <c r="O7" s="3027"/>
      <c r="P7" s="4104" t="s">
        <v>2258</v>
      </c>
      <c r="Q7" s="4112"/>
      <c r="R7" s="627" t="s">
        <v>25</v>
      </c>
      <c r="S7" s="628">
        <f t="shared" ref="S7:S15" si="0">F7</f>
        <v>0</v>
      </c>
      <c r="T7" s="627" t="s">
        <v>25</v>
      </c>
      <c r="U7" s="628">
        <f t="shared" ref="U7:U15" si="1">H7</f>
        <v>0</v>
      </c>
      <c r="V7" s="627" t="s">
        <v>25</v>
      </c>
      <c r="W7" s="628">
        <f t="shared" ref="W7:W15" si="2">J7</f>
        <v>0</v>
      </c>
      <c r="X7" s="629"/>
      <c r="Y7" s="4104" t="s">
        <v>2258</v>
      </c>
      <c r="Z7" s="4105"/>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4104" t="s">
        <v>2261</v>
      </c>
      <c r="Q8" s="4105"/>
      <c r="R8" s="627" t="s">
        <v>25</v>
      </c>
      <c r="S8" s="628">
        <f t="shared" si="0"/>
        <v>0</v>
      </c>
      <c r="T8" s="627" t="s">
        <v>25</v>
      </c>
      <c r="U8" s="628">
        <f t="shared" si="1"/>
        <v>0</v>
      </c>
      <c r="V8" s="627" t="s">
        <v>25</v>
      </c>
      <c r="W8" s="628">
        <f t="shared" si="2"/>
        <v>0</v>
      </c>
      <c r="X8" s="629"/>
      <c r="Y8" s="4104" t="s">
        <v>2261</v>
      </c>
      <c r="Z8" s="4105"/>
      <c r="AA8" s="630" t="e">
        <f t="shared" ref="AA8:AA40" si="3">D8/F8</f>
        <v>#DIV/0!</v>
      </c>
      <c r="AB8" s="630" t="e">
        <f t="shared" ref="AB8:AB40" si="4">D8/H8</f>
        <v>#DIV/0!</v>
      </c>
      <c r="AC8" s="630" t="e">
        <f t="shared" ref="AC8:AC40" si="5">D8/J8</f>
        <v>#DIV/0!</v>
      </c>
    </row>
    <row r="9" spans="1:29" s="25" customFormat="1">
      <c r="A9" s="308" t="s">
        <v>2262</v>
      </c>
      <c r="B9" s="24" t="s">
        <v>2263</v>
      </c>
      <c r="C9" s="1585" t="s">
        <v>2489</v>
      </c>
      <c r="D9" s="28">
        <v>100</v>
      </c>
      <c r="E9" s="1585"/>
      <c r="F9" s="28">
        <f>SUMIF(70:70,E9,71:71)-SUMIF(70:70,C9,71:71)+100</f>
        <v>100</v>
      </c>
      <c r="G9" s="1585"/>
      <c r="H9" s="28">
        <f>SUMIF(70:70,G9,71:71)-SUMIF(70:70,C9,71:71)+100</f>
        <v>100</v>
      </c>
      <c r="I9" s="1585"/>
      <c r="J9" s="28">
        <f>SUMIF(70:70,I9,71:71)-SUMIF(70:70,C9,71:71)+100</f>
        <v>100</v>
      </c>
      <c r="K9" s="497"/>
      <c r="L9" s="3026"/>
      <c r="M9" s="3027"/>
      <c r="N9" s="3027"/>
      <c r="O9" s="3028"/>
      <c r="P9" s="4096" t="s">
        <v>2264</v>
      </c>
      <c r="Q9" s="1327" t="str">
        <f t="shared" ref="Q9:Q15" si="6">B9</f>
        <v>用途</v>
      </c>
      <c r="R9" s="627" t="s">
        <v>25</v>
      </c>
      <c r="S9" s="628">
        <f t="shared" si="0"/>
        <v>100</v>
      </c>
      <c r="T9" s="627" t="s">
        <v>25</v>
      </c>
      <c r="U9" s="628">
        <f t="shared" si="1"/>
        <v>100</v>
      </c>
      <c r="V9" s="627" t="s">
        <v>25</v>
      </c>
      <c r="W9" s="628">
        <f t="shared" si="2"/>
        <v>100</v>
      </c>
      <c r="X9" s="629"/>
      <c r="Y9" s="4115"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112</v>
      </c>
      <c r="G10" s="322"/>
      <c r="H10" s="29">
        <f>ROUND(100/'数据-取费表'!B14,0)</f>
        <v>112</v>
      </c>
      <c r="I10" s="322"/>
      <c r="J10" s="29">
        <f>ROUND(100/'数据-取费表'!B14,0)</f>
        <v>112</v>
      </c>
      <c r="K10" s="553"/>
      <c r="L10" s="3029"/>
      <c r="M10" s="3030"/>
      <c r="N10" s="3030"/>
      <c r="O10" s="3031"/>
      <c r="P10" s="4096"/>
      <c r="Q10" s="1327" t="str">
        <f t="shared" si="6"/>
        <v>土地使用年限（年）</v>
      </c>
      <c r="R10" s="627" t="s">
        <v>25</v>
      </c>
      <c r="S10" s="628">
        <f t="shared" si="0"/>
        <v>112</v>
      </c>
      <c r="T10" s="627" t="s">
        <v>25</v>
      </c>
      <c r="U10" s="628">
        <f t="shared" si="1"/>
        <v>112</v>
      </c>
      <c r="V10" s="627" t="s">
        <v>25</v>
      </c>
      <c r="W10" s="628">
        <f t="shared" si="2"/>
        <v>112</v>
      </c>
      <c r="X10" s="629"/>
      <c r="Y10" s="4115"/>
      <c r="Z10" s="19" t="str">
        <f t="shared" si="7"/>
        <v>土地使用年限（年）</v>
      </c>
      <c r="AA10" s="630">
        <f t="shared" si="3"/>
        <v>0.8928571428571429</v>
      </c>
      <c r="AB10" s="630">
        <f t="shared" si="4"/>
        <v>0.8928571428571429</v>
      </c>
      <c r="AC10" s="630">
        <f t="shared" si="5"/>
        <v>0.8928571428571429</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4096"/>
      <c r="Q11" s="1327" t="str">
        <f t="shared" si="6"/>
        <v>容积率</v>
      </c>
      <c r="R11" s="627" t="s">
        <v>25</v>
      </c>
      <c r="S11" s="628" t="e">
        <f t="shared" si="0"/>
        <v>#N/A</v>
      </c>
      <c r="T11" s="627" t="s">
        <v>25</v>
      </c>
      <c r="U11" s="628" t="e">
        <f t="shared" si="1"/>
        <v>#N/A</v>
      </c>
      <c r="V11" s="627" t="s">
        <v>25</v>
      </c>
      <c r="W11" s="628" t="e">
        <f t="shared" si="2"/>
        <v>#N/A</v>
      </c>
      <c r="X11" s="629"/>
      <c r="Y11" s="411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4096"/>
      <c r="Q12" s="1327">
        <f t="shared" si="6"/>
        <v>111</v>
      </c>
      <c r="R12" s="627" t="s">
        <v>25</v>
      </c>
      <c r="S12" s="628">
        <f t="shared" si="0"/>
        <v>100</v>
      </c>
      <c r="T12" s="627" t="s">
        <v>25</v>
      </c>
      <c r="U12" s="628">
        <f t="shared" si="1"/>
        <v>100</v>
      </c>
      <c r="V12" s="627" t="s">
        <v>25</v>
      </c>
      <c r="W12" s="628">
        <f t="shared" si="2"/>
        <v>100</v>
      </c>
      <c r="X12" s="629"/>
      <c r="Y12" s="411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4096"/>
      <c r="Q13" s="1327">
        <f t="shared" si="6"/>
        <v>111</v>
      </c>
      <c r="R13" s="627" t="s">
        <v>25</v>
      </c>
      <c r="S13" s="628">
        <f t="shared" si="0"/>
        <v>100</v>
      </c>
      <c r="T13" s="627" t="s">
        <v>25</v>
      </c>
      <c r="U13" s="628">
        <f t="shared" si="1"/>
        <v>100</v>
      </c>
      <c r="V13" s="627" t="s">
        <v>25</v>
      </c>
      <c r="W13" s="628">
        <f t="shared" si="2"/>
        <v>100</v>
      </c>
      <c r="X13" s="629"/>
      <c r="Y13" s="411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4096"/>
      <c r="Q14" s="1327">
        <f t="shared" si="6"/>
        <v>111</v>
      </c>
      <c r="R14" s="627" t="s">
        <v>25</v>
      </c>
      <c r="S14" s="628">
        <f t="shared" si="0"/>
        <v>100</v>
      </c>
      <c r="T14" s="627" t="s">
        <v>25</v>
      </c>
      <c r="U14" s="628">
        <f t="shared" si="1"/>
        <v>100</v>
      </c>
      <c r="V14" s="627" t="s">
        <v>25</v>
      </c>
      <c r="W14" s="628">
        <f t="shared" si="2"/>
        <v>100</v>
      </c>
      <c r="X14" s="629"/>
      <c r="Y14" s="4115"/>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4113" t="s">
        <v>2269</v>
      </c>
      <c r="Q15" s="1334" t="str">
        <f t="shared" si="6"/>
        <v>产业集聚程度</v>
      </c>
      <c r="R15" s="631" t="s">
        <v>25</v>
      </c>
      <c r="S15" s="632">
        <f t="shared" si="0"/>
        <v>100</v>
      </c>
      <c r="T15" s="631" t="s">
        <v>25</v>
      </c>
      <c r="U15" s="632">
        <f t="shared" si="1"/>
        <v>100</v>
      </c>
      <c r="V15" s="631" t="s">
        <v>25</v>
      </c>
      <c r="W15" s="632">
        <f t="shared" si="2"/>
        <v>100</v>
      </c>
      <c r="X15" s="1335"/>
      <c r="Y15" s="4113"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4114"/>
      <c r="Q16" s="1334"/>
      <c r="R16" s="631"/>
      <c r="S16" s="632"/>
      <c r="T16" s="631"/>
      <c r="U16" s="632"/>
      <c r="V16" s="631"/>
      <c r="W16" s="632"/>
      <c r="X16" s="1335"/>
      <c r="Y16" s="4114"/>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4114"/>
      <c r="Q17" s="1334" t="str">
        <f>B17</f>
        <v>交通便捷度</v>
      </c>
      <c r="R17" s="631" t="s">
        <v>25</v>
      </c>
      <c r="S17" s="632">
        <f>F17</f>
        <v>100</v>
      </c>
      <c r="T17" s="631" t="s">
        <v>25</v>
      </c>
      <c r="U17" s="632">
        <f>H17</f>
        <v>100</v>
      </c>
      <c r="V17" s="631" t="s">
        <v>25</v>
      </c>
      <c r="W17" s="632">
        <f>J17</f>
        <v>100</v>
      </c>
      <c r="X17" s="1335"/>
      <c r="Y17" s="411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4"/>
      <c r="M18" s="3025"/>
      <c r="N18" s="3025"/>
      <c r="O18" s="3033"/>
      <c r="P18" s="4114"/>
      <c r="Q18" s="1334"/>
      <c r="R18" s="631"/>
      <c r="S18" s="632"/>
      <c r="T18" s="631"/>
      <c r="U18" s="632"/>
      <c r="V18" s="631"/>
      <c r="W18" s="632"/>
      <c r="X18" s="1335"/>
      <c r="Y18" s="4114"/>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4114"/>
      <c r="Q19" s="1334" t="str">
        <f t="shared" ref="Q19:Q33" si="8">B19</f>
        <v>区域土地利用方向</v>
      </c>
      <c r="R19" s="631" t="s">
        <v>25</v>
      </c>
      <c r="S19" s="632">
        <f>F19</f>
        <v>100</v>
      </c>
      <c r="T19" s="631" t="s">
        <v>25</v>
      </c>
      <c r="U19" s="632">
        <f>H19</f>
        <v>100</v>
      </c>
      <c r="V19" s="631" t="s">
        <v>25</v>
      </c>
      <c r="W19" s="632">
        <f>J19</f>
        <v>100</v>
      </c>
      <c r="X19" s="1335"/>
      <c r="Y19" s="411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4114"/>
      <c r="Q20" s="1334"/>
      <c r="R20" s="631"/>
      <c r="S20" s="632"/>
      <c r="T20" s="631"/>
      <c r="U20" s="632"/>
      <c r="V20" s="631"/>
      <c r="W20" s="632"/>
      <c r="X20" s="1335"/>
      <c r="Y20" s="4114"/>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4114"/>
      <c r="Q21" s="1334" t="str">
        <f t="shared" si="8"/>
        <v>环境状况</v>
      </c>
      <c r="R21" s="631" t="s">
        <v>25</v>
      </c>
      <c r="S21" s="632">
        <f>F21</f>
        <v>100</v>
      </c>
      <c r="T21" s="631" t="s">
        <v>25</v>
      </c>
      <c r="U21" s="632">
        <f>H21</f>
        <v>100</v>
      </c>
      <c r="V21" s="631" t="s">
        <v>25</v>
      </c>
      <c r="W21" s="632">
        <f>J21</f>
        <v>100</v>
      </c>
      <c r="X21" s="1335"/>
      <c r="Y21" s="411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4114"/>
      <c r="Q22" s="1334"/>
      <c r="R22" s="631"/>
      <c r="S22" s="632"/>
      <c r="T22" s="631"/>
      <c r="U22" s="632"/>
      <c r="V22" s="631"/>
      <c r="W22" s="632"/>
      <c r="X22" s="1335"/>
      <c r="Y22" s="4114"/>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4114"/>
      <c r="Q23" s="1327" t="str">
        <f t="shared" si="8"/>
        <v>公共配套设施</v>
      </c>
      <c r="R23" s="627" t="s">
        <v>25</v>
      </c>
      <c r="S23" s="628">
        <f>F23</f>
        <v>100</v>
      </c>
      <c r="T23" s="627" t="s">
        <v>25</v>
      </c>
      <c r="U23" s="628">
        <f>H23</f>
        <v>100</v>
      </c>
      <c r="V23" s="627" t="s">
        <v>25</v>
      </c>
      <c r="W23" s="628">
        <f>J23</f>
        <v>100</v>
      </c>
      <c r="X23" s="629"/>
      <c r="Y23" s="4114"/>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6"/>
      <c r="M24" s="3027"/>
      <c r="N24" s="3027"/>
      <c r="O24" s="3028"/>
      <c r="P24" s="4114"/>
      <c r="Q24" s="1327"/>
      <c r="R24" s="627"/>
      <c r="S24" s="628"/>
      <c r="T24" s="627"/>
      <c r="U24" s="628"/>
      <c r="V24" s="627"/>
      <c r="W24" s="628"/>
      <c r="X24" s="629"/>
      <c r="Y24" s="4114"/>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4114"/>
      <c r="Q25" s="1327" t="str">
        <f t="shared" ref="Q25" si="9">B25</f>
        <v>基础设施水平</v>
      </c>
      <c r="R25" s="627" t="s">
        <v>25</v>
      </c>
      <c r="S25" s="628">
        <f>F25</f>
        <v>100</v>
      </c>
      <c r="T25" s="627" t="s">
        <v>25</v>
      </c>
      <c r="U25" s="628">
        <f>H25</f>
        <v>100</v>
      </c>
      <c r="V25" s="627" t="s">
        <v>25</v>
      </c>
      <c r="W25" s="628">
        <f>J25</f>
        <v>100</v>
      </c>
      <c r="X25" s="629"/>
      <c r="Y25" s="4114"/>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6"/>
      <c r="M26" s="3027"/>
      <c r="N26" s="3027"/>
      <c r="O26" s="3028"/>
      <c r="P26" s="4114"/>
      <c r="Q26" s="1327"/>
      <c r="R26" s="627"/>
      <c r="S26" s="628"/>
      <c r="T26" s="627"/>
      <c r="U26" s="628"/>
      <c r="V26" s="627"/>
      <c r="W26" s="628"/>
      <c r="X26" s="629"/>
      <c r="Y26" s="4114"/>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411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4114"/>
      <c r="Z27" s="1336" t="str">
        <f t="shared" ref="Z27:Z40" si="13">Q27</f>
        <v>临街状况</v>
      </c>
      <c r="AA27" s="1337">
        <f t="shared" si="3"/>
        <v>1</v>
      </c>
      <c r="AB27" s="1337">
        <f t="shared" si="4"/>
        <v>1</v>
      </c>
      <c r="AC27" s="1337">
        <f t="shared" si="5"/>
        <v>1</v>
      </c>
    </row>
    <row r="28" spans="1:29" ht="27">
      <c r="A28" s="318"/>
      <c r="B28" s="515" t="s">
        <v>2387</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4114"/>
      <c r="Q28" s="1334" t="str">
        <f t="shared" si="8"/>
        <v>毗邻道路的类型与等级</v>
      </c>
      <c r="R28" s="631" t="s">
        <v>25</v>
      </c>
      <c r="S28" s="632">
        <f t="shared" si="10"/>
        <v>100</v>
      </c>
      <c r="T28" s="631" t="s">
        <v>25</v>
      </c>
      <c r="U28" s="632">
        <f t="shared" si="11"/>
        <v>100</v>
      </c>
      <c r="V28" s="631" t="s">
        <v>25</v>
      </c>
      <c r="W28" s="632">
        <f t="shared" si="12"/>
        <v>100</v>
      </c>
      <c r="X28" s="1335"/>
      <c r="Y28" s="411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4114"/>
      <c r="Q29" s="1334"/>
      <c r="R29" s="631"/>
      <c r="S29" s="632"/>
      <c r="T29" s="631"/>
      <c r="U29" s="632"/>
      <c r="V29" s="631"/>
      <c r="W29" s="632"/>
      <c r="X29" s="1335"/>
      <c r="Y29" s="4114"/>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4114"/>
      <c r="Q30" s="1334" t="str">
        <f t="shared" si="8"/>
        <v>土地级别</v>
      </c>
      <c r="R30" s="631" t="s">
        <v>25</v>
      </c>
      <c r="S30" s="632">
        <f t="shared" si="10"/>
        <v>100</v>
      </c>
      <c r="T30" s="631" t="s">
        <v>25</v>
      </c>
      <c r="U30" s="632">
        <f t="shared" si="11"/>
        <v>100</v>
      </c>
      <c r="V30" s="631" t="s">
        <v>25</v>
      </c>
      <c r="W30" s="632">
        <f t="shared" si="12"/>
        <v>100</v>
      </c>
      <c r="X30" s="1335"/>
      <c r="Y30" s="411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4114"/>
      <c r="Q31" s="1334">
        <f t="shared" si="8"/>
        <v>111</v>
      </c>
      <c r="R31" s="631" t="s">
        <v>25</v>
      </c>
      <c r="S31" s="632">
        <f t="shared" si="10"/>
        <v>100</v>
      </c>
      <c r="T31" s="631" t="s">
        <v>25</v>
      </c>
      <c r="U31" s="632">
        <f t="shared" si="11"/>
        <v>100</v>
      </c>
      <c r="V31" s="631" t="s">
        <v>25</v>
      </c>
      <c r="W31" s="632">
        <f t="shared" si="12"/>
        <v>100</v>
      </c>
      <c r="X31" s="1335"/>
      <c r="Y31" s="4114"/>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4101" t="s">
        <v>2275</v>
      </c>
      <c r="Q32" s="1334">
        <f t="shared" si="8"/>
        <v>111</v>
      </c>
      <c r="R32" s="631" t="s">
        <v>25</v>
      </c>
      <c r="S32" s="632">
        <f t="shared" si="10"/>
        <v>100</v>
      </c>
      <c r="T32" s="631" t="s">
        <v>25</v>
      </c>
      <c r="U32" s="632">
        <f t="shared" si="11"/>
        <v>100</v>
      </c>
      <c r="V32" s="631" t="s">
        <v>25</v>
      </c>
      <c r="W32" s="632">
        <f t="shared" si="12"/>
        <v>100</v>
      </c>
      <c r="X32" s="1335"/>
      <c r="Y32" s="4102" t="s">
        <v>2275</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4102"/>
      <c r="Q33" s="1334">
        <f t="shared" si="8"/>
        <v>111</v>
      </c>
      <c r="R33" s="634" t="s">
        <v>25</v>
      </c>
      <c r="S33" s="635">
        <f t="shared" si="10"/>
        <v>100</v>
      </c>
      <c r="T33" s="634" t="s">
        <v>25</v>
      </c>
      <c r="U33" s="635">
        <f t="shared" si="11"/>
        <v>100</v>
      </c>
      <c r="V33" s="634" t="s">
        <v>25</v>
      </c>
      <c r="W33" s="635">
        <f t="shared" si="12"/>
        <v>100</v>
      </c>
      <c r="X33" s="636"/>
      <c r="Y33" s="4102"/>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4102"/>
      <c r="Q34" s="1334" t="str">
        <f>B34</f>
        <v>宗地面积</v>
      </c>
      <c r="R34" s="631" t="s">
        <v>25</v>
      </c>
      <c r="S34" s="632" t="e">
        <f t="shared" si="10"/>
        <v>#N/A</v>
      </c>
      <c r="T34" s="631" t="s">
        <v>25</v>
      </c>
      <c r="U34" s="632" t="e">
        <f t="shared" si="11"/>
        <v>#N/A</v>
      </c>
      <c r="V34" s="631" t="s">
        <v>25</v>
      </c>
      <c r="W34" s="632" t="e">
        <f t="shared" si="12"/>
        <v>#N/A</v>
      </c>
      <c r="X34" s="1335"/>
      <c r="Y34" s="4102"/>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4"/>
      <c r="M35" s="3025"/>
      <c r="N35" s="3025"/>
      <c r="O35" s="3033"/>
      <c r="P35" s="4102"/>
      <c r="Q35" s="1334" t="str">
        <f t="shared" ref="Q35:Q40" si="14">B35</f>
        <v>宗地形状</v>
      </c>
      <c r="R35" s="631" t="s">
        <v>25</v>
      </c>
      <c r="S35" s="632">
        <f t="shared" si="10"/>
        <v>100</v>
      </c>
      <c r="T35" s="631" t="s">
        <v>25</v>
      </c>
      <c r="U35" s="632">
        <f t="shared" si="11"/>
        <v>100</v>
      </c>
      <c r="V35" s="631" t="s">
        <v>25</v>
      </c>
      <c r="W35" s="632">
        <f t="shared" si="12"/>
        <v>100</v>
      </c>
      <c r="X35" s="1335"/>
      <c r="Y35" s="4102"/>
      <c r="Z35" s="1336" t="str">
        <f t="shared" si="13"/>
        <v>宗地形状</v>
      </c>
      <c r="AA35" s="1337">
        <f t="shared" si="3"/>
        <v>1</v>
      </c>
      <c r="AB35" s="1337">
        <f t="shared" si="4"/>
        <v>1</v>
      </c>
      <c r="AC35" s="1337">
        <f t="shared" si="5"/>
        <v>1</v>
      </c>
    </row>
    <row r="36" spans="1:29" s="25" customFormat="1" ht="15">
      <c r="A36" s="361"/>
      <c r="B36" s="313" t="s">
        <v>2452</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6"/>
      <c r="M36" s="3027"/>
      <c r="N36" s="3027"/>
      <c r="O36" s="3028"/>
      <c r="P36" s="4102"/>
      <c r="Q36" s="1334" t="str">
        <f t="shared" si="14"/>
        <v>宗地开发程度</v>
      </c>
      <c r="R36" s="627" t="s">
        <v>25</v>
      </c>
      <c r="S36" s="628">
        <f t="shared" si="10"/>
        <v>100</v>
      </c>
      <c r="T36" s="627" t="s">
        <v>25</v>
      </c>
      <c r="U36" s="628">
        <f t="shared" si="11"/>
        <v>100</v>
      </c>
      <c r="V36" s="627" t="s">
        <v>25</v>
      </c>
      <c r="W36" s="628">
        <f t="shared" si="12"/>
        <v>100</v>
      </c>
      <c r="X36" s="629"/>
      <c r="Y36" s="4102"/>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4"/>
      <c r="M37" s="3025"/>
      <c r="N37" s="3025"/>
      <c r="O37" s="3033"/>
      <c r="P37" s="4102" t="s">
        <v>2275</v>
      </c>
      <c r="Q37" s="1334" t="str">
        <f t="shared" si="14"/>
        <v>工程地质条件</v>
      </c>
      <c r="R37" s="631" t="s">
        <v>25</v>
      </c>
      <c r="S37" s="632">
        <f t="shared" si="10"/>
        <v>100</v>
      </c>
      <c r="T37" s="631" t="s">
        <v>25</v>
      </c>
      <c r="U37" s="632">
        <f t="shared" si="11"/>
        <v>100</v>
      </c>
      <c r="V37" s="631" t="s">
        <v>25</v>
      </c>
      <c r="W37" s="632">
        <f t="shared" si="12"/>
        <v>100</v>
      </c>
      <c r="X37" s="1335"/>
      <c r="Y37" s="4102" t="s">
        <v>2275</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4102"/>
      <c r="Q38" s="1334">
        <f t="shared" si="14"/>
        <v>111</v>
      </c>
      <c r="R38" s="631" t="s">
        <v>25</v>
      </c>
      <c r="S38" s="632">
        <f t="shared" si="10"/>
        <v>100</v>
      </c>
      <c r="T38" s="631" t="s">
        <v>25</v>
      </c>
      <c r="U38" s="632">
        <f t="shared" si="11"/>
        <v>100</v>
      </c>
      <c r="V38" s="631" t="s">
        <v>25</v>
      </c>
      <c r="W38" s="632">
        <f t="shared" si="12"/>
        <v>100</v>
      </c>
      <c r="X38" s="1335"/>
      <c r="Y38" s="4102"/>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4102"/>
      <c r="Q39" s="1334">
        <f t="shared" si="14"/>
        <v>111</v>
      </c>
      <c r="R39" s="631" t="s">
        <v>25</v>
      </c>
      <c r="S39" s="632">
        <f t="shared" si="10"/>
        <v>100</v>
      </c>
      <c r="T39" s="631" t="s">
        <v>25</v>
      </c>
      <c r="U39" s="632">
        <f t="shared" si="11"/>
        <v>100</v>
      </c>
      <c r="V39" s="631" t="s">
        <v>25</v>
      </c>
      <c r="W39" s="632">
        <f t="shared" si="12"/>
        <v>100</v>
      </c>
      <c r="X39" s="1335"/>
      <c r="Y39" s="4102"/>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4102"/>
      <c r="Q40" s="1334">
        <f t="shared" si="14"/>
        <v>111</v>
      </c>
      <c r="R40" s="634" t="s">
        <v>25</v>
      </c>
      <c r="S40" s="635">
        <f t="shared" si="10"/>
        <v>100</v>
      </c>
      <c r="T40" s="634" t="s">
        <v>25</v>
      </c>
      <c r="U40" s="635">
        <f t="shared" si="11"/>
        <v>100</v>
      </c>
      <c r="V40" s="634" t="s">
        <v>25</v>
      </c>
      <c r="W40" s="635">
        <f t="shared" si="12"/>
        <v>100</v>
      </c>
      <c r="X40" s="636"/>
      <c r="Y40" s="4102"/>
      <c r="Z40" s="637">
        <f t="shared" si="13"/>
        <v>111</v>
      </c>
      <c r="AA40" s="1337">
        <f t="shared" si="3"/>
        <v>1</v>
      </c>
      <c r="AB40" s="1337">
        <f t="shared" si="4"/>
        <v>1</v>
      </c>
      <c r="AC40" s="1337">
        <f t="shared" si="5"/>
        <v>1</v>
      </c>
    </row>
    <row r="41" spans="1:29" ht="15">
      <c r="A41" s="367" t="s">
        <v>2417</v>
      </c>
      <c r="B41" s="1590" t="s">
        <v>2492</v>
      </c>
      <c r="C41" s="562" t="s">
        <v>1</v>
      </c>
      <c r="D41" s="369"/>
      <c r="E41" s="370"/>
      <c r="F41" s="371"/>
      <c r="G41" s="372"/>
      <c r="H41" s="373"/>
      <c r="I41" s="370"/>
      <c r="J41" s="373"/>
      <c r="K41" s="640"/>
      <c r="L41" s="3036"/>
      <c r="M41" s="3025"/>
      <c r="N41" s="3025"/>
      <c r="P41" s="4096" t="str">
        <f>A41</f>
        <v>成交单价</v>
      </c>
      <c r="Q41" s="4096"/>
      <c r="R41" s="4129">
        <f>E41</f>
        <v>0</v>
      </c>
      <c r="S41" s="4129"/>
      <c r="T41" s="4129">
        <f>G41</f>
        <v>0</v>
      </c>
      <c r="U41" s="4129"/>
      <c r="V41" s="4129">
        <f>I41</f>
        <v>0</v>
      </c>
      <c r="W41" s="4129"/>
      <c r="X41" s="618"/>
      <c r="Y41" s="638"/>
      <c r="Z41" s="618"/>
      <c r="AA41" s="618"/>
      <c r="AB41" s="618"/>
      <c r="AC41" s="618"/>
    </row>
    <row r="42" spans="1:29" ht="15.75" thickBot="1">
      <c r="A42" s="374" t="s">
        <v>2370</v>
      </c>
      <c r="B42" s="563"/>
      <c r="C42" s="377" t="e">
        <f>R43</f>
        <v>#DIV/0!</v>
      </c>
      <c r="D42" s="1796" t="s">
        <v>2741</v>
      </c>
      <c r="E42" s="377" t="e">
        <f>R42</f>
        <v>#DIV/0!</v>
      </c>
      <c r="F42" s="1798"/>
      <c r="G42" s="376" t="e">
        <f>T42</f>
        <v>#DIV/0!</v>
      </c>
      <c r="H42" s="1798"/>
      <c r="I42" s="377" t="e">
        <f>V42</f>
        <v>#DIV/0!</v>
      </c>
      <c r="J42" s="1798"/>
      <c r="K42" s="2510">
        <f>F42+H42+J42</f>
        <v>0</v>
      </c>
      <c r="L42" s="3036"/>
      <c r="M42" s="3025"/>
      <c r="N42" s="3025"/>
      <c r="P42" s="4096" t="str">
        <f>A42</f>
        <v>比较价值（元/平方米）</v>
      </c>
      <c r="Q42" s="4096"/>
      <c r="R42" s="4143" t="e">
        <f>ROUND(PRODUCT(R41,AA7:AA40),0)</f>
        <v>#DIV/0!</v>
      </c>
      <c r="S42" s="4143"/>
      <c r="T42" s="4143" t="e">
        <f>ROUND(PRODUCT(T41,AB7:AB40),0)</f>
        <v>#DIV/0!</v>
      </c>
      <c r="U42" s="4143"/>
      <c r="V42" s="4143" t="e">
        <f>ROUND(PRODUCT(V41,AC7:AC40),0)</f>
        <v>#DIV/0!</v>
      </c>
      <c r="W42" s="4143"/>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6"/>
      <c r="M43" s="3025"/>
      <c r="N43" s="3025"/>
      <c r="P43" s="4098" t="str">
        <f>A43</f>
        <v>估价对象XX用房的比较价值（楼面单价，元/平方米）</v>
      </c>
      <c r="Q43" s="4099"/>
      <c r="R43" s="4142" t="e">
        <f>ROUND(IF(D42="简单平均",AVERAGE(R42:W42),R42*F42+T42*H42+V42*J42),0)</f>
        <v>#DIV/0!</v>
      </c>
      <c r="S43" s="4142"/>
      <c r="T43" s="4142"/>
      <c r="U43" s="4142"/>
      <c r="V43" s="4142"/>
      <c r="W43" s="4142"/>
      <c r="X43" s="618"/>
      <c r="Y43" s="618"/>
      <c r="Z43" s="618"/>
      <c r="AA43" s="618"/>
      <c r="AB43" s="618"/>
      <c r="AC43" s="618"/>
    </row>
    <row r="44" spans="1:29">
      <c r="G44" s="3039"/>
      <c r="M44" s="3025"/>
      <c r="N44" s="3025"/>
    </row>
    <row r="45" spans="1:29">
      <c r="M45" s="3025"/>
      <c r="N45" s="3025"/>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2455</v>
      </c>
      <c r="B50" s="565" t="s">
        <v>2456</v>
      </c>
      <c r="C50" s="1591" t="s">
        <v>2457</v>
      </c>
      <c r="D50" s="1592"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2016-7-1</v>
      </c>
      <c r="D63" s="1182">
        <f>EDATE(C63,-3)</f>
        <v>42461</v>
      </c>
      <c r="E63" s="1182">
        <f t="shared" ref="E63:O63" si="18">EDATE(D63,-3)</f>
        <v>42370</v>
      </c>
      <c r="F63" s="1182">
        <f t="shared" si="18"/>
        <v>42278</v>
      </c>
      <c r="G63" s="1182">
        <f t="shared" si="18"/>
        <v>42186</v>
      </c>
      <c r="H63" s="1182">
        <f t="shared" si="18"/>
        <v>42095</v>
      </c>
      <c r="I63" s="1182">
        <f t="shared" si="18"/>
        <v>42005</v>
      </c>
      <c r="J63" s="1182">
        <f t="shared" si="18"/>
        <v>41913</v>
      </c>
      <c r="K63" s="1182">
        <f t="shared" si="18"/>
        <v>41821</v>
      </c>
      <c r="L63" s="1182">
        <f t="shared" si="18"/>
        <v>41730</v>
      </c>
      <c r="M63" s="1182">
        <f t="shared" si="18"/>
        <v>41640</v>
      </c>
      <c r="N63" s="1182">
        <f t="shared" si="18"/>
        <v>41548</v>
      </c>
      <c r="O63" s="1182">
        <f t="shared" si="18"/>
        <v>41456</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4" t="s">
        <v>2474</v>
      </c>
      <c r="B65" s="1126"/>
      <c r="C65" s="1183" t="str">
        <f>YEAR(C63)&amp;"-"&amp;ROUNDUP(MONTH(C63)/3,0)</f>
        <v>2016-3</v>
      </c>
      <c r="D65" s="1183" t="str">
        <f t="shared" ref="D65:O65" si="19">YEAR(D63)&amp;"-"&amp;ROUNDUP(MONTH(D63)/3,0)</f>
        <v>2016-2</v>
      </c>
      <c r="E65" s="1183" t="str">
        <f t="shared" si="19"/>
        <v>2016-1</v>
      </c>
      <c r="F65" s="1183" t="str">
        <f t="shared" si="19"/>
        <v>2015-4</v>
      </c>
      <c r="G65" s="1183" t="str">
        <f t="shared" si="19"/>
        <v>2015-3</v>
      </c>
      <c r="H65" s="1183" t="str">
        <f t="shared" si="19"/>
        <v>2015-2</v>
      </c>
      <c r="I65" s="1183" t="str">
        <f t="shared" si="19"/>
        <v>2015-1</v>
      </c>
      <c r="J65" s="1183" t="str">
        <f t="shared" si="19"/>
        <v>2014-4</v>
      </c>
      <c r="K65" s="1183" t="str">
        <f t="shared" si="19"/>
        <v>2014-3</v>
      </c>
      <c r="L65" s="1183" t="str">
        <f t="shared" si="19"/>
        <v>2014-2</v>
      </c>
      <c r="M65" s="1183" t="str">
        <f t="shared" si="19"/>
        <v>2014-1</v>
      </c>
      <c r="N65" s="1183" t="str">
        <f t="shared" si="19"/>
        <v>2013-4</v>
      </c>
      <c r="O65" s="1183" t="str">
        <f t="shared" si="19"/>
        <v>2013-3</v>
      </c>
      <c r="P65" s="393"/>
    </row>
    <row r="66" spans="1:17" s="25" customFormat="1" ht="33.75" customHeight="1">
      <c r="A66" s="1599" t="s">
        <v>2494</v>
      </c>
      <c r="B66" s="200" t="str">
        <f>"北京市平均增长率"&amp;TEXT(基准地价修正!P24,"0.00%")</f>
        <v>北京市平均增长率1.30%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9"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B00-000000000000}">
      <formula1>单价内涵</formula1>
    </dataValidation>
    <dataValidation type="list" allowBlank="1" showInputMessage="1" showErrorMessage="1" sqref="C22 E22 G22 I22" xr:uid="{00000000-0002-0000-1B00-000001000000}">
      <formula1>环境</formula1>
    </dataValidation>
    <dataValidation type="list" allowBlank="1" showInputMessage="1" showErrorMessage="1" sqref="E18 C18 G18 I18" xr:uid="{00000000-0002-0000-1B00-000002000000}">
      <formula1>交通便捷度</formula1>
    </dataValidation>
    <dataValidation type="list" allowBlank="1" showInputMessage="1" showErrorMessage="1" sqref="E24 C24 I24 G24" xr:uid="{00000000-0002-0000-1B00-000003000000}">
      <formula1>公共配套设施</formula1>
    </dataValidation>
    <dataValidation type="list" allowBlank="1" showInputMessage="1" showErrorMessage="1" sqref="C8 E8 G8 I8" xr:uid="{00000000-0002-0000-1B00-000004000000}">
      <formula1>套工交易情况</formula1>
    </dataValidation>
    <dataValidation type="list" allowBlank="1" showInputMessage="1" showErrorMessage="1" sqref="C9 E9 G9 I9" xr:uid="{00000000-0002-0000-1B00-000005000000}">
      <formula1>套工用途</formula1>
    </dataValidation>
    <dataValidation type="list" allowBlank="1" showInputMessage="1" showErrorMessage="1" sqref="I30 E30 G30" xr:uid="{00000000-0002-0000-1B00-000006000000}">
      <formula1>套工土地级别</formula1>
    </dataValidation>
    <dataValidation type="list" allowBlank="1" showInputMessage="1" showErrorMessage="1" sqref="C27 E27 G27 I27" xr:uid="{00000000-0002-0000-1B00-000007000000}">
      <formula1>临街状况</formula1>
    </dataValidation>
    <dataValidation type="list" allowBlank="1" showInputMessage="1" showErrorMessage="1" sqref="E20 G20 I20 C20" xr:uid="{00000000-0002-0000-1B00-000008000000}">
      <formula1>区域土地利用方向</formula1>
    </dataValidation>
    <dataValidation type="list" allowBlank="1" showInputMessage="1" showErrorMessage="1" sqref="C50" xr:uid="{00000000-0002-0000-1B00-000009000000}">
      <formula1>"北京市系数,其他省市系数"</formula1>
    </dataValidation>
    <dataValidation type="list" allowBlank="1" showInputMessage="1" showErrorMessage="1" sqref="C16 E16 G16 I16" xr:uid="{00000000-0002-0000-1B00-00000A000000}">
      <formula1>产业集聚程度</formula1>
    </dataValidation>
    <dataValidation type="list" allowBlank="1" showInputMessage="1" showErrorMessage="1" sqref="C35 E35 G35 I35" xr:uid="{00000000-0002-0000-1B00-00000B000000}">
      <formula1>套工宗地形状</formula1>
    </dataValidation>
    <dataValidation type="list" allowBlank="1" showInputMessage="1" showErrorMessage="1" sqref="C29 E29 G29 I29" xr:uid="{00000000-0002-0000-1B00-00000C000000}">
      <formula1>套工道路等级</formula1>
    </dataValidation>
    <dataValidation type="list" allowBlank="1" showInputMessage="1" showErrorMessage="1" sqref="C37 E37 G37 I37" xr:uid="{00000000-0002-0000-1B00-00000D000000}">
      <formula1>套工地质条件</formula1>
    </dataValidation>
    <dataValidation type="list" allowBlank="1" showInputMessage="1" showErrorMessage="1" sqref="C36 E36 G36 I36" xr:uid="{00000000-0002-0000-1B00-00000E000000}">
      <formula1>套工宗地内开发程度</formula1>
    </dataValidation>
    <dataValidation type="list" allowBlank="1" showInputMessage="1" showErrorMessage="1" sqref="D52:D60" xr:uid="{00000000-0002-0000-1B00-00000F000000}">
      <formula1>"25%,1"</formula1>
    </dataValidation>
    <dataValidation type="list" allowBlank="1" showInputMessage="1" showErrorMessage="1" sqref="C26 E26 G26 I26" xr:uid="{00000000-0002-0000-1B00-000010000000}">
      <formula1>基础设施水平</formula1>
    </dataValidation>
    <dataValidation type="list" allowBlank="1" showInputMessage="1" showErrorMessage="1" sqref="D42"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估价对象为北京市房地产，为XX所有。根据《》[]，估价对象建筑面积为459.68平方米。根据《》[]，估价对象（分摊）出让国有建设用地使用权面积为平方米。估价对象用途为。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2016年7月7日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本次估价的“房地产价值”是指在正常市场情况下，在价值时点2016年7月7日，估价对象规划用途为，假定未设立法定优先受偿款下的房地产市场价值。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8"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rgb="FF92D050"/>
    <pageSetUpPr fitToPage="1"/>
  </sheetPr>
  <dimension ref="A1:DS57"/>
  <sheetViews>
    <sheetView view="pageBreakPreview" topLeftCell="A31" zoomScaleNormal="80" zoomScaleSheetLayoutView="100" workbookViewId="0">
      <selection activeCell="B3" sqref="B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16303008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35466</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1916</v>
      </c>
      <c r="B5" s="89" t="s">
        <v>1917</v>
      </c>
      <c r="C5" s="111">
        <f>C6+C7+C8</f>
        <v>9090345</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8732081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266328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91936</v>
      </c>
      <c r="D8" s="1170"/>
      <c r="E8" s="115"/>
      <c r="F8" s="1169"/>
      <c r="G8" s="1518" t="s">
        <v>2895</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91936</v>
      </c>
      <c r="D10" s="1172">
        <f>IF('数据-取费表'!B10&lt;&gt;"住宅",IF(B1="仅计算典型户型",'数据-取费表'!E5,'数据-取费表'!B5),0)</f>
        <v>459.68</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459.68</v>
      </c>
      <c r="E19" s="111">
        <f>'数据-取费表'!E15</f>
        <v>200</v>
      </c>
      <c r="F19" s="112"/>
      <c r="G19" s="1518" t="s">
        <v>2896</v>
      </c>
      <c r="I19" s="3177"/>
    </row>
    <row r="20" spans="1:123" s="91" customFormat="1" ht="13.5" customHeight="1">
      <c r="A20" s="120" t="s">
        <v>1940</v>
      </c>
      <c r="B20" s="89" t="s">
        <v>1941</v>
      </c>
      <c r="C20" s="99">
        <f>ROUND((C5+C19)*F20,0)</f>
        <v>272710</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0.05</v>
      </c>
      <c r="D21" s="102" t="s">
        <v>1945</v>
      </c>
      <c r="E21" s="99"/>
      <c r="F21" s="103">
        <f>'数据-取费表'!E26</f>
        <v>0.05</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897047</v>
      </c>
      <c r="D22" s="101">
        <f ca="1">C26</f>
        <v>2.3999999999999998E-3</v>
      </c>
      <c r="E22" s="102" t="s">
        <v>1945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884093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12954</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2.3999999999999998E-3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1404458</v>
      </c>
      <c r="D27" s="101">
        <f>C29</f>
        <v>7.4999999999999997E-3</v>
      </c>
      <c r="E27" s="102" t="s">
        <v>1945</v>
      </c>
      <c r="F27" s="112">
        <f>'数据-取费表'!E28</f>
        <v>0.15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1404458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13153541</v>
      </c>
      <c r="D31" s="1175"/>
      <c r="E31" s="111"/>
      <c r="F31" s="1176"/>
      <c r="G31" s="100" t="s">
        <v>1967</v>
      </c>
    </row>
    <row r="32" spans="1:123" s="88" customFormat="1" ht="15.75">
      <c r="A32" s="117" t="s">
        <v>1968</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1969</v>
      </c>
      <c r="B33" s="89" t="s">
        <v>1970</v>
      </c>
      <c r="C33" s="121">
        <f>SUM(C34:C38)</f>
        <v>2830480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2528240</v>
      </c>
      <c r="D34" s="1167"/>
      <c r="E34" s="115"/>
      <c r="F34" s="1178" t="str">
        <f>IF('数据-取费表'!B26=0,"",'数据-取费表'!E20)</f>
        <v/>
      </c>
      <c r="G34" s="95"/>
    </row>
    <row r="35" spans="1:123" ht="13.5" customHeight="1">
      <c r="A35" s="92" t="s">
        <v>1923</v>
      </c>
      <c r="B35" s="93" t="s">
        <v>1972</v>
      </c>
      <c r="C35" s="115">
        <f>ROUND(C34*F35,0)</f>
        <v>126412</v>
      </c>
      <c r="D35" s="115"/>
      <c r="E35" s="115"/>
      <c r="F35" s="1179">
        <f>'数据-取费表'!E21</f>
        <v>0.05</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137904</v>
      </c>
      <c r="D37" s="1167">
        <f>IF(B1="仅计算典型户型",'数据-取费表'!E5,'数据-取费表'!B5)</f>
        <v>459.68</v>
      </c>
      <c r="E37" s="115">
        <f>'数据-取费表'!E23</f>
        <v>300</v>
      </c>
      <c r="F37" s="1179"/>
      <c r="G37" s="124" t="s">
        <v>1977</v>
      </c>
    </row>
    <row r="38" spans="1:123" ht="13.5" customHeight="1">
      <c r="A38" s="92" t="s">
        <v>1978</v>
      </c>
      <c r="B38" s="93" t="s">
        <v>1979</v>
      </c>
      <c r="C38" s="115">
        <f>ROUND(C34*F38,0)</f>
        <v>37924</v>
      </c>
      <c r="D38" s="115"/>
      <c r="E38" s="115"/>
      <c r="F38" s="1179">
        <f>'数据-取费表'!E24</f>
        <v>1.4999999999999999E-2</v>
      </c>
      <c r="G38" s="95" t="s">
        <v>1973</v>
      </c>
    </row>
    <row r="39" spans="1:123" s="91" customFormat="1" ht="13.5" customHeight="1">
      <c r="A39" s="120" t="s">
        <v>1938</v>
      </c>
      <c r="B39" s="89" t="s">
        <v>1941</v>
      </c>
      <c r="C39" s="99">
        <f>ROUND(C33*F20,0)</f>
        <v>84914</v>
      </c>
      <c r="D39" s="99"/>
      <c r="E39" s="99"/>
      <c r="F39" s="2887">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0.05</v>
      </c>
      <c r="D40" s="102" t="s">
        <v>1981</v>
      </c>
      <c r="E40" s="99"/>
      <c r="F40" s="2887">
        <f>F21</f>
        <v>0.05</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138481</v>
      </c>
      <c r="D41" s="101">
        <f ca="1">C44</f>
        <v>2.3999999999999998E-3</v>
      </c>
      <c r="E41" s="102" t="s">
        <v>1981</v>
      </c>
      <c r="F41" s="2887">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134448</v>
      </c>
      <c r="D42" s="104"/>
      <c r="E42" s="104"/>
      <c r="F42" s="105"/>
      <c r="G42" s="4144" t="s">
        <v>1983</v>
      </c>
    </row>
    <row r="43" spans="1:123" ht="13.5" customHeight="1">
      <c r="A43" s="92" t="s">
        <v>1923</v>
      </c>
      <c r="B43" s="93" t="s">
        <v>1952</v>
      </c>
      <c r="C43" s="104">
        <f ca="1">ROUND(IF('数据-取费表'!B24&lt;=1,C39*F22*'数据-取费表'!B23/2,C39*(POWER((1+F22),'数据-取费表'!B23/2)-1)),0)</f>
        <v>4033</v>
      </c>
      <c r="D43" s="104"/>
      <c r="E43" s="104"/>
      <c r="F43" s="105"/>
      <c r="G43" s="4145"/>
    </row>
    <row r="44" spans="1:123" ht="13.5" customHeight="1">
      <c r="A44" s="92" t="s">
        <v>1925</v>
      </c>
      <c r="B44" s="93" t="s">
        <v>1954</v>
      </c>
      <c r="C44" s="104">
        <f ca="1">ROUND(IF('数据-取费表'!B24&lt;=1,C40*F22*'数据-取费表'!B23/2,C40*(POWER((1+F22),'数据-取费表'!B23/2)-1)),4)</f>
        <v>2.3999999999999998E-3</v>
      </c>
      <c r="D44" s="104"/>
      <c r="E44" s="104"/>
      <c r="F44" s="105"/>
      <c r="G44" s="4146"/>
    </row>
    <row r="45" spans="1:123" s="91" customFormat="1" ht="13.5" customHeight="1">
      <c r="A45" s="120" t="s">
        <v>1947</v>
      </c>
      <c r="B45" s="110" t="s">
        <v>1959</v>
      </c>
      <c r="C45" s="111">
        <f>C46</f>
        <v>437309</v>
      </c>
      <c r="D45" s="101">
        <f>C47</f>
        <v>7.4999999999999997E-3</v>
      </c>
      <c r="E45" s="102" t="s">
        <v>1981</v>
      </c>
      <c r="F45" s="2888">
        <f>F27</f>
        <v>0.15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437309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7">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3936834</v>
      </c>
      <c r="D49" s="99"/>
      <c r="E49" s="99"/>
      <c r="F49" s="126"/>
      <c r="G49" s="100" t="s">
        <v>1991</v>
      </c>
    </row>
    <row r="50" spans="1:123" s="122" customFormat="1" ht="24">
      <c r="A50" s="994" t="s">
        <v>1992</v>
      </c>
      <c r="B50" s="89" t="s">
        <v>1993</v>
      </c>
      <c r="C50" s="99"/>
      <c r="D50" s="99"/>
      <c r="E50" s="99"/>
      <c r="F50" s="126">
        <f>IF('数据-取费表'!B26=0,'数据-取费表'!E20,1)</f>
        <v>0.8</v>
      </c>
      <c r="G50" s="113" t="s">
        <v>1994</v>
      </c>
    </row>
    <row r="51" spans="1:123" ht="16.5" customHeight="1">
      <c r="A51" s="994" t="s">
        <v>1995</v>
      </c>
      <c r="B51" s="89" t="s">
        <v>1996</v>
      </c>
      <c r="C51" s="99">
        <f ca="1">ROUND(C49*F50,0)</f>
        <v>3149467</v>
      </c>
      <c r="D51" s="99"/>
      <c r="E51" s="99"/>
      <c r="F51" s="126"/>
      <c r="G51" s="100" t="s">
        <v>1997</v>
      </c>
    </row>
    <row r="52" spans="1:123" s="88" customFormat="1" ht="16.5" thickBot="1">
      <c r="A52" s="127" t="s">
        <v>1998</v>
      </c>
      <c r="B52" s="128"/>
      <c r="C52" s="129">
        <f ca="1">C31+C51</f>
        <v>16303008</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1999</v>
      </c>
      <c r="C55" s="133"/>
    </row>
    <row r="56" spans="1:123">
      <c r="B56" s="135" t="s">
        <v>2000</v>
      </c>
      <c r="C56" s="136">
        <f ca="1">ROUND(C51/C52,3)</f>
        <v>0.193</v>
      </c>
    </row>
    <row r="57" spans="1:123">
      <c r="B57" s="135" t="s">
        <v>2001</v>
      </c>
      <c r="C57" s="137">
        <f ca="1">1-C56</f>
        <v>0.80699999999999994</v>
      </c>
    </row>
  </sheetData>
  <sheetProtection password="CEE9" sheet="1" objects="1" scenarios="1" formatCells="0" formatColumns="0" formatRows="0"/>
  <mergeCells count="1">
    <mergeCell ref="G42:G44"/>
  </mergeCells>
  <phoneticPr fontId="17" type="noConversion"/>
  <dataValidations count="5">
    <dataValidation type="list" allowBlank="1" showInputMessage="1" showErrorMessage="1" sqref="G19" xr:uid="{00000000-0002-0000-1C00-000000000000}">
      <formula1>"已包含在土地取得成本中,未包含在土地取得成本中"</formula1>
    </dataValidation>
    <dataValidation type="list" allowBlank="1" showInputMessage="1" showErrorMessage="1" sqref="G8" xr:uid="{00000000-0002-0000-1C00-000001000000}">
      <formula1>"已包含在土地购买价格中,未包含在土地购买价格中"</formula1>
    </dataValidation>
    <dataValidation type="list" allowBlank="1" showInputMessage="1" showErrorMessage="1" sqref="B1" xr:uid="{00000000-0002-0000-1C00-000002000000}">
      <formula1>"估价对象,仅计算典型户型"</formula1>
    </dataValidation>
    <dataValidation type="list" allowBlank="1" showInputMessage="1" showErrorMessage="1" sqref="G2" xr:uid="{00000000-0002-0000-1C00-000003000000}">
      <formula1>估价方法</formula1>
    </dataValidation>
    <dataValidation type="list" allowBlank="1" showInputMessage="1" showErrorMessage="1" sqref="D2" xr:uid="{00000000-0002-0000-1C00-000004000000}">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92D050"/>
  </sheetPr>
  <dimension ref="A1:AJ118"/>
  <sheetViews>
    <sheetView view="pageBreakPreview" topLeftCell="A14" zoomScale="90" zoomScaleNormal="90" zoomScaleSheetLayoutView="90" workbookViewId="0">
      <selection activeCell="C59" sqref="C59:C67"/>
    </sheetView>
  </sheetViews>
  <sheetFormatPr defaultColWidth="9" defaultRowHeight="12.75"/>
  <cols>
    <col min="1" max="1" width="9.75" style="1623" customWidth="1"/>
    <col min="2" max="2" width="20.37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2495</v>
      </c>
      <c r="B1" s="2097"/>
      <c r="C1" s="2098" t="s">
        <v>2496</v>
      </c>
      <c r="D1" s="2099">
        <f>SUM(D29:D30,D33:D39)</f>
        <v>919.36</v>
      </c>
      <c r="E1" s="2099"/>
      <c r="F1" s="2099"/>
      <c r="G1" s="2099"/>
      <c r="H1" s="2099"/>
      <c r="I1" s="2099"/>
      <c r="J1" s="2099"/>
      <c r="K1" s="3049"/>
      <c r="L1" s="2100" t="s">
        <v>2497</v>
      </c>
      <c r="M1" s="2101">
        <f>SUMPRODUCT((区片价!B5:B9=I2)*(区片价!C3:F3=E2)*(区片价!C5:F9))</f>
        <v>0</v>
      </c>
      <c r="N1" s="2102">
        <f>SUMPRODUCT((因素修正幅度!B5:B9=I2)*(因素修正幅度!C3:F3=E2)*(因素修正幅度!C5:F9))</f>
        <v>0</v>
      </c>
      <c r="O1" s="3049"/>
      <c r="P1" s="3049"/>
      <c r="Q1" s="3049"/>
      <c r="R1" s="2103" t="s">
        <v>2498</v>
      </c>
      <c r="S1" s="2103" t="s">
        <v>2499</v>
      </c>
      <c r="T1" s="2103" t="s">
        <v>2500</v>
      </c>
      <c r="U1" s="2103" t="s">
        <v>2501</v>
      </c>
      <c r="V1" s="2103" t="s">
        <v>2502</v>
      </c>
      <c r="W1" s="2104"/>
      <c r="X1" s="2104"/>
      <c r="Y1" s="2104"/>
      <c r="Z1" s="2104"/>
      <c r="AA1" s="2104"/>
      <c r="AB1" s="2104"/>
      <c r="AC1" s="2104"/>
      <c r="AD1" s="2105"/>
      <c r="AE1" s="2105"/>
      <c r="AF1" s="2105"/>
      <c r="AG1" s="2105"/>
      <c r="AH1" s="2105"/>
      <c r="AI1" s="2105"/>
      <c r="AJ1" s="2106"/>
    </row>
    <row r="2" spans="1:36" ht="24.75">
      <c r="A2" s="1960" t="s">
        <v>2503</v>
      </c>
      <c r="B2" s="1658">
        <f>C26</f>
        <v>10626882</v>
      </c>
      <c r="C2" s="2107" t="s">
        <v>2504</v>
      </c>
      <c r="D2" s="1601" t="s">
        <v>2505</v>
      </c>
      <c r="E2" s="2108" t="s">
        <v>2941</v>
      </c>
      <c r="F2" s="1601" t="s">
        <v>2506</v>
      </c>
      <c r="G2" s="2109" t="str">
        <f>项目基本情况!F9</f>
        <v>三级</v>
      </c>
      <c r="H2" s="1602" t="s">
        <v>2507</v>
      </c>
      <c r="I2" s="2109" t="str">
        <f>项目基本情况!F10</f>
        <v>Ⅲ—05</v>
      </c>
      <c r="J2" s="2110"/>
      <c r="K2" s="3049"/>
      <c r="L2" s="2111" t="s">
        <v>2508</v>
      </c>
      <c r="M2" s="2112">
        <f>SUMPRODUCT((区片价!B10:B28=I2)*(区片价!C3:F3=E2)*(区片价!C10:F28))</f>
        <v>0</v>
      </c>
      <c r="N2" s="2113">
        <f>SUMPRODUCT((因素修正幅度!B10:B28=I2)*(因素修正幅度!C3:F3=E2)*(因素修正幅度!C10:F28))</f>
        <v>0</v>
      </c>
      <c r="O2" s="3049"/>
      <c r="P2" s="3049"/>
      <c r="Q2" s="3049"/>
      <c r="R2" s="2103">
        <v>1</v>
      </c>
      <c r="S2" s="2103">
        <f>ROUND(IF(G3&gt;1,IF(R2&lt;7,SUMPRODUCT((B93:B98=R2)*(C92:N92=G2)*(C93:N98)),SUMIF(C92:N92,G2,C100:N100)),IF(R2&lt;7,SUMPRODUCT((B102:B107=R2)*(C92:N92=G2)*(C102:N107)),SUMIF(C92:N92,G2,C109:N109))),4)</f>
        <v>1.8629</v>
      </c>
      <c r="T2" s="2103">
        <f>ROUND($C$5*$C$18*$C$19*$C$20*S2*$C$24,0)</f>
        <v>42425</v>
      </c>
      <c r="U2" s="2114"/>
      <c r="V2" s="2103">
        <f>ROUND(T2*U2/10000,0)</f>
        <v>0</v>
      </c>
      <c r="W2" s="2104"/>
      <c r="X2" s="2104"/>
      <c r="Y2" s="2104"/>
      <c r="Z2" s="2104"/>
      <c r="AA2" s="2104"/>
      <c r="AB2" s="2104"/>
      <c r="AC2" s="2104"/>
      <c r="AD2" s="2105"/>
      <c r="AE2" s="2105"/>
      <c r="AF2" s="2105"/>
      <c r="AG2" s="2105"/>
      <c r="AH2" s="2105"/>
      <c r="AI2" s="2105"/>
      <c r="AJ2" s="2106"/>
    </row>
    <row r="3" spans="1:36" ht="25.5">
      <c r="A3" s="1658" t="s">
        <v>2509</v>
      </c>
      <c r="B3" s="1658">
        <f>ROUND(B2/D1,0)</f>
        <v>11559</v>
      </c>
      <c r="C3" s="2107" t="s">
        <v>2510</v>
      </c>
      <c r="D3" s="1601" t="s">
        <v>2511</v>
      </c>
      <c r="E3" s="2108" t="s">
        <v>2943</v>
      </c>
      <c r="F3" s="1603" t="s">
        <v>2512</v>
      </c>
      <c r="G3" s="2115">
        <f>项目基本情况!C15</f>
        <v>4.6399999999999997</v>
      </c>
      <c r="H3" s="50" t="s">
        <v>2513</v>
      </c>
      <c r="I3" s="2116"/>
      <c r="J3" s="2110" t="s">
        <v>2514</v>
      </c>
      <c r="K3" s="3049"/>
      <c r="L3" s="2111" t="s">
        <v>2515</v>
      </c>
      <c r="M3" s="2112">
        <f>SUMPRODUCT((区片价!B29:B48=I2)*(区片价!C3:F3=E2)*(区片价!C29:F48))</f>
        <v>20460</v>
      </c>
      <c r="N3" s="2113">
        <f>SUMPRODUCT((因素修正幅度!B29:B48=I2)*(因素修正幅度!C3:F3=E2)*(因素修正幅度!C29:F48))</f>
        <v>9.4E-2</v>
      </c>
      <c r="O3" s="3049"/>
      <c r="P3" s="3049"/>
      <c r="Q3" s="3049"/>
      <c r="R3" s="2103">
        <v>2</v>
      </c>
      <c r="S3" s="2103">
        <f>ROUND(IF(G3&gt;1,IF(R3&lt;7,SUMPRODUCT((B93:B98=R3)*(C92:N92=G2)*(C93:N98)),SUMIF(C92:N92,G2,C100:N100)),IF(R3&lt;7,SUMPRODUCT((B102:B107=R3)*(C92:N92=G2)*(C102:N107)),SUMIF(C92:N92,G2,C109:N109))),4)</f>
        <v>1.3371999999999999</v>
      </c>
      <c r="T3" s="2103">
        <f t="shared" ref="T3:T16" si="0">ROUND($C$5*$C$18*$C$19*$C$20*S3*$C$24,0)</f>
        <v>30453</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4149"/>
      <c r="B4" s="4150"/>
      <c r="C4" s="4150"/>
      <c r="D4" s="4151"/>
      <c r="E4" s="4151"/>
      <c r="F4" s="4151"/>
      <c r="G4" s="4151"/>
      <c r="H4" s="4151"/>
      <c r="I4" s="4151"/>
      <c r="J4" s="4152"/>
      <c r="K4" s="3049"/>
      <c r="L4" s="2111" t="s">
        <v>2516</v>
      </c>
      <c r="M4" s="2112">
        <f>SUMPRODUCT((区片价!B49:B75=I2)*(区片价!C3:F3=E2)*(区片价!C49:F75))</f>
        <v>0</v>
      </c>
      <c r="N4" s="2113">
        <f>SUMPRODUCT((因素修正幅度!B49:B75=I2)*(因素修正幅度!C3:F3=E2)*(因素修正幅度!C49:F75))</f>
        <v>0</v>
      </c>
      <c r="O4" s="3049"/>
      <c r="P4" s="3049"/>
      <c r="Q4" s="3049"/>
      <c r="R4" s="2103">
        <v>3</v>
      </c>
      <c r="S4" s="2103">
        <f>ROUND(IF(G3&gt;1,IF(R4&lt;7,SUMPRODUCT((B93:B98=R4)*(C92:N92=G2)*(C93:N98)),SUMIF(C92:N92,G2,C100:N100)),IF(R4&lt;7,SUMPRODUCT((B102:B107=R4)*(C92:N92=G2)*(C102:N107)),SUMIF(C92:N92,G2,C109:N109))),4)</f>
        <v>1.0788</v>
      </c>
      <c r="T4" s="2103">
        <f t="shared" si="0"/>
        <v>24568</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2517</v>
      </c>
      <c r="B5" s="1604" t="s">
        <v>2518</v>
      </c>
      <c r="C5" s="2117">
        <f>ROUND(IF(E2="商业",C6*C7+C16,(IF(E2="住宅",C6*C12+C16,C6+C16))),0)</f>
        <v>20424</v>
      </c>
      <c r="D5" s="2118">
        <f>ROUND(C6+C16,0)</f>
        <v>20424</v>
      </c>
      <c r="E5" s="2118"/>
      <c r="F5" s="2119"/>
      <c r="G5" s="2120"/>
      <c r="H5" s="2120"/>
      <c r="I5" s="2120"/>
      <c r="J5" s="2077"/>
      <c r="K5" s="1666"/>
      <c r="L5" s="2111" t="s">
        <v>2519</v>
      </c>
      <c r="M5" s="2112">
        <f>SUMPRODUCT((区片价!B76:B109=I2)*(区片价!C3:F3=E2)*(区片价!C76:F109))</f>
        <v>0</v>
      </c>
      <c r="N5" s="2113">
        <f>SUMPRODUCT((因素修正幅度!B76:B109=I2)*(因素修正幅度!C3:F3=E2)*(因素修正幅度!C76:F109))</f>
        <v>0</v>
      </c>
      <c r="O5" s="3049"/>
      <c r="P5" s="3049"/>
      <c r="Q5" s="3049"/>
      <c r="R5" s="2103">
        <v>4</v>
      </c>
      <c r="S5" s="2103">
        <f>ROUND(IF(G3&gt;1,IF(R5&lt;7,SUMPRODUCT((B93:B98=R5)*(C92:N92=G2)*(C93:N98)),SUMIF(C92:N92,G2,C100:N100)),IF(R5&lt;7,SUMPRODUCT((B102:B107=R5)*(C92:N92=G2)*(C102:N107)),SUMIF(C92:N92,G2,C109:N109))),4)</f>
        <v>0.86560000000000004</v>
      </c>
      <c r="T5" s="2103">
        <f t="shared" si="0"/>
        <v>19713</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2520</v>
      </c>
      <c r="C6" s="2126">
        <f>SUMIF(L1:L12,G2,M1:M12)</f>
        <v>20460</v>
      </c>
      <c r="D6" s="2127" t="s">
        <v>2521</v>
      </c>
      <c r="E6" s="1605"/>
      <c r="F6" s="1605"/>
      <c r="G6" s="2128"/>
      <c r="H6" s="2128"/>
      <c r="I6" s="2128"/>
      <c r="J6" s="2129"/>
      <c r="K6" s="3050"/>
      <c r="L6" s="2111" t="s">
        <v>2522</v>
      </c>
      <c r="M6" s="2112">
        <f>SUMPRODUCT((区片价!B110:B157=I2)*(区片价!C3:F3=E2)*(区片价!C110:F157))</f>
        <v>0</v>
      </c>
      <c r="N6" s="2113">
        <f>SUMPRODUCT((因素修正幅度!B110:B157=I2)*(因素修正幅度!C3:F3=E2)*(因素修正幅度!C110:F157))</f>
        <v>0</v>
      </c>
      <c r="O6" s="3049"/>
      <c r="P6" s="3049"/>
      <c r="Q6" s="3049"/>
      <c r="R6" s="2103">
        <v>5</v>
      </c>
      <c r="S6" s="2103">
        <f>ROUND(IF(G3&gt;1,IF(R6&lt;7,SUMPRODUCT((B93:B98=R6)*(C92:N92=G2)*(C93:N98)),SUMIF(C92:N92,G2,C100:N100)),IF(R6&lt;7,SUMPRODUCT((B102:B107=R6)*(C92:N92=G2)*(C102:N107)),SUMIF(C92:N92,G2,C109:N109))),4)</f>
        <v>0.73709999999999998</v>
      </c>
      <c r="T6" s="2103">
        <f t="shared" si="0"/>
        <v>16787</v>
      </c>
      <c r="U6" s="2114"/>
      <c r="V6" s="2103">
        <f t="shared" si="1"/>
        <v>0</v>
      </c>
      <c r="W6" s="2104"/>
      <c r="X6" s="2104"/>
      <c r="Y6" s="2104"/>
      <c r="Z6" s="2104"/>
      <c r="AA6" s="2104"/>
      <c r="AB6" s="2104"/>
      <c r="AC6" s="2121"/>
      <c r="AD6" s="2122"/>
      <c r="AE6" s="2122"/>
      <c r="AF6" s="2122"/>
      <c r="AG6" s="2122"/>
      <c r="AH6" s="2122"/>
      <c r="AI6" s="2122"/>
      <c r="AJ6" s="2123"/>
    </row>
    <row r="7" spans="1:36" ht="24">
      <c r="A7" s="4153" t="str">
        <f>IF(E2="商业",IF(C8="不临58条商业街","",2),"")</f>
        <v/>
      </c>
      <c r="B7" s="1606" t="s">
        <v>2523</v>
      </c>
      <c r="C7" s="2130">
        <f>IF(C8="不临58条商业街",1,ROUND(1+(1.6*E8+1.2*E9+0.8*E10+0.4*E11)*C9,4))</f>
        <v>1</v>
      </c>
      <c r="D7" s="2131" t="s">
        <v>2524</v>
      </c>
      <c r="E7" s="2132"/>
      <c r="F7" s="2133"/>
      <c r="G7" s="2133"/>
      <c r="H7" s="2133"/>
      <c r="I7" s="2133"/>
      <c r="J7" s="2134"/>
      <c r="K7" s="3050"/>
      <c r="L7" s="2111" t="s">
        <v>2525</v>
      </c>
      <c r="M7" s="2112">
        <f>SUMPRODUCT((区片价!B158:B205=I2)*(区片价!C3:F3=E2)*(区片价!C158:F205))</f>
        <v>0</v>
      </c>
      <c r="N7" s="2113">
        <f>SUMPRODUCT((因素修正幅度!B158:B205=I2)*(因素修正幅度!C3:F3=E2)*(因素修正幅度!C158:F205))</f>
        <v>0</v>
      </c>
      <c r="O7" s="3049"/>
      <c r="P7" s="3049"/>
      <c r="Q7" s="3049"/>
      <c r="R7" s="2103">
        <v>6</v>
      </c>
      <c r="S7" s="2103">
        <f>ROUND(IF(G3&gt;1,IF(R7&lt;7,SUMPRODUCT((B93:B98=R7)*(C92:N92=G2)*(C93:N98)),SUMIF(C92:N92,G2,C100:N100)),IF(R7&lt;7,SUMPRODUCT((B102:B107=R7)*(C92:N92=G2)*(C102:N107)),SUMIF(C92:N92,G2,C109:N109))),4)</f>
        <v>0.6482</v>
      </c>
      <c r="T7" s="2103">
        <f t="shared" si="0"/>
        <v>14762</v>
      </c>
      <c r="U7" s="2114"/>
      <c r="V7" s="2103">
        <f t="shared" si="1"/>
        <v>0</v>
      </c>
      <c r="W7" s="2135" t="s">
        <v>2526</v>
      </c>
      <c r="X7" s="2136" t="str">
        <f>G2</f>
        <v>三级</v>
      </c>
      <c r="Y7" s="2136" t="s">
        <v>2527</v>
      </c>
      <c r="Z7" s="2137">
        <f>G3</f>
        <v>4.6399999999999997</v>
      </c>
      <c r="AA7" s="2104"/>
      <c r="AB7" s="2104"/>
      <c r="AC7" s="2104"/>
      <c r="AD7" s="2105"/>
      <c r="AE7" s="2105"/>
      <c r="AF7" s="2105"/>
      <c r="AG7" s="2105"/>
      <c r="AH7" s="2105"/>
      <c r="AI7" s="2105"/>
      <c r="AJ7" s="2106"/>
    </row>
    <row r="8" spans="1:36" ht="15">
      <c r="A8" s="4154"/>
      <c r="B8" s="50" t="s">
        <v>2528</v>
      </c>
      <c r="C8" s="2138" t="s">
        <v>2894</v>
      </c>
      <c r="D8" s="65" t="s">
        <v>89</v>
      </c>
      <c r="E8" s="2139" t="e">
        <f>ROUND(C11/E7,4)</f>
        <v>#DIV/0!</v>
      </c>
      <c r="F8" s="2140" t="s">
        <v>2529</v>
      </c>
      <c r="G8" s="2141"/>
      <c r="H8" s="2141"/>
      <c r="I8" s="2141"/>
      <c r="J8" s="2142"/>
      <c r="K8" s="3049"/>
      <c r="L8" s="2111" t="s">
        <v>2530</v>
      </c>
      <c r="M8" s="2112">
        <f>SUMPRODUCT((区片价!B206:B244=I2)*(区片价!C3:F3=E2)*(区片价!C206:F244))</f>
        <v>0</v>
      </c>
      <c r="N8" s="2113">
        <f>SUMPRODUCT((因素修正幅度!B206:B244=I2)*(因素修正幅度!C3:F3=E2)*(因素修正幅度!C206:F244))</f>
        <v>0</v>
      </c>
      <c r="O8" s="3049"/>
      <c r="P8" s="3049"/>
      <c r="Q8" s="3049"/>
      <c r="R8" s="2103">
        <v>7</v>
      </c>
      <c r="S8" s="2114"/>
      <c r="T8" s="2103">
        <f t="shared" si="0"/>
        <v>0</v>
      </c>
      <c r="U8" s="2114"/>
      <c r="V8" s="2103">
        <f t="shared" si="1"/>
        <v>0</v>
      </c>
      <c r="W8" s="4147" t="s">
        <v>2531</v>
      </c>
      <c r="X8" s="4148"/>
      <c r="Y8" s="2143" t="s">
        <v>2532</v>
      </c>
      <c r="Z8" s="2143" t="s">
        <v>2533</v>
      </c>
      <c r="AA8" s="2143" t="s">
        <v>2534</v>
      </c>
      <c r="AB8" s="2143" t="s">
        <v>2535</v>
      </c>
      <c r="AC8" s="2143" t="s">
        <v>2536</v>
      </c>
      <c r="AD8" s="2143" t="s">
        <v>2537</v>
      </c>
      <c r="AE8" s="2143" t="s">
        <v>2538</v>
      </c>
      <c r="AF8" s="2143" t="s">
        <v>2539</v>
      </c>
      <c r="AG8" s="2143" t="s">
        <v>2540</v>
      </c>
      <c r="AH8" s="2143" t="s">
        <v>2541</v>
      </c>
      <c r="AI8" s="2143" t="s">
        <v>2542</v>
      </c>
      <c r="AJ8" s="2143" t="s">
        <v>2543</v>
      </c>
    </row>
    <row r="9" spans="1:36" ht="15">
      <c r="A9" s="4154"/>
      <c r="B9" s="50" t="s">
        <v>2544</v>
      </c>
      <c r="C9" s="2144">
        <f>SUMIF(修正!C59:C119,C8,修正!E59:E119)</f>
        <v>0</v>
      </c>
      <c r="D9" s="50" t="s">
        <v>90</v>
      </c>
      <c r="E9" s="50" t="e">
        <f>ROUND(C11/E7,4)</f>
        <v>#DIV/0!</v>
      </c>
      <c r="F9" s="2140" t="s">
        <v>2545</v>
      </c>
      <c r="G9" s="2141"/>
      <c r="H9" s="2141"/>
      <c r="I9" s="2141"/>
      <c r="J9" s="2142"/>
      <c r="K9" s="3049"/>
      <c r="L9" s="2111" t="s">
        <v>2546</v>
      </c>
      <c r="M9" s="2112">
        <f>SUMPRODUCT((区片价!B245:B289=I2)*(区片价!C3:F3=E2)*(区片价!C245:F289))</f>
        <v>0</v>
      </c>
      <c r="N9" s="2113">
        <f>SUMPRODUCT((因素修正幅度!B245:B289=I2)*(因素修正幅度!C3:F3=E2)*(因素修正幅度!C245:F289))</f>
        <v>0</v>
      </c>
      <c r="O9" s="3049"/>
      <c r="P9" s="3049"/>
      <c r="Q9" s="3049"/>
      <c r="R9" s="2103">
        <v>8</v>
      </c>
      <c r="S9" s="2114"/>
      <c r="T9" s="2103">
        <f t="shared" si="0"/>
        <v>0</v>
      </c>
      <c r="U9" s="2114"/>
      <c r="V9" s="2103">
        <f t="shared" si="1"/>
        <v>0</v>
      </c>
      <c r="W9" s="4148" t="s">
        <v>2547</v>
      </c>
      <c r="X9" s="2145" t="s">
        <v>2548</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4154"/>
      <c r="B10" s="50" t="s">
        <v>2549</v>
      </c>
      <c r="C10" s="50">
        <f>SUMIF(修正!C59:C119,C8,修正!F59:F119)</f>
        <v>0</v>
      </c>
      <c r="D10" s="50" t="s">
        <v>91</v>
      </c>
      <c r="E10" s="50" t="e">
        <f>ROUND(C11/E7,4)</f>
        <v>#DIV/0!</v>
      </c>
      <c r="F10" s="2140" t="s">
        <v>2550</v>
      </c>
      <c r="G10" s="2141"/>
      <c r="H10" s="2141"/>
      <c r="I10" s="2141"/>
      <c r="J10" s="2142"/>
      <c r="K10" s="3049"/>
      <c r="L10" s="2111" t="s">
        <v>2551</v>
      </c>
      <c r="M10" s="2112">
        <f>SUMPRODUCT((区片价!B290:B316=I2)*(区片价!C3:F3=E2)*(区片价!C290:F316))</f>
        <v>0</v>
      </c>
      <c r="N10" s="2113">
        <f>SUMPRODUCT((因素修正幅度!B290:B316=I2)*(因素修正幅度!C3:F3=E2)*(因素修正幅度!C290:F316))</f>
        <v>0</v>
      </c>
      <c r="O10" s="3049"/>
      <c r="P10" s="3049"/>
      <c r="Q10" s="3049"/>
      <c r="R10" s="2103">
        <v>9</v>
      </c>
      <c r="S10" s="2114"/>
      <c r="T10" s="2103">
        <f t="shared" si="0"/>
        <v>0</v>
      </c>
      <c r="U10" s="2114"/>
      <c r="V10" s="2103">
        <f t="shared" si="1"/>
        <v>0</v>
      </c>
      <c r="W10" s="4148"/>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4154"/>
      <c r="B11" s="1607" t="s">
        <v>2552</v>
      </c>
      <c r="C11" s="1607">
        <f>C10/4</f>
        <v>0</v>
      </c>
      <c r="D11" s="1607" t="s">
        <v>92</v>
      </c>
      <c r="E11" s="1607" t="e">
        <f>ROUND(C11/E7,4)</f>
        <v>#DIV/0!</v>
      </c>
      <c r="F11" s="2149" t="s">
        <v>2553</v>
      </c>
      <c r="G11" s="2150"/>
      <c r="H11" s="2150"/>
      <c r="I11" s="2150"/>
      <c r="J11" s="2151"/>
      <c r="K11" s="3049"/>
      <c r="L11" s="2111" t="s">
        <v>2554</v>
      </c>
      <c r="M11" s="2112">
        <f>SUMPRODUCT((区片价!B317:B337=I2)*(区片价!C3:F3=E2)*(区片价!C317:F337))</f>
        <v>0</v>
      </c>
      <c r="N11" s="2113">
        <f>SUMPRODUCT((因素修正幅度!B317:B337=I2)*(因素修正幅度!C3:F3=E2)*(因素修正幅度!C317:F337))</f>
        <v>0</v>
      </c>
      <c r="O11" s="3049"/>
      <c r="P11" s="3049"/>
      <c r="Q11" s="3049"/>
      <c r="R11" s="2103">
        <v>10</v>
      </c>
      <c r="S11" s="2114"/>
      <c r="T11" s="2103">
        <f t="shared" si="0"/>
        <v>0</v>
      </c>
      <c r="U11" s="2114"/>
      <c r="V11" s="2103">
        <f t="shared" si="1"/>
        <v>0</v>
      </c>
      <c r="W11" s="4148" t="s">
        <v>2555</v>
      </c>
      <c r="X11" s="2152" t="s">
        <v>2556</v>
      </c>
      <c r="Y11" s="2153">
        <f>$G$3</f>
        <v>4.6399999999999997</v>
      </c>
      <c r="Z11" s="2153">
        <f t="shared" ref="Z11:AJ11" si="3">$G$3</f>
        <v>4.6399999999999997</v>
      </c>
      <c r="AA11" s="2153">
        <f t="shared" si="3"/>
        <v>4.6399999999999997</v>
      </c>
      <c r="AB11" s="2153">
        <f t="shared" si="3"/>
        <v>4.6399999999999997</v>
      </c>
      <c r="AC11" s="2153">
        <f t="shared" si="3"/>
        <v>4.6399999999999997</v>
      </c>
      <c r="AD11" s="2153">
        <f t="shared" si="3"/>
        <v>4.6399999999999997</v>
      </c>
      <c r="AE11" s="2153">
        <f t="shared" si="3"/>
        <v>4.6399999999999997</v>
      </c>
      <c r="AF11" s="2153">
        <f t="shared" si="3"/>
        <v>4.6399999999999997</v>
      </c>
      <c r="AG11" s="2153">
        <f t="shared" si="3"/>
        <v>4.6399999999999997</v>
      </c>
      <c r="AH11" s="2153">
        <f t="shared" si="3"/>
        <v>4.6399999999999997</v>
      </c>
      <c r="AI11" s="2153">
        <f t="shared" si="3"/>
        <v>4.6399999999999997</v>
      </c>
      <c r="AJ11" s="2153">
        <f t="shared" si="3"/>
        <v>4.6399999999999997</v>
      </c>
    </row>
    <row r="12" spans="1:36" ht="25.5" thickBot="1">
      <c r="A12" s="4153" t="str">
        <f>IF(E2="住宅",2,"")</f>
        <v/>
      </c>
      <c r="B12" s="1608" t="s">
        <v>2557</v>
      </c>
      <c r="C12" s="2130">
        <f>ROUND(C15*D15*E15*F15*G15*H15*I15*J15,4)</f>
        <v>1.1000000000000001</v>
      </c>
      <c r="D12" s="2154" t="s">
        <v>2558</v>
      </c>
      <c r="E12" s="2155"/>
      <c r="F12" s="2155"/>
      <c r="G12" s="2155"/>
      <c r="H12" s="2155"/>
      <c r="I12" s="2155"/>
      <c r="J12" s="2156"/>
      <c r="K12" s="3049"/>
      <c r="L12" s="2157" t="s">
        <v>2559</v>
      </c>
      <c r="M12" s="2158">
        <f>SUMPRODUCT((区片价!B338:B344=I2)*(区片价!C3:F3=E2)*(区片价!C338:F344))</f>
        <v>0</v>
      </c>
      <c r="N12" s="2159">
        <f>SUMPRODUCT((因素修正幅度!B338:B344=I2)*(因素修正幅度!C3:F3=E2)*(因素修正幅度!C338:F344))</f>
        <v>0</v>
      </c>
      <c r="O12" s="3049"/>
      <c r="P12" s="3049"/>
      <c r="Q12" s="3049"/>
      <c r="R12" s="2103">
        <v>11</v>
      </c>
      <c r="S12" s="2114"/>
      <c r="T12" s="2103">
        <f t="shared" si="0"/>
        <v>0</v>
      </c>
      <c r="U12" s="2114"/>
      <c r="V12" s="2103">
        <f t="shared" si="1"/>
        <v>0</v>
      </c>
      <c r="W12" s="4148"/>
      <c r="X12" s="2160" t="s">
        <v>2560</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4155"/>
      <c r="B13" s="1609" t="s">
        <v>2561</v>
      </c>
      <c r="C13" s="2161" t="s">
        <v>2562</v>
      </c>
      <c r="D13" s="1610" t="s">
        <v>2563</v>
      </c>
      <c r="E13" s="1610" t="s">
        <v>2564</v>
      </c>
      <c r="F13" s="264" t="s">
        <v>2565</v>
      </c>
      <c r="G13" s="2162" t="s">
        <v>2566</v>
      </c>
      <c r="H13" s="2162" t="s">
        <v>2566</v>
      </c>
      <c r="I13" s="2162" t="s">
        <v>2566</v>
      </c>
      <c r="J13" s="2163" t="s">
        <v>2566</v>
      </c>
      <c r="K13" s="3049"/>
      <c r="L13" s="3049"/>
      <c r="M13" s="3049"/>
      <c r="N13" s="3049"/>
      <c r="O13" s="3049"/>
      <c r="P13" s="3049"/>
      <c r="Q13" s="3049"/>
      <c r="R13" s="2103">
        <v>12</v>
      </c>
      <c r="S13" s="2114"/>
      <c r="T13" s="2103">
        <f t="shared" si="0"/>
        <v>0</v>
      </c>
      <c r="U13" s="2114"/>
      <c r="V13" s="2103">
        <f t="shared" si="1"/>
        <v>0</v>
      </c>
      <c r="W13" s="4148"/>
      <c r="X13" s="2160"/>
      <c r="Y13" s="2148">
        <f>(-0.163*(Y12^2)-0.59*Y12+7617)*(10^(-4))/Y11</f>
        <v>0.16415948275862072</v>
      </c>
      <c r="Z13" s="2148">
        <f t="shared" ref="Z13:AJ13" si="5">(-0.163*(Z12^2)-0.59*Z12+7617)*(10^(-4))/Z11</f>
        <v>0.16415948275862072</v>
      </c>
      <c r="AA13" s="2148">
        <f t="shared" si="5"/>
        <v>0.16415948275862072</v>
      </c>
      <c r="AB13" s="2148">
        <f t="shared" si="5"/>
        <v>0.16415948275862072</v>
      </c>
      <c r="AC13" s="2148">
        <f t="shared" si="5"/>
        <v>0.16415948275862072</v>
      </c>
      <c r="AD13" s="2148">
        <f t="shared" si="5"/>
        <v>0.16415948275862072</v>
      </c>
      <c r="AE13" s="2148">
        <f t="shared" si="5"/>
        <v>0.16415948275862072</v>
      </c>
      <c r="AF13" s="2148">
        <f t="shared" si="5"/>
        <v>0.16415948275862072</v>
      </c>
      <c r="AG13" s="2148">
        <f t="shared" si="5"/>
        <v>0.16415948275862072</v>
      </c>
      <c r="AH13" s="2148">
        <f t="shared" si="5"/>
        <v>0.16415948275862072</v>
      </c>
      <c r="AI13" s="2148">
        <f t="shared" si="5"/>
        <v>0.16415948275862072</v>
      </c>
      <c r="AJ13" s="2148">
        <f t="shared" si="5"/>
        <v>0.16415948275862072</v>
      </c>
    </row>
    <row r="14" spans="1:36" ht="15">
      <c r="A14" s="4155"/>
      <c r="B14" s="1610"/>
      <c r="C14" s="2164" t="s">
        <v>2951</v>
      </c>
      <c r="D14" s="2165" t="s">
        <v>2567</v>
      </c>
      <c r="E14" s="2165" t="s">
        <v>2567</v>
      </c>
      <c r="F14" s="2166" t="s">
        <v>2932</v>
      </c>
      <c r="G14" s="2167" t="s">
        <v>2568</v>
      </c>
      <c r="H14" s="2168"/>
      <c r="I14" s="2169"/>
      <c r="J14" s="2170"/>
      <c r="K14" s="3049"/>
      <c r="L14" s="3049"/>
      <c r="M14" s="3049"/>
      <c r="N14" s="3049"/>
      <c r="O14" s="3049"/>
      <c r="P14" s="3049"/>
      <c r="Q14" s="3049"/>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4156"/>
      <c r="B15" s="1611" t="s">
        <v>2569</v>
      </c>
      <c r="C15" s="2171">
        <f>IF(C14="有",1.1,1)</f>
        <v>1</v>
      </c>
      <c r="D15" s="2171">
        <f>IF(D14="有",1.1,1)</f>
        <v>1</v>
      </c>
      <c r="E15" s="2171">
        <f>IF(E14="有",1.1,1)</f>
        <v>1</v>
      </c>
      <c r="F15" s="2171">
        <f>IF(F14="500米范围内",1.2,IF(F14="500-1000米",1.1,1))</f>
        <v>1.1000000000000001</v>
      </c>
      <c r="G15" s="2172">
        <v>1</v>
      </c>
      <c r="H15" s="2172">
        <v>1</v>
      </c>
      <c r="I15" s="2172">
        <v>1</v>
      </c>
      <c r="J15" s="2173">
        <v>1</v>
      </c>
      <c r="K15" s="3049"/>
      <c r="L15" s="3049"/>
      <c r="M15" s="3049"/>
      <c r="N15" s="3049"/>
      <c r="O15" s="3049"/>
      <c r="P15" s="3049"/>
      <c r="Q15" s="3049"/>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4157">
        <f>IF(E2="办公",2,IF(E2="工业",2,IF(E2="住宅",3,IF(E2="商业",IF(C8="不临58条商业街",2,3)))))</f>
        <v>2</v>
      </c>
      <c r="B16" s="1630" t="s">
        <v>2575</v>
      </c>
      <c r="C16" s="1606">
        <f>ROUND(IF(F17="与级别开发程度一致",0,(G17-E17)/C17),0)</f>
        <v>-36</v>
      </c>
      <c r="D16" s="4170" t="s">
        <v>2579</v>
      </c>
      <c r="E16" s="4171"/>
      <c r="F16" s="4170" t="s">
        <v>2576</v>
      </c>
      <c r="G16" s="4171"/>
      <c r="H16" s="2174" t="s">
        <v>2944</v>
      </c>
      <c r="I16" s="2174" t="s">
        <v>2945</v>
      </c>
      <c r="J16" s="2175" t="s">
        <v>2946</v>
      </c>
      <c r="K16" s="2174" t="s">
        <v>2947</v>
      </c>
      <c r="L16" s="2174" t="s">
        <v>2948</v>
      </c>
      <c r="M16" s="2174" t="s">
        <v>2949</v>
      </c>
      <c r="N16" s="2174"/>
      <c r="O16" s="2176"/>
      <c r="P16" s="3049"/>
      <c r="Q16" s="3049"/>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4158"/>
      <c r="B17" s="1631" t="s">
        <v>2578</v>
      </c>
      <c r="C17" s="2177">
        <f>SUMPRODUCT((修正!A2:A5=E2)*(修正!B1:M1=G2)*(修正!B2:M5))</f>
        <v>2.5</v>
      </c>
      <c r="D17" s="2171" t="str">
        <f>IF(OR(G2="八级",G2="九级",G2="十级",G2="十一级",G2="十二级"),"五通一平","七通一平")</f>
        <v>七通一平</v>
      </c>
      <c r="E17" s="2178">
        <f>SUMPRODUCT((修正!B1:M1=G2)*(修正!B15:M15))</f>
        <v>300</v>
      </c>
      <c r="F17" s="2179" t="s">
        <v>2950</v>
      </c>
      <c r="G17" s="1620">
        <f>SUM(H17:O17)</f>
        <v>210</v>
      </c>
      <c r="H17" s="2177">
        <f>SUMPRODUCT((七通一平=H16)*(修正!B1:M1=G2)*(修正!B6:M14))</f>
        <v>65</v>
      </c>
      <c r="I17" s="2177">
        <f>SUMPRODUCT((七通一平=I16)*(修正!B1:M1=G2)*(修正!B6:M14))</f>
        <v>55</v>
      </c>
      <c r="J17" s="2180">
        <f>SUMPRODUCT((七通一平=J16)*(修正!B1:M1=G2)*(修正!B6:M14))</f>
        <v>15</v>
      </c>
      <c r="K17" s="2177">
        <f>SUMPRODUCT((七通一平=K16)*(修正!B1:M1=G2)*(修正!B6:M14))</f>
        <v>25</v>
      </c>
      <c r="L17" s="2177">
        <f>SUMPRODUCT((七通一平=L16)*(修正!B1:M1=G2)*(修正!B6:M14))</f>
        <v>35</v>
      </c>
      <c r="M17" s="2177">
        <f>SUMPRODUCT((七通一平=M16)*(修正!B1:M1=G2)*(修正!B6:M14))</f>
        <v>15</v>
      </c>
      <c r="N17" s="2177">
        <f>SUMPRODUCT((七通一平=N16)*(修正!B1:M1=G2)*(修正!B6:M14))</f>
        <v>0</v>
      </c>
      <c r="O17" s="2181">
        <f>SUMPRODUCT((七通一平=O16)*(修正!B1:M1=G2)*(修正!B6:M14))</f>
        <v>0</v>
      </c>
      <c r="P17" s="3049"/>
      <c r="Q17" s="3049"/>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2581</v>
      </c>
      <c r="B18" s="1629" t="s">
        <v>2582</v>
      </c>
      <c r="C18" s="2183">
        <f>SUMIF(修正!C18:C39,E3,修正!E18:E39)</f>
        <v>1</v>
      </c>
      <c r="D18" s="2184"/>
      <c r="E18" s="2185"/>
      <c r="F18" s="2185"/>
      <c r="G18" s="2185"/>
      <c r="H18" s="2185"/>
      <c r="I18" s="2185"/>
      <c r="J18" s="2186"/>
      <c r="K18" s="3051"/>
      <c r="L18" s="3051"/>
      <c r="M18" s="3051"/>
      <c r="N18" s="3051"/>
      <c r="O18" s="3049"/>
      <c r="P18" s="3049"/>
      <c r="Q18" s="3049"/>
      <c r="R18" s="3049"/>
      <c r="S18" s="3049"/>
      <c r="T18" s="3049"/>
      <c r="U18" s="3049"/>
      <c r="V18" s="3049"/>
      <c r="W18" s="3049"/>
      <c r="X18" s="1622"/>
      <c r="Y18" s="1622"/>
      <c r="Z18" s="1622"/>
      <c r="AA18" s="1622"/>
      <c r="AB18" s="1622"/>
      <c r="AC18" s="1622"/>
      <c r="AD18" s="1622"/>
      <c r="AE18" s="1622"/>
      <c r="AF18" s="1622"/>
      <c r="AG18" s="1623"/>
      <c r="AH18" s="1623"/>
      <c r="AI18" s="1623"/>
    </row>
    <row r="19" spans="1:35" s="2124" customFormat="1" ht="29.25" thickBot="1">
      <c r="A19" s="2182" t="s">
        <v>2583</v>
      </c>
      <c r="B19" s="1612" t="s">
        <v>2584</v>
      </c>
      <c r="C19" s="2188">
        <f>ROUND(IF(H19="按公示增长率计算",SUMPRODUCT((地价!A3:A34=YEAR(G19)&amp;"-"&amp;ROUNDUP(MONTH(G19)/3,0))*(地价!X2:AB2=E2)*(地价!X3:AB34)),IF(H19="地价指数",M20/M19,(1+I19)^O19)),4)</f>
        <v>1.1494</v>
      </c>
      <c r="D19" s="2189" t="s">
        <v>2585</v>
      </c>
      <c r="E19" s="2190">
        <v>41640</v>
      </c>
      <c r="F19" s="2189" t="s">
        <v>2586</v>
      </c>
      <c r="G19" s="2191">
        <f>'数据-取费表'!B2</f>
        <v>42558</v>
      </c>
      <c r="H19" s="2192" t="s">
        <v>2721</v>
      </c>
      <c r="I19" s="2193" t="str">
        <f>IF(H19="季度增幅（自定义）",SUMIF(N21:N24,E2,O21:O24),"")</f>
        <v/>
      </c>
      <c r="J19" s="2194"/>
      <c r="K19" s="3051"/>
      <c r="L19" s="2075" t="s">
        <v>2587</v>
      </c>
      <c r="M19" s="2195">
        <f>ROUND(SUMIF(地价!B2:F2,E2,地价!B34:F34),0)</f>
        <v>258</v>
      </c>
      <c r="N19" s="2196" t="s">
        <v>2588</v>
      </c>
      <c r="O19" s="2197">
        <f>ROUNDDOWN(DATEDIF(E19,G19,"M")/3,0)</f>
        <v>10</v>
      </c>
      <c r="P19" s="3049"/>
      <c r="Q19" s="3051"/>
      <c r="R19" s="3049"/>
      <c r="S19" s="3049"/>
      <c r="T19" s="3049"/>
      <c r="U19" s="3049"/>
      <c r="V19" s="3049"/>
      <c r="W19" s="3049"/>
      <c r="X19" s="1622"/>
      <c r="Y19" s="1622"/>
      <c r="Z19" s="1622"/>
      <c r="AA19" s="1622"/>
      <c r="AB19" s="1622"/>
      <c r="AC19" s="1622"/>
      <c r="AD19" s="1622"/>
      <c r="AE19" s="2187"/>
      <c r="AF19" s="2198"/>
      <c r="AG19" s="2199"/>
      <c r="AH19" s="1623"/>
    </row>
    <row r="20" spans="1:35" s="2124" customFormat="1" ht="27.75" thickBot="1">
      <c r="A20" s="1717" t="s">
        <v>2589</v>
      </c>
      <c r="B20" s="1613" t="s">
        <v>2590</v>
      </c>
      <c r="C20" s="2200">
        <f>ROUND(POWER(1+G20,J20-I20)*(POWER(1+G20,I20)-1)/(POWER(1+G20,J20)-1),4)</f>
        <v>0.90980000000000005</v>
      </c>
      <c r="D20" s="2201" t="s">
        <v>2591</v>
      </c>
      <c r="E20" s="3151">
        <f>存贷款利率!E18/100</f>
        <v>4.3499999999999997E-2</v>
      </c>
      <c r="F20" s="2201" t="s">
        <v>2580</v>
      </c>
      <c r="G20" s="3152">
        <f>SUMIF(M26:P26,E2,M28:P28)</f>
        <v>5.1999999999999998E-2</v>
      </c>
      <c r="H20" s="2201" t="s">
        <v>2592</v>
      </c>
      <c r="I20" s="2202">
        <f>'数据-取费表'!B13</f>
        <v>35.869999999999997</v>
      </c>
      <c r="J20" s="2203">
        <f>IF(E2="住宅",70,IF(E2="商业",40,50))</f>
        <v>50</v>
      </c>
      <c r="K20" s="3051"/>
      <c r="L20" s="2204" t="s">
        <v>2593</v>
      </c>
      <c r="M20" s="2205">
        <f>ROUND(SUMPRODUCT((地价!A4:A34=YEAR(G19)&amp;"-"&amp;ROUNDUP(MONTH(G19)/3,0))*(地价!B2:F2=E2)*(地价!B4:F34)),0)</f>
        <v>296</v>
      </c>
      <c r="N20" s="2206" t="s">
        <v>2594</v>
      </c>
      <c r="O20" s="2207" t="s">
        <v>2595</v>
      </c>
      <c r="P20" s="2208" t="s">
        <v>2596</v>
      </c>
      <c r="Q20" s="3051"/>
      <c r="R20" s="3049"/>
      <c r="S20" s="3049"/>
      <c r="T20" s="3049"/>
      <c r="U20" s="3049"/>
      <c r="V20" s="3049"/>
      <c r="W20" s="3049"/>
      <c r="X20" s="1622"/>
      <c r="Y20" s="1622"/>
      <c r="Z20" s="1622"/>
      <c r="AA20" s="1622"/>
      <c r="AB20" s="1622"/>
      <c r="AC20" s="1622"/>
      <c r="AD20" s="1622"/>
      <c r="AE20" s="2187"/>
      <c r="AF20" s="2187"/>
    </row>
    <row r="21" spans="1:35" s="2124" customFormat="1" ht="15">
      <c r="A21" s="2209" t="s">
        <v>2597</v>
      </c>
      <c r="B21" s="1614" t="s">
        <v>2893</v>
      </c>
      <c r="C21" s="2210">
        <f>IF(B21="容积率修正",IF(G3&lt;=10,D22,J22),C23)</f>
        <v>0.83409999999999995</v>
      </c>
      <c r="D21" s="2211"/>
      <c r="E21" s="2211"/>
      <c r="F21" s="2211"/>
      <c r="G21" s="2211"/>
      <c r="H21" s="2211"/>
      <c r="I21" s="2211"/>
      <c r="J21" s="2076"/>
      <c r="K21" s="3051"/>
      <c r="L21" s="3051"/>
      <c r="M21" s="3051"/>
      <c r="N21" s="2212" t="s">
        <v>2598</v>
      </c>
      <c r="O21" s="2213"/>
      <c r="P21" s="2214">
        <f>SUMPRODUCT((地价!A3:A34=YEAR(G19)&amp;"-"&amp;ROUNDUP(MONTH(G19)/3,0))*(地价!AD2:AH2=N21)*(地价!AD3:AH34))</f>
        <v>1.49E-2</v>
      </c>
      <c r="Q21" s="3051"/>
      <c r="R21" s="3049"/>
      <c r="S21" s="3049"/>
      <c r="T21" s="3049"/>
      <c r="U21" s="3049"/>
      <c r="V21" s="3049"/>
      <c r="W21" s="3049"/>
      <c r="X21" s="1622"/>
      <c r="Y21" s="1622"/>
      <c r="Z21" s="1622"/>
      <c r="AA21" s="1622"/>
      <c r="AB21" s="1622"/>
      <c r="AC21" s="1622"/>
      <c r="AD21" s="1622"/>
      <c r="AE21" s="2187"/>
      <c r="AF21" s="2187"/>
    </row>
    <row r="22" spans="1:35" s="2124" customFormat="1" ht="14.25">
      <c r="A22" s="2072">
        <v>1</v>
      </c>
      <c r="B22" s="2071" t="s">
        <v>2599</v>
      </c>
      <c r="C22" s="2071" t="s">
        <v>2600</v>
      </c>
      <c r="D22" s="2071">
        <f>IF(E22=G22,F22,IF(G3&lt;=10,ROUND(F22+(H22-F22)*(G3-E22)/(G22-E22),4),"——"))</f>
        <v>0.83409999999999995</v>
      </c>
      <c r="E22" s="2115">
        <f>ROUNDDOWN(G3,1)</f>
        <v>4.5999999999999996</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0.83579999999999999</v>
      </c>
      <c r="G22" s="2115">
        <f>ROUNDUP(G3,1)</f>
        <v>4.6999999999999993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0.83160000000000001</v>
      </c>
      <c r="I22" s="2071" t="s">
        <v>104</v>
      </c>
      <c r="J22" s="2215" t="str">
        <f>IF(G3&gt;10,D113,"——")</f>
        <v>——</v>
      </c>
      <c r="K22" s="3051"/>
      <c r="L22" s="3051"/>
      <c r="M22" s="3051"/>
      <c r="N22" s="2212" t="s">
        <v>2601</v>
      </c>
      <c r="O22" s="2213"/>
      <c r="P22" s="2214">
        <f>SUMPRODUCT((地价!A3:A34=YEAR(G19)&amp;"-"&amp;ROUNDUP(MONTH(G19)/3,0))*(地价!AD2:AH2=N22)*(地价!AD3:AH34))</f>
        <v>1.49E-2</v>
      </c>
      <c r="Q22" s="3051"/>
      <c r="R22" s="3049"/>
      <c r="S22" s="3049"/>
      <c r="T22" s="3049"/>
      <c r="U22" s="3049"/>
      <c r="V22" s="3049"/>
      <c r="W22" s="3049"/>
      <c r="X22" s="1622"/>
      <c r="Y22" s="1622"/>
      <c r="Z22" s="1622"/>
      <c r="AA22" s="1622"/>
      <c r="AB22" s="1622"/>
      <c r="AC22" s="1622"/>
      <c r="AD22" s="1622"/>
      <c r="AE22" s="2187"/>
      <c r="AF22" s="2187"/>
    </row>
    <row r="23" spans="1:35" ht="15">
      <c r="A23" s="2072">
        <v>2</v>
      </c>
      <c r="B23" s="2071" t="s">
        <v>2602</v>
      </c>
      <c r="C23" s="2216">
        <f>ROUND(IF(G3&gt;1,IF(I3&lt;7,SUMPRODUCT((B93:B98=I3)*(C92:N92=G2)*(C93:N98)),SUMIF(C92:N92,G2,C100:N100)),IF(I3&lt;7,SUMPRODUCT((B102:B107=I3)*(C92:N92=G2)*(C102:N107)),SUMIF(C92:N92,G2,C109:N109))),4)</f>
        <v>0</v>
      </c>
      <c r="D23" s="2168"/>
      <c r="E23" s="2168"/>
      <c r="F23" s="2217"/>
      <c r="G23" s="2218"/>
      <c r="H23" s="1619"/>
      <c r="I23" s="2071"/>
      <c r="J23" s="2215"/>
      <c r="K23" s="3049"/>
      <c r="L23" s="3049"/>
      <c r="M23" s="3049"/>
      <c r="N23" s="2212" t="s">
        <v>2603</v>
      </c>
      <c r="O23" s="2213"/>
      <c r="P23" s="2214">
        <f>SUMPRODUCT((地价!A3:A34=YEAR(G19)&amp;"-"&amp;ROUNDUP(MONTH(G19)/3,0))*(地价!AD2:AH2=N23)*(地价!AD3:AH34))</f>
        <v>2.3099999999999999E-2</v>
      </c>
      <c r="Q23" s="3049"/>
      <c r="R23" s="3049"/>
      <c r="S23" s="3049"/>
      <c r="T23" s="3049"/>
      <c r="U23" s="3049"/>
      <c r="V23" s="3049"/>
      <c r="W23" s="3049"/>
      <c r="X23" s="1622"/>
      <c r="Y23" s="1622"/>
      <c r="Z23" s="1622"/>
      <c r="AA23" s="1622"/>
      <c r="AB23" s="1622"/>
      <c r="AC23" s="1622"/>
      <c r="AD23" s="1622"/>
      <c r="AE23" s="1622"/>
      <c r="AF23" s="1622"/>
    </row>
    <row r="24" spans="1:35" s="2124" customFormat="1" ht="15.75" thickBot="1">
      <c r="A24" s="2219" t="s">
        <v>2604</v>
      </c>
      <c r="B24" s="1616" t="s">
        <v>2605</v>
      </c>
      <c r="C24" s="2220">
        <f>SUMIF(A46:A88,E2,B46:B88)</f>
        <v>1.0663</v>
      </c>
      <c r="D24" s="2221"/>
      <c r="E24" s="2222"/>
      <c r="F24" s="2222"/>
      <c r="G24" s="2222"/>
      <c r="H24" s="2222"/>
      <c r="I24" s="2222"/>
      <c r="J24" s="2223"/>
      <c r="K24" s="3051"/>
      <c r="L24" s="3051"/>
      <c r="M24" s="3051"/>
      <c r="N24" s="2224" t="s">
        <v>2606</v>
      </c>
      <c r="O24" s="2225"/>
      <c r="P24" s="2226">
        <f>SUMPRODUCT((地价!A3:A34=YEAR(G19)&amp;"-"&amp;ROUNDUP(MONTH(G19)/3,0))*(地价!AD2:AH2=N24)*(地价!AD3:AH34))</f>
        <v>1.2999999999999999E-2</v>
      </c>
      <c r="Q24" s="3051"/>
      <c r="R24" s="3049"/>
      <c r="S24" s="3049"/>
      <c r="T24" s="3049"/>
      <c r="U24" s="3049"/>
      <c r="V24" s="3049"/>
      <c r="W24" s="3049"/>
      <c r="X24" s="1622"/>
      <c r="Y24" s="1622"/>
      <c r="Z24" s="1622"/>
      <c r="AA24" s="1622"/>
      <c r="AB24" s="1622"/>
      <c r="AC24" s="1622"/>
      <c r="AD24" s="1622"/>
      <c r="AE24" s="2187"/>
      <c r="AF24" s="2187"/>
    </row>
    <row r="25" spans="1:35" ht="15" thickBot="1">
      <c r="A25" s="1717" t="s">
        <v>2607</v>
      </c>
      <c r="B25" s="1617" t="s">
        <v>2608</v>
      </c>
      <c r="C25" s="2227"/>
      <c r="D25" s="2133"/>
      <c r="E25" s="2133"/>
      <c r="F25" s="2228"/>
      <c r="G25" s="2133"/>
      <c r="H25" s="2133"/>
      <c r="I25" s="2133"/>
      <c r="J25" s="2134"/>
      <c r="K25" s="3049"/>
      <c r="L25" s="3049"/>
      <c r="M25" s="3049"/>
      <c r="N25" s="3052" t="s">
        <v>2609</v>
      </c>
      <c r="O25" s="3053"/>
      <c r="P25" s="3054">
        <f>SUMPRODUCT((地价!A3:A34=YEAR(G19)&amp;"-"&amp;ROUNDUP(MONTH(G19)/3,0))*(地价!AD2:AH2=N25)*(地价!AD3:AH34))</f>
        <v>2.0899999999999998E-2</v>
      </c>
      <c r="Q25" s="3049"/>
      <c r="R25" s="3049"/>
      <c r="S25" s="3049"/>
      <c r="T25" s="3049"/>
      <c r="U25" s="3049"/>
      <c r="V25" s="3049"/>
      <c r="W25" s="3049"/>
      <c r="X25" s="1622"/>
      <c r="Y25" s="1622"/>
      <c r="Z25" s="1622"/>
      <c r="AA25" s="1622"/>
      <c r="AB25" s="1622"/>
      <c r="AC25" s="1622"/>
      <c r="AD25" s="1622"/>
      <c r="AE25" s="1622"/>
      <c r="AF25" s="1622"/>
    </row>
    <row r="26" spans="1:35" ht="15">
      <c r="A26" s="1702"/>
      <c r="B26" s="2071" t="s">
        <v>2610</v>
      </c>
      <c r="C26" s="2889">
        <f>IF(B21="容积率修正",E29+SUM(E33:E39),SUM(V2:V16)+SUM(E33:E39))</f>
        <v>10626882</v>
      </c>
      <c r="D26" s="2229"/>
      <c r="E26" s="2168"/>
      <c r="F26" s="1478"/>
      <c r="G26" s="2168"/>
      <c r="H26" s="2168"/>
      <c r="I26" s="2168"/>
      <c r="J26" s="2230"/>
      <c r="K26" s="3049"/>
      <c r="L26" s="3055" t="s">
        <v>2570</v>
      </c>
      <c r="M26" s="2131" t="s">
        <v>2571</v>
      </c>
      <c r="N26" s="2131" t="s">
        <v>2572</v>
      </c>
      <c r="O26" s="2131" t="s">
        <v>2573</v>
      </c>
      <c r="P26" s="3056" t="s">
        <v>2574</v>
      </c>
      <c r="Q26" s="3049"/>
      <c r="R26" s="3049"/>
      <c r="S26" s="3049"/>
      <c r="T26" s="3049"/>
      <c r="U26" s="3049"/>
      <c r="V26" s="3049"/>
      <c r="W26" s="3049"/>
      <c r="X26" s="1622"/>
      <c r="Y26" s="1622"/>
      <c r="Z26" s="1622"/>
      <c r="AA26" s="1622"/>
      <c r="AB26" s="1622"/>
      <c r="AC26" s="1622"/>
      <c r="AD26" s="1622"/>
      <c r="AE26" s="1622"/>
      <c r="AF26" s="1622"/>
    </row>
    <row r="27" spans="1:35" ht="15.75" thickBot="1">
      <c r="A27" s="1702"/>
      <c r="B27" s="1618" t="s">
        <v>2611</v>
      </c>
      <c r="C27" s="2231">
        <f>E30+SUM(I33:I39)</f>
        <v>473930</v>
      </c>
      <c r="D27" s="2180"/>
      <c r="E27" s="2232"/>
      <c r="F27" s="2233"/>
      <c r="G27" s="2232"/>
      <c r="H27" s="2232"/>
      <c r="I27" s="2232"/>
      <c r="J27" s="2234"/>
      <c r="K27" s="3049"/>
      <c r="L27" s="2235" t="s">
        <v>2577</v>
      </c>
      <c r="M27" s="2144">
        <v>0.25</v>
      </c>
      <c r="N27" s="2144">
        <v>0.2</v>
      </c>
      <c r="O27" s="2144">
        <v>0.15</v>
      </c>
      <c r="P27" s="2236">
        <v>0.1</v>
      </c>
      <c r="Q27" s="3049"/>
      <c r="R27" s="3049"/>
      <c r="S27" s="3049"/>
      <c r="T27" s="3049"/>
      <c r="U27" s="3049"/>
      <c r="V27" s="3049"/>
      <c r="W27" s="3049"/>
      <c r="X27" s="1622"/>
      <c r="Y27" s="1622"/>
      <c r="Z27" s="1622"/>
      <c r="AA27" s="1622"/>
      <c r="AB27" s="1622"/>
      <c r="AC27" s="1622"/>
      <c r="AD27" s="1622"/>
      <c r="AE27" s="1622"/>
      <c r="AF27" s="1622"/>
    </row>
    <row r="28" spans="1:35" ht="15.75" thickBot="1">
      <c r="A28" s="1717"/>
      <c r="B28" s="2237" t="s">
        <v>2612</v>
      </c>
      <c r="C28" s="2238" t="s">
        <v>2613</v>
      </c>
      <c r="D28" s="2238" t="s">
        <v>2614</v>
      </c>
      <c r="E28" s="1617" t="s">
        <v>2615</v>
      </c>
      <c r="F28" s="2239"/>
      <c r="G28" s="2155"/>
      <c r="H28" s="2155"/>
      <c r="I28" s="2155"/>
      <c r="J28" s="2156"/>
      <c r="K28" s="3049"/>
      <c r="L28" s="2240" t="s">
        <v>2580</v>
      </c>
      <c r="M28" s="2241">
        <f>ROUND($E$20*(1+M27),3)</f>
        <v>5.3999999999999999E-2</v>
      </c>
      <c r="N28" s="2241">
        <f>ROUND($E$20*(1+N27),3)</f>
        <v>5.1999999999999998E-2</v>
      </c>
      <c r="O28" s="2241">
        <f>ROUND($E$20*(1+O27),3)</f>
        <v>0.05</v>
      </c>
      <c r="P28" s="2159">
        <f>ROUND($E$20*(1+P27),3)</f>
        <v>4.8000000000000001E-2</v>
      </c>
      <c r="Q28" s="3049"/>
      <c r="R28" s="3049"/>
      <c r="S28" s="3049"/>
      <c r="T28" s="3049"/>
      <c r="U28" s="3049"/>
      <c r="V28" s="3049"/>
      <c r="W28" s="3049"/>
      <c r="X28" s="1622"/>
      <c r="Y28" s="1622"/>
      <c r="Z28" s="1622"/>
      <c r="AA28" s="1622"/>
      <c r="AB28" s="1622"/>
      <c r="AC28" s="1622"/>
      <c r="AD28" s="1622"/>
      <c r="AE28" s="1622"/>
      <c r="AF28" s="1622"/>
    </row>
    <row r="29" spans="1:35">
      <c r="A29" s="2242"/>
      <c r="B29" s="1619" t="s">
        <v>2616</v>
      </c>
      <c r="C29" s="54">
        <f>ROUND(C5*C18*C19*C20*C21*C24,0)</f>
        <v>18996</v>
      </c>
      <c r="D29" s="2243">
        <f>项目基本情况!C12</f>
        <v>459.68</v>
      </c>
      <c r="E29" s="2030">
        <f>ROUND(C29*D29,0)</f>
        <v>8732081</v>
      </c>
      <c r="F29" s="2244" t="s">
        <v>2617</v>
      </c>
      <c r="G29" s="2245"/>
      <c r="H29" s="2245"/>
      <c r="I29" s="2245"/>
      <c r="J29" s="2246"/>
      <c r="K29" s="3049"/>
      <c r="L29" s="3049"/>
      <c r="M29" s="3049"/>
      <c r="N29" s="3049"/>
      <c r="O29" s="3049"/>
      <c r="P29" s="3049"/>
      <c r="Q29" s="3049"/>
      <c r="R29" s="3049"/>
      <c r="S29" s="3049"/>
      <c r="T29" s="3049"/>
      <c r="U29" s="3049"/>
      <c r="V29" s="3049"/>
      <c r="W29" s="3049"/>
      <c r="X29" s="1622"/>
      <c r="Y29" s="1622"/>
      <c r="Z29" s="1622"/>
      <c r="AA29" s="1622"/>
      <c r="AB29" s="1622"/>
      <c r="AC29" s="1622"/>
      <c r="AD29" s="1622"/>
      <c r="AE29" s="1622"/>
      <c r="AF29" s="1622"/>
    </row>
    <row r="30" spans="1:35" ht="25.5" thickBot="1">
      <c r="A30" s="2247"/>
      <c r="B30" s="1620" t="s">
        <v>2618</v>
      </c>
      <c r="C30" s="2171">
        <f>ROUND(IF(E2="工业",C29*M39,C29*M38),0)</f>
        <v>4749</v>
      </c>
      <c r="D30" s="2248"/>
      <c r="E30" s="2030">
        <f>ROUND(C30*D30,0)</f>
        <v>0</v>
      </c>
      <c r="F30" s="2249" t="s">
        <v>2619</v>
      </c>
      <c r="G30" s="2250"/>
      <c r="H30" s="2250"/>
      <c r="I30" s="2250"/>
      <c r="J30" s="2251"/>
      <c r="K30" s="3049"/>
      <c r="L30" s="3049"/>
      <c r="M30" s="3049"/>
      <c r="N30" s="3049"/>
      <c r="O30" s="3049"/>
      <c r="P30" s="3049"/>
      <c r="Q30" s="3049"/>
      <c r="R30" s="3049"/>
      <c r="S30" s="3049"/>
      <c r="T30" s="3049"/>
      <c r="U30" s="3049"/>
      <c r="V30" s="3049"/>
      <c r="W30" s="3049"/>
      <c r="X30" s="1622"/>
      <c r="Y30" s="1622"/>
      <c r="Z30" s="1622"/>
      <c r="AA30" s="1622"/>
      <c r="AB30" s="1622"/>
      <c r="AC30" s="1622"/>
      <c r="AD30" s="1622"/>
      <c r="AE30" s="1622"/>
      <c r="AF30" s="1622"/>
    </row>
    <row r="31" spans="1:35">
      <c r="A31" s="2252"/>
      <c r="B31" s="1621" t="s">
        <v>2620</v>
      </c>
      <c r="C31" s="2253" t="s">
        <v>2621</v>
      </c>
      <c r="D31" s="2155"/>
      <c r="E31" s="2253"/>
      <c r="F31" s="2253"/>
      <c r="G31" s="2154" t="s">
        <v>2622</v>
      </c>
      <c r="H31" s="2155"/>
      <c r="I31" s="2254"/>
      <c r="J31" s="2156"/>
      <c r="K31" s="3049"/>
      <c r="L31" s="3049"/>
      <c r="M31" s="3049"/>
      <c r="N31" s="3049"/>
      <c r="O31" s="3049"/>
      <c r="P31" s="3049"/>
      <c r="Q31" s="3049"/>
      <c r="R31" s="3049"/>
      <c r="S31" s="3049"/>
      <c r="T31" s="3049"/>
      <c r="U31" s="3049"/>
      <c r="V31" s="3049"/>
      <c r="W31" s="3049"/>
      <c r="X31" s="1622"/>
      <c r="Y31" s="1622"/>
      <c r="Z31" s="1622"/>
      <c r="AA31" s="1622"/>
      <c r="AB31" s="1622"/>
      <c r="AC31" s="1622"/>
      <c r="AD31" s="1622"/>
      <c r="AE31" s="1622"/>
      <c r="AF31" s="1622"/>
    </row>
    <row r="32" spans="1:35" ht="24">
      <c r="A32" s="2242"/>
      <c r="B32" s="2255"/>
      <c r="C32" s="1810" t="s">
        <v>2613</v>
      </c>
      <c r="D32" s="1807" t="s">
        <v>2614</v>
      </c>
      <c r="E32" s="1807" t="s">
        <v>2615</v>
      </c>
      <c r="F32" s="50" t="s">
        <v>2623</v>
      </c>
      <c r="G32" s="2216" t="s">
        <v>2613</v>
      </c>
      <c r="H32" s="2216" t="s">
        <v>2614</v>
      </c>
      <c r="I32" s="2216" t="s">
        <v>2615</v>
      </c>
      <c r="J32" s="2068"/>
      <c r="K32" s="3049"/>
      <c r="L32" s="3049"/>
      <c r="M32" s="3049"/>
      <c r="N32" s="3049"/>
      <c r="O32" s="3049"/>
      <c r="P32" s="3049"/>
      <c r="Q32" s="3049"/>
      <c r="R32" s="3049"/>
      <c r="S32" s="3049"/>
      <c r="T32" s="3049"/>
      <c r="U32" s="3049"/>
      <c r="V32" s="3049"/>
      <c r="W32" s="3049"/>
      <c r="X32" s="1622"/>
      <c r="Y32" s="1622"/>
      <c r="Z32" s="1622"/>
      <c r="AA32" s="1622"/>
      <c r="AB32" s="1622"/>
      <c r="AC32" s="1622"/>
      <c r="AD32" s="1622"/>
      <c r="AE32" s="1622"/>
      <c r="AF32" s="1622"/>
    </row>
    <row r="33" spans="1:33">
      <c r="A33" s="4167" t="s">
        <v>2624</v>
      </c>
      <c r="B33" s="2256" t="s">
        <v>2625</v>
      </c>
      <c r="C33" s="54">
        <f>ROUND(D5*C19*C20*C24*F33,0)</f>
        <v>15942</v>
      </c>
      <c r="D33" s="2243"/>
      <c r="E33" s="50">
        <f t="shared" ref="E33:E39" si="6">ROUND(C33*D33,0)</f>
        <v>0</v>
      </c>
      <c r="F33" s="50">
        <f>SUMIF(修正!A45:A56,G2,修正!B45:B56)</f>
        <v>0.7</v>
      </c>
      <c r="G33" s="50">
        <f t="shared" ref="G33" si="7">ROUND(IF(E2="工业",C33*$M$39,C33*$M$38),0)</f>
        <v>3986</v>
      </c>
      <c r="H33" s="50">
        <f>D33</f>
        <v>0</v>
      </c>
      <c r="I33" s="50">
        <f t="shared" ref="I33:I39" si="8">ROUND(G33*H33,0)</f>
        <v>0</v>
      </c>
      <c r="J33" s="2230"/>
      <c r="K33" s="3049"/>
      <c r="L33" s="3049"/>
      <c r="M33" s="3049"/>
      <c r="N33" s="3049"/>
      <c r="O33" s="3049"/>
      <c r="P33" s="3049"/>
      <c r="Q33" s="3049"/>
      <c r="R33" s="3049"/>
      <c r="S33" s="3049"/>
      <c r="T33" s="3049"/>
      <c r="U33" s="3049"/>
      <c r="V33" s="3049"/>
      <c r="W33" s="3049"/>
      <c r="X33" s="1622"/>
      <c r="Y33" s="1622"/>
      <c r="Z33" s="1622"/>
      <c r="AA33" s="1622"/>
      <c r="AB33" s="1622"/>
      <c r="AC33" s="1622"/>
      <c r="AD33" s="1622"/>
      <c r="AE33" s="1622"/>
      <c r="AF33" s="1622"/>
    </row>
    <row r="34" spans="1:33">
      <c r="A34" s="4168"/>
      <c r="B34" s="2161" t="s">
        <v>2626</v>
      </c>
      <c r="C34" s="54">
        <f>ROUND(D5*C19*C20*C24*F34,0)</f>
        <v>9110</v>
      </c>
      <c r="D34" s="2243"/>
      <c r="E34" s="50">
        <f t="shared" si="6"/>
        <v>0</v>
      </c>
      <c r="F34" s="50">
        <f>SUMIF(修正!A45:A56,G2,修正!C45:C56)</f>
        <v>0.4</v>
      </c>
      <c r="G34" s="50">
        <f>ROUND(IF(E2="工业",C34*$M$39,C34*$M$38),0)</f>
        <v>2278</v>
      </c>
      <c r="H34" s="50">
        <f t="shared" ref="H34:H39" si="9">D34</f>
        <v>0</v>
      </c>
      <c r="I34" s="50">
        <f t="shared" si="8"/>
        <v>0</v>
      </c>
      <c r="J34" s="2230"/>
      <c r="K34" s="3049"/>
      <c r="L34" s="3049"/>
      <c r="M34" s="3049"/>
      <c r="N34" s="3049"/>
      <c r="O34" s="3049"/>
      <c r="P34" s="3049"/>
      <c r="Q34" s="3049"/>
      <c r="R34" s="3049"/>
      <c r="S34" s="3049"/>
      <c r="T34" s="3049"/>
      <c r="U34" s="3049"/>
      <c r="V34" s="3049"/>
      <c r="W34" s="3049"/>
      <c r="X34" s="1622"/>
      <c r="Y34" s="1622"/>
      <c r="Z34" s="1622"/>
      <c r="AA34" s="1622"/>
      <c r="AB34" s="1622"/>
      <c r="AC34" s="1622"/>
      <c r="AD34" s="1622"/>
      <c r="AE34" s="1622"/>
      <c r="AF34" s="1622"/>
    </row>
    <row r="35" spans="1:33">
      <c r="A35" s="4168"/>
      <c r="B35" s="2161" t="s">
        <v>2627</v>
      </c>
      <c r="C35" s="54">
        <f>ROUND(D5*C19*C20*C24*F35,0)</f>
        <v>6377</v>
      </c>
      <c r="D35" s="2243"/>
      <c r="E35" s="50">
        <f t="shared" si="6"/>
        <v>0</v>
      </c>
      <c r="F35" s="50">
        <f>SUMIF(修正!A45:A56,G2,修正!D45:D56)</f>
        <v>0.28000000000000003</v>
      </c>
      <c r="G35" s="50">
        <f>ROUND(IF(E2="工业",C35*$M$39,C35*$M$38),0)</f>
        <v>1594</v>
      </c>
      <c r="H35" s="50">
        <f t="shared" si="9"/>
        <v>0</v>
      </c>
      <c r="I35" s="50">
        <f t="shared" si="8"/>
        <v>0</v>
      </c>
      <c r="J35" s="2230"/>
      <c r="K35" s="3049"/>
      <c r="L35" s="3049"/>
      <c r="M35" s="3049"/>
      <c r="N35" s="3049"/>
      <c r="O35" s="3049"/>
      <c r="P35" s="3049"/>
      <c r="Q35" s="3049"/>
      <c r="R35" s="3049"/>
      <c r="S35" s="3049"/>
      <c r="T35" s="3049"/>
      <c r="U35" s="3049"/>
      <c r="V35" s="3049"/>
      <c r="W35" s="3049"/>
      <c r="X35" s="1622"/>
      <c r="Y35" s="1622"/>
      <c r="Z35" s="1622"/>
      <c r="AA35" s="1622"/>
      <c r="AB35" s="1622"/>
      <c r="AC35" s="1622"/>
      <c r="AD35" s="1622"/>
      <c r="AE35" s="1622"/>
      <c r="AF35" s="1622"/>
    </row>
    <row r="36" spans="1:33" ht="13.5" thickBot="1">
      <c r="A36" s="4169"/>
      <c r="B36" s="2161" t="s">
        <v>2628</v>
      </c>
      <c r="C36" s="54">
        <f>ROUND(D5*C19*C20*C24*F36,0)</f>
        <v>5693</v>
      </c>
      <c r="D36" s="2243"/>
      <c r="E36" s="50">
        <f t="shared" si="6"/>
        <v>0</v>
      </c>
      <c r="F36" s="50">
        <f>SUMIF(修正!A45:A56,G2,修正!E45:E56)</f>
        <v>0.25</v>
      </c>
      <c r="G36" s="50">
        <f>ROUND(IF(E2="工业",C36*$M$39,C36*$M$38),0)</f>
        <v>1423</v>
      </c>
      <c r="H36" s="50">
        <f t="shared" si="9"/>
        <v>0</v>
      </c>
      <c r="I36" s="50">
        <f t="shared" si="8"/>
        <v>0</v>
      </c>
      <c r="J36" s="2230"/>
      <c r="K36" s="3049"/>
      <c r="L36" s="3049"/>
      <c r="M36" s="3049"/>
      <c r="N36" s="3049"/>
      <c r="O36" s="3049"/>
      <c r="P36" s="3049"/>
      <c r="Q36" s="3049"/>
      <c r="R36" s="3049"/>
      <c r="S36" s="3049"/>
      <c r="T36" s="3049"/>
      <c r="U36" s="3049"/>
      <c r="V36" s="3049"/>
      <c r="W36" s="3049"/>
      <c r="X36" s="1622"/>
      <c r="Y36" s="1622"/>
      <c r="Z36" s="1622"/>
      <c r="AA36" s="1622"/>
      <c r="AB36" s="1622"/>
      <c r="AC36" s="1622"/>
      <c r="AD36" s="1622"/>
      <c r="AE36" s="1622"/>
      <c r="AF36" s="1622"/>
    </row>
    <row r="37" spans="1:33">
      <c r="A37" s="2257"/>
      <c r="B37" s="2161" t="s">
        <v>2629</v>
      </c>
      <c r="C37" s="50">
        <f>ROUND(D5*C19*C20*C24*F37,0)</f>
        <v>5693</v>
      </c>
      <c r="D37" s="2243"/>
      <c r="E37" s="50">
        <f t="shared" si="6"/>
        <v>0</v>
      </c>
      <c r="F37" s="54">
        <f>SUMIF(修正!A45:A56,G2,修正!F45:F56)</f>
        <v>0.25</v>
      </c>
      <c r="G37" s="50">
        <f>ROUND(IF(E2="工业",C37*$M$39,C37*$M$38),0)</f>
        <v>1423</v>
      </c>
      <c r="H37" s="50">
        <f t="shared" si="9"/>
        <v>0</v>
      </c>
      <c r="I37" s="50">
        <f t="shared" si="8"/>
        <v>0</v>
      </c>
      <c r="J37" s="2230"/>
      <c r="K37" s="3049"/>
      <c r="L37" s="2258" t="s">
        <v>2630</v>
      </c>
      <c r="M37" s="2134"/>
      <c r="N37" s="3049"/>
      <c r="O37" s="3049"/>
      <c r="P37" s="3049"/>
      <c r="Q37" s="3049"/>
      <c r="R37" s="3049"/>
      <c r="S37" s="3049"/>
      <c r="T37" s="3049"/>
      <c r="U37" s="3049"/>
      <c r="V37" s="3049"/>
      <c r="W37" s="3049"/>
      <c r="X37" s="1622"/>
      <c r="Y37" s="1622"/>
      <c r="Z37" s="1622"/>
      <c r="AA37" s="1622"/>
      <c r="AB37" s="1622"/>
      <c r="AC37" s="1622"/>
      <c r="AD37" s="1622"/>
      <c r="AE37" s="1622"/>
      <c r="AF37" s="1622"/>
    </row>
    <row r="38" spans="1:33">
      <c r="A38" s="2257"/>
      <c r="B38" s="2161" t="s">
        <v>2631</v>
      </c>
      <c r="C38" s="50">
        <f>ROUND(D5*C19*C41*C24*F38,0)</f>
        <v>5153</v>
      </c>
      <c r="D38" s="2243"/>
      <c r="E38" s="50">
        <f t="shared" si="6"/>
        <v>0</v>
      </c>
      <c r="F38" s="54">
        <f>SUMIF(修正!A45:A56,G2,修正!G45:G56)</f>
        <v>0.25</v>
      </c>
      <c r="G38" s="50">
        <f>ROUND(IF(E2="工业",C38*$M$39,C38*$M$38),0)</f>
        <v>1288</v>
      </c>
      <c r="H38" s="50">
        <f t="shared" si="9"/>
        <v>0</v>
      </c>
      <c r="I38" s="50">
        <f t="shared" si="8"/>
        <v>0</v>
      </c>
      <c r="J38" s="2230"/>
      <c r="K38" s="3049"/>
      <c r="L38" s="2259" t="s">
        <v>2632</v>
      </c>
      <c r="M38" s="2260">
        <v>0.25</v>
      </c>
      <c r="N38" s="3049"/>
      <c r="O38" s="3049"/>
      <c r="P38" s="3049"/>
      <c r="Q38" s="3049"/>
      <c r="R38" s="3049"/>
      <c r="S38" s="3049"/>
      <c r="T38" s="3049"/>
      <c r="U38" s="3049"/>
      <c r="V38" s="3049"/>
      <c r="W38" s="3049"/>
      <c r="X38" s="1622"/>
      <c r="Y38" s="1622"/>
      <c r="Z38" s="1622"/>
      <c r="AA38" s="1622"/>
      <c r="AB38" s="1622"/>
      <c r="AC38" s="1622"/>
      <c r="AD38" s="1622"/>
      <c r="AE38" s="1622"/>
      <c r="AF38" s="1622"/>
    </row>
    <row r="39" spans="1:33" ht="13.5" thickBot="1">
      <c r="A39" s="2247"/>
      <c r="B39" s="2261" t="s">
        <v>2633</v>
      </c>
      <c r="C39" s="2171">
        <f>ROUND(D5*C19*C41*C24*F39,0)</f>
        <v>4122</v>
      </c>
      <c r="D39" s="2248">
        <f>D29</f>
        <v>459.68</v>
      </c>
      <c r="E39" s="2171">
        <f t="shared" si="6"/>
        <v>1894801</v>
      </c>
      <c r="F39" s="56">
        <f>SUMIF(修正!A45:A56,G2,修正!H45:H56)</f>
        <v>0.2</v>
      </c>
      <c r="G39" s="2171">
        <f>ROUND(IF(E2="工业",C39*$M$39,C39*$M$38),0)</f>
        <v>1031</v>
      </c>
      <c r="H39" s="2171">
        <f t="shared" si="9"/>
        <v>459.68</v>
      </c>
      <c r="I39" s="2171">
        <f t="shared" si="8"/>
        <v>473930</v>
      </c>
      <c r="J39" s="2234"/>
      <c r="K39" s="3049"/>
      <c r="L39" s="2262" t="s">
        <v>2574</v>
      </c>
      <c r="M39" s="2263">
        <v>0.15</v>
      </c>
      <c r="N39" s="3049"/>
      <c r="O39" s="3049"/>
      <c r="P39" s="3049"/>
      <c r="Q39" s="3049"/>
      <c r="R39" s="3049"/>
      <c r="S39" s="3049"/>
      <c r="T39" s="3049"/>
      <c r="U39" s="3049"/>
      <c r="V39" s="3049"/>
      <c r="W39" s="3049"/>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9"/>
      <c r="L40" s="3049"/>
      <c r="M40" s="3049"/>
      <c r="N40" s="3049"/>
      <c r="O40" s="3049"/>
      <c r="P40" s="3049"/>
      <c r="Q40" s="3049"/>
      <c r="R40" s="3049"/>
      <c r="S40" s="3049"/>
      <c r="T40" s="3049"/>
      <c r="U40" s="3049"/>
      <c r="V40" s="3049"/>
      <c r="W40" s="3049"/>
      <c r="X40" s="1622"/>
      <c r="Y40" s="1622"/>
      <c r="Z40" s="1622"/>
      <c r="AA40" s="1622"/>
      <c r="AB40" s="1622"/>
      <c r="AC40" s="1622"/>
      <c r="AD40" s="1622"/>
      <c r="AE40" s="1622"/>
      <c r="AF40" s="1622"/>
    </row>
    <row r="41" spans="1:33" s="2264" customFormat="1">
      <c r="A41" s="1622"/>
      <c r="B41" s="2265" t="s">
        <v>2713</v>
      </c>
      <c r="C41" s="50">
        <f>ROUND(POWER(1+E41,H41-G41)*(POWER(1+E41,G41)-1)/(POWER(1+E41,H41)-1),4)</f>
        <v>0.82340000000000002</v>
      </c>
      <c r="D41" s="50" t="s">
        <v>2711</v>
      </c>
      <c r="E41" s="2266">
        <f>G20</f>
        <v>5.1999999999999998E-2</v>
      </c>
      <c r="F41" s="50" t="s">
        <v>2712</v>
      </c>
      <c r="G41" s="2267">
        <v>28</v>
      </c>
      <c r="H41" s="50">
        <v>50</v>
      </c>
      <c r="I41" s="1622"/>
      <c r="J41" s="1622"/>
      <c r="K41" s="3049"/>
      <c r="L41" s="3049"/>
      <c r="M41" s="3049"/>
      <c r="N41" s="3049"/>
      <c r="O41" s="3049"/>
      <c r="P41" s="3049"/>
      <c r="Q41" s="3049"/>
      <c r="R41" s="3049"/>
      <c r="S41" s="3049"/>
      <c r="T41" s="3049"/>
      <c r="U41" s="3049"/>
      <c r="V41" s="3049"/>
      <c r="W41" s="3049"/>
      <c r="X41" s="1622"/>
      <c r="Y41" s="1622"/>
      <c r="Z41" s="1622"/>
      <c r="AA41" s="1622"/>
      <c r="AB41" s="1622"/>
      <c r="AC41" s="1622"/>
      <c r="AD41" s="1622"/>
      <c r="AE41" s="1622"/>
      <c r="AF41" s="1622"/>
    </row>
    <row r="42" spans="1:33" s="2264"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2"/>
      <c r="Y42" s="1622"/>
      <c r="Z42" s="1622"/>
      <c r="AA42" s="1622"/>
      <c r="AB42" s="1622"/>
      <c r="AC42" s="1622"/>
      <c r="AD42" s="1622"/>
      <c r="AE42" s="1622"/>
      <c r="AF42" s="1622"/>
    </row>
    <row r="43" spans="1:33" s="2264"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2"/>
      <c r="Y43" s="1622"/>
      <c r="Z43" s="1622"/>
      <c r="AA43" s="1622"/>
      <c r="AB43" s="1622"/>
      <c r="AC43" s="1622"/>
      <c r="AD43" s="1622"/>
      <c r="AE43" s="1622"/>
      <c r="AF43" s="1622"/>
    </row>
    <row r="44" spans="1:33" s="2264"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2"/>
      <c r="Y44" s="1622"/>
      <c r="Z44" s="1622"/>
      <c r="AA44" s="1622"/>
      <c r="AB44" s="1622"/>
      <c r="AC44" s="1622"/>
      <c r="AD44" s="1622"/>
      <c r="AE44" s="1622"/>
      <c r="AF44" s="1622"/>
    </row>
    <row r="45" spans="1:33" s="2264" customFormat="1" ht="15.75" thickBot="1">
      <c r="A45" s="2268" t="s">
        <v>2634</v>
      </c>
      <c r="B45" s="2269"/>
      <c r="C45" s="608"/>
      <c r="D45" s="608"/>
      <c r="E45" s="608"/>
      <c r="F45" s="608"/>
      <c r="G45" s="608"/>
      <c r="H45" s="608"/>
      <c r="I45" s="608"/>
      <c r="J45" s="608"/>
      <c r="K45" s="608"/>
      <c r="L45" s="608"/>
      <c r="M45" s="608"/>
      <c r="N45" s="2099"/>
      <c r="O45" s="1622"/>
      <c r="P45" s="1622"/>
      <c r="Q45" s="3049"/>
      <c r="R45" s="3049"/>
      <c r="S45" s="3049"/>
      <c r="T45" s="3049"/>
      <c r="U45" s="3049"/>
      <c r="V45" s="3049"/>
      <c r="W45" s="3049"/>
      <c r="X45" s="1622"/>
      <c r="Y45" s="1622"/>
      <c r="Z45" s="1622"/>
      <c r="AA45" s="1622"/>
      <c r="AB45" s="1622"/>
      <c r="AC45" s="1622"/>
      <c r="AD45" s="1622"/>
      <c r="AE45" s="1622"/>
      <c r="AF45" s="1622"/>
    </row>
    <row r="46" spans="1:33" s="2264" customFormat="1" ht="15" hidden="1">
      <c r="A46" s="2270" t="s">
        <v>2635</v>
      </c>
      <c r="B46" s="2271">
        <f>1+E48</f>
        <v>1</v>
      </c>
      <c r="C46" s="2272"/>
      <c r="D46" s="2273"/>
      <c r="E46" s="2274"/>
      <c r="F46" s="2275"/>
      <c r="G46" s="608"/>
      <c r="H46" s="608"/>
      <c r="I46" s="608"/>
      <c r="J46" s="608"/>
      <c r="K46" s="608"/>
      <c r="L46" s="608"/>
      <c r="M46" s="2099"/>
      <c r="N46" s="2276"/>
      <c r="O46" s="1622"/>
      <c r="P46" s="1622"/>
      <c r="Q46" s="3049"/>
      <c r="R46" s="3049"/>
      <c r="S46" s="3049"/>
      <c r="T46" s="3049"/>
      <c r="U46" s="3049"/>
      <c r="V46" s="3049"/>
      <c r="W46" s="3049"/>
      <c r="X46" s="1622"/>
      <c r="Y46" s="1622"/>
      <c r="Z46" s="1622"/>
      <c r="AA46" s="1622"/>
      <c r="AB46" s="1622"/>
      <c r="AC46" s="1622"/>
      <c r="AD46" s="1622"/>
      <c r="AE46" s="1622"/>
    </row>
    <row r="47" spans="1:33" s="2264" customFormat="1" ht="24.75" hidden="1">
      <c r="A47" s="2277" t="s">
        <v>2636</v>
      </c>
      <c r="B47" s="2278" t="s">
        <v>2637</v>
      </c>
      <c r="C47" s="2278" t="s">
        <v>2638</v>
      </c>
      <c r="D47" s="2278" t="s">
        <v>2639</v>
      </c>
      <c r="E47" s="2279" t="s">
        <v>2640</v>
      </c>
      <c r="F47" s="2229" t="s">
        <v>2641</v>
      </c>
      <c r="G47" s="2278" t="s">
        <v>2642</v>
      </c>
      <c r="H47" s="2280" t="s">
        <v>2643</v>
      </c>
      <c r="I47" s="2278" t="s">
        <v>2644</v>
      </c>
      <c r="J47" s="1905" t="s">
        <v>2645</v>
      </c>
      <c r="K47" s="1905" t="s">
        <v>2646</v>
      </c>
      <c r="L47" s="1905" t="s">
        <v>2647</v>
      </c>
      <c r="M47" s="1905" t="s">
        <v>2648</v>
      </c>
      <c r="N47" s="1905" t="s">
        <v>2649</v>
      </c>
      <c r="O47" s="1622"/>
      <c r="P47" s="1622"/>
      <c r="Q47" s="3049"/>
      <c r="R47" s="3049"/>
      <c r="S47" s="3049"/>
      <c r="T47" s="3049"/>
      <c r="U47" s="3049"/>
      <c r="V47" s="3049"/>
      <c r="W47" s="3049"/>
      <c r="X47" s="1622"/>
      <c r="Y47" s="1622"/>
      <c r="Z47" s="1622"/>
      <c r="AA47" s="1622"/>
      <c r="AB47" s="1622"/>
      <c r="AC47" s="1622"/>
      <c r="AD47" s="1622"/>
      <c r="AE47" s="1622"/>
      <c r="AF47" s="1622"/>
      <c r="AG47" s="1622"/>
    </row>
    <row r="48" spans="1:33" s="2264" customFormat="1" ht="38.25" hidden="1">
      <c r="A48" s="2277" t="s">
        <v>2650</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9"/>
      <c r="R48" s="3049"/>
      <c r="S48" s="3049"/>
      <c r="T48" s="3049"/>
      <c r="U48" s="3049"/>
      <c r="V48" s="3049"/>
      <c r="W48" s="3049"/>
      <c r="X48" s="1622"/>
      <c r="Y48" s="1622"/>
      <c r="Z48" s="1622"/>
      <c r="AA48" s="1622"/>
      <c r="AB48" s="1622"/>
      <c r="AC48" s="1622"/>
      <c r="AD48" s="1622"/>
      <c r="AE48" s="1622"/>
      <c r="AF48" s="1622"/>
      <c r="AG48" s="1622"/>
    </row>
    <row r="49" spans="1:33" s="2264" customFormat="1" ht="76.5" hidden="1">
      <c r="A49" s="2277" t="s">
        <v>2651</v>
      </c>
      <c r="B49" s="2289" t="str">
        <f>估价对象房地状况!C18</f>
        <v>估价对象临近知春路，距离地铁10、13号线知春路站约100米，周边有专168路、311路、319路、630路等公交车通达，停车便捷程度较好，综合评价交通便捷度好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9"/>
      <c r="R49" s="3049"/>
      <c r="S49" s="3049"/>
      <c r="T49" s="3049"/>
      <c r="U49" s="3049"/>
      <c r="V49" s="3049"/>
      <c r="W49" s="3049"/>
      <c r="X49" s="1622"/>
      <c r="Y49" s="1622"/>
      <c r="Z49" s="1622"/>
      <c r="AA49" s="1622"/>
      <c r="AB49" s="1622"/>
      <c r="AC49" s="1622"/>
      <c r="AD49" s="1622"/>
      <c r="AE49" s="1622"/>
      <c r="AF49" s="1622"/>
      <c r="AG49" s="1622"/>
    </row>
    <row r="50" spans="1:33" s="2264" customFormat="1" ht="24" hidden="1">
      <c r="A50" s="2277" t="s">
        <v>2652</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9"/>
      <c r="R50" s="3049"/>
      <c r="S50" s="3049"/>
      <c r="T50" s="3049"/>
      <c r="U50" s="3049"/>
      <c r="V50" s="3049"/>
      <c r="W50" s="3049"/>
      <c r="X50" s="1622"/>
      <c r="Y50" s="1622"/>
      <c r="Z50" s="1622"/>
      <c r="AA50" s="1622"/>
      <c r="AB50" s="1622"/>
      <c r="AC50" s="1622"/>
      <c r="AD50" s="1622"/>
      <c r="AE50" s="1622"/>
      <c r="AF50" s="1622"/>
      <c r="AG50" s="1622"/>
    </row>
    <row r="51" spans="1:33" s="2264" customFormat="1" ht="36.75" hidden="1">
      <c r="A51" s="2277" t="s">
        <v>2653</v>
      </c>
      <c r="B51" s="2291" t="s">
        <v>2654</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9"/>
      <c r="R51" s="3049"/>
      <c r="S51" s="3049"/>
      <c r="T51" s="3049"/>
      <c r="U51" s="3049"/>
      <c r="V51" s="3049"/>
      <c r="W51" s="3049"/>
      <c r="X51" s="1622"/>
      <c r="Y51" s="1622"/>
      <c r="Z51" s="1622"/>
      <c r="AA51" s="1622"/>
      <c r="AB51" s="1622"/>
      <c r="AC51" s="1622"/>
      <c r="AD51" s="1622"/>
      <c r="AE51" s="1622"/>
      <c r="AF51" s="1622"/>
      <c r="AG51" s="1622"/>
    </row>
    <row r="52" spans="1:33" s="2264" customFormat="1" ht="24" hidden="1">
      <c r="A52" s="2277" t="s">
        <v>2655</v>
      </c>
      <c r="B52" s="2289" t="str">
        <f>估价对象房地状况!C24</f>
        <v>城市主干道-知春路</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9"/>
      <c r="R52" s="3049"/>
      <c r="S52" s="3049"/>
      <c r="T52" s="3049"/>
      <c r="U52" s="3049"/>
      <c r="V52" s="3049"/>
      <c r="W52" s="3049"/>
      <c r="X52" s="1622"/>
      <c r="Y52" s="1622"/>
      <c r="Z52" s="1622"/>
      <c r="AA52" s="1622"/>
      <c r="AB52" s="1622"/>
      <c r="AC52" s="1622"/>
      <c r="AD52" s="1622"/>
      <c r="AE52" s="1622"/>
      <c r="AF52" s="1622"/>
      <c r="AG52" s="1622"/>
    </row>
    <row r="53" spans="1:33" s="2264" customFormat="1" ht="24" hidden="1">
      <c r="A53" s="2277" t="s">
        <v>2656</v>
      </c>
      <c r="B53" s="2292" t="s">
        <v>2657</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9"/>
      <c r="R53" s="3049"/>
      <c r="S53" s="3049"/>
      <c r="T53" s="3049"/>
      <c r="U53" s="3049"/>
      <c r="V53" s="3049"/>
      <c r="W53" s="3049"/>
      <c r="X53" s="1622"/>
      <c r="Y53" s="1622"/>
      <c r="Z53" s="1622"/>
      <c r="AA53" s="1622"/>
      <c r="AB53" s="1622"/>
      <c r="AC53" s="1622"/>
      <c r="AD53" s="1622"/>
      <c r="AE53" s="1622"/>
      <c r="AF53" s="1622"/>
      <c r="AG53" s="1622"/>
    </row>
    <row r="54" spans="1:33" s="2264" customFormat="1" ht="178.5" hidden="1">
      <c r="A54" s="2293" t="s">
        <v>2658</v>
      </c>
      <c r="B54"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9"/>
      <c r="R54" s="3049"/>
      <c r="S54" s="3049"/>
      <c r="T54" s="3049"/>
      <c r="U54" s="3049"/>
      <c r="V54" s="3049"/>
      <c r="W54" s="3049"/>
      <c r="X54" s="1622"/>
      <c r="Y54" s="1622"/>
      <c r="Z54" s="1622"/>
      <c r="AA54" s="1622"/>
      <c r="AB54" s="1622"/>
      <c r="AC54" s="1622"/>
      <c r="AD54" s="1622"/>
      <c r="AE54" s="1622"/>
      <c r="AF54" s="1622"/>
      <c r="AG54" s="1622"/>
    </row>
    <row r="55" spans="1:33" s="2264" customFormat="1" ht="25.5" hidden="1">
      <c r="A55" s="2293" t="s">
        <v>2659</v>
      </c>
      <c r="B55" s="2289" t="str">
        <f>估价对象房地状况!C22</f>
        <v>估价对象所在区域基础设施水平-七通</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9"/>
      <c r="R55" s="3049"/>
      <c r="S55" s="3049"/>
      <c r="T55" s="3049"/>
      <c r="U55" s="3049"/>
      <c r="V55" s="3049"/>
      <c r="W55" s="3049"/>
      <c r="X55" s="1622"/>
      <c r="Y55" s="1622"/>
      <c r="Z55" s="1622"/>
      <c r="AA55" s="1622"/>
      <c r="AB55" s="1622"/>
      <c r="AC55" s="1622"/>
      <c r="AD55" s="1622"/>
      <c r="AE55" s="1622"/>
      <c r="AF55" s="1622"/>
      <c r="AG55" s="1622"/>
    </row>
    <row r="56" spans="1:33" s="2264" customFormat="1" ht="51.75" hidden="1" thickBot="1">
      <c r="A56" s="2295" t="s">
        <v>2660</v>
      </c>
      <c r="B56" s="2296" t="str">
        <f>估价对象房地状况!C20</f>
        <v>区域自然环境：知春公园、双榆树公园；人文环境；首体足球场、大运村网球场；
综合评价环境状况较好</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9"/>
      <c r="R56" s="3049"/>
      <c r="S56" s="3049"/>
      <c r="T56" s="3049"/>
      <c r="U56" s="3049"/>
      <c r="V56" s="3049"/>
      <c r="W56" s="3049"/>
      <c r="X56" s="1622"/>
      <c r="Y56" s="1622"/>
      <c r="Z56" s="1622"/>
      <c r="AA56" s="1622"/>
      <c r="AB56" s="1622"/>
      <c r="AC56" s="1622"/>
      <c r="AD56" s="1622"/>
      <c r="AE56" s="1622"/>
      <c r="AF56" s="1622"/>
      <c r="AG56" s="1622"/>
    </row>
    <row r="57" spans="1:33" s="2264" customFormat="1" ht="15">
      <c r="A57" s="2270" t="s">
        <v>2661</v>
      </c>
      <c r="B57" s="2299">
        <f>1+E59</f>
        <v>1.0663</v>
      </c>
      <c r="C57" s="2273"/>
      <c r="D57" s="2273"/>
      <c r="E57" s="2274"/>
      <c r="F57" s="2275"/>
      <c r="G57" s="608"/>
      <c r="H57" s="608"/>
      <c r="I57" s="608"/>
      <c r="J57" s="608"/>
      <c r="K57" s="608"/>
      <c r="L57" s="608"/>
      <c r="M57" s="608"/>
      <c r="N57" s="608"/>
      <c r="O57" s="1622"/>
      <c r="P57" s="1622"/>
      <c r="Q57" s="3049"/>
      <c r="R57" s="3049"/>
      <c r="S57" s="3049"/>
      <c r="T57" s="3049"/>
      <c r="U57" s="3049"/>
      <c r="V57" s="3049"/>
      <c r="W57" s="3049"/>
      <c r="X57" s="1622"/>
      <c r="Y57" s="1622"/>
      <c r="Z57" s="1622"/>
      <c r="AA57" s="1622"/>
      <c r="AB57" s="1622"/>
      <c r="AC57" s="1622"/>
      <c r="AD57" s="1622"/>
      <c r="AE57" s="1622"/>
      <c r="AF57" s="1622"/>
      <c r="AG57" s="1622"/>
    </row>
    <row r="58" spans="1:33" s="2264" customFormat="1" ht="24.75">
      <c r="A58" s="2277" t="s">
        <v>2636</v>
      </c>
      <c r="B58" s="2289"/>
      <c r="C58" s="2278" t="s">
        <v>2638</v>
      </c>
      <c r="D58" s="2278" t="s">
        <v>2639</v>
      </c>
      <c r="E58" s="2279" t="s">
        <v>2640</v>
      </c>
      <c r="F58" s="2229" t="s">
        <v>2641</v>
      </c>
      <c r="G58" s="2278" t="s">
        <v>2662</v>
      </c>
      <c r="H58" s="2280" t="s">
        <v>2663</v>
      </c>
      <c r="I58" s="2278" t="s">
        <v>2664</v>
      </c>
      <c r="J58" s="1905" t="s">
        <v>2307</v>
      </c>
      <c r="K58" s="1905" t="s">
        <v>2308</v>
      </c>
      <c r="L58" s="1905" t="s">
        <v>2309</v>
      </c>
      <c r="M58" s="1905" t="s">
        <v>2310</v>
      </c>
      <c r="N58" s="1905" t="s">
        <v>2311</v>
      </c>
      <c r="O58" s="1622"/>
      <c r="P58" s="1622"/>
      <c r="Q58" s="3049"/>
      <c r="R58" s="3049"/>
      <c r="S58" s="3049"/>
      <c r="T58" s="3049"/>
      <c r="U58" s="3049"/>
      <c r="V58" s="3049"/>
      <c r="W58" s="3049"/>
      <c r="X58" s="1622"/>
      <c r="Y58" s="1622"/>
      <c r="Z58" s="1622"/>
      <c r="AA58" s="1622"/>
      <c r="AB58" s="1622"/>
      <c r="AC58" s="1622"/>
      <c r="AD58" s="1622"/>
      <c r="AE58" s="1622"/>
      <c r="AF58" s="1622"/>
      <c r="AG58" s="1622"/>
    </row>
    <row r="59" spans="1:33" s="2264" customFormat="1" ht="76.5">
      <c r="A59" s="2277" t="s">
        <v>2665</v>
      </c>
      <c r="B59" s="2281" t="str">
        <f>估价对象房地状况!C17</f>
        <v>估价对象位于知春路商圈，周边办公楼项目有希格玛大厦、资金数码园、厦门大厦、卫星大厦、金仪科技大厦，入驻率高，办公集聚程度较好</v>
      </c>
      <c r="C59" s="3732" t="s">
        <v>30</v>
      </c>
      <c r="D59" s="2282">
        <f t="shared" ref="D59:D67" si="15">SUMIF($J$58:$N$58,C59,J59:N59)</f>
        <v>1.12E-2</v>
      </c>
      <c r="E59" s="2283">
        <f>ROUND(SUM(D59:D67),4)</f>
        <v>6.6299999999999998E-2</v>
      </c>
      <c r="F59" s="2284">
        <f>IF(E2="办公",SUMIF(L1:L12,G2,N1:N12),"——")</f>
        <v>9.4E-2</v>
      </c>
      <c r="G59" s="2285">
        <v>1.12E-2</v>
      </c>
      <c r="H59" s="2286">
        <f t="shared" ref="H59:H67" si="16">IFERROR(ROUNDDOWN($F$59*I59/2,4),"——")</f>
        <v>1.12E-2</v>
      </c>
      <c r="I59" s="2287">
        <v>0.24</v>
      </c>
      <c r="J59" s="2288">
        <f t="shared" ref="J59:J67" si="17">K59+$G59</f>
        <v>2.24E-2</v>
      </c>
      <c r="K59" s="2288">
        <f t="shared" ref="K59:K67" si="18">$L59+$G59</f>
        <v>1.12E-2</v>
      </c>
      <c r="L59" s="2288">
        <v>0</v>
      </c>
      <c r="M59" s="2288">
        <f t="shared" ref="M59:N67" si="19">L59-$G59</f>
        <v>-1.12E-2</v>
      </c>
      <c r="N59" s="2288">
        <f t="shared" si="19"/>
        <v>-2.24E-2</v>
      </c>
      <c r="O59" s="1622"/>
      <c r="P59" s="1622"/>
      <c r="Q59" s="3049"/>
      <c r="R59" s="3049"/>
      <c r="S59" s="3049"/>
      <c r="T59" s="3049"/>
      <c r="U59" s="3049"/>
      <c r="V59" s="3049"/>
      <c r="W59" s="3049"/>
      <c r="X59" s="1622"/>
      <c r="Y59" s="1622"/>
      <c r="Z59" s="1622"/>
      <c r="AA59" s="1622"/>
      <c r="AB59" s="1622"/>
      <c r="AC59" s="1622"/>
      <c r="AD59" s="1622"/>
      <c r="AE59" s="1622"/>
      <c r="AF59" s="1622"/>
      <c r="AG59" s="1622"/>
    </row>
    <row r="60" spans="1:33" s="2264" customFormat="1" ht="76.5">
      <c r="A60" s="2277" t="s">
        <v>2651</v>
      </c>
      <c r="B60" s="2289" t="str">
        <f>估价对象房地状况!C18</f>
        <v>估价对象临近知春路，距离地铁10、13号线知春路站约100米，周边有专168路、311路、319路、630路等公交车通达，停车便捷程度较好，综合评价交通便捷度好</v>
      </c>
      <c r="C60" s="3732" t="s">
        <v>29</v>
      </c>
      <c r="D60" s="2282">
        <f t="shared" si="15"/>
        <v>2.8199999999999999E-2</v>
      </c>
      <c r="E60" s="2290"/>
      <c r="F60" s="2284"/>
      <c r="G60" s="2285">
        <v>1.41E-2</v>
      </c>
      <c r="H60" s="2286">
        <f t="shared" si="16"/>
        <v>1.41E-2</v>
      </c>
      <c r="I60" s="2287">
        <v>0.3</v>
      </c>
      <c r="J60" s="2288">
        <f t="shared" si="17"/>
        <v>2.8199999999999999E-2</v>
      </c>
      <c r="K60" s="2288">
        <f t="shared" si="18"/>
        <v>1.41E-2</v>
      </c>
      <c r="L60" s="2288">
        <v>0</v>
      </c>
      <c r="M60" s="2288">
        <f t="shared" si="19"/>
        <v>-1.41E-2</v>
      </c>
      <c r="N60" s="2288">
        <f t="shared" si="19"/>
        <v>-2.8199999999999999E-2</v>
      </c>
      <c r="O60" s="1622"/>
      <c r="P60" s="1622"/>
      <c r="Q60" s="3049"/>
      <c r="R60" s="3049"/>
      <c r="S60" s="3049"/>
      <c r="T60" s="3049"/>
      <c r="U60" s="3049"/>
      <c r="V60" s="3049"/>
      <c r="W60" s="3049"/>
      <c r="X60" s="1622"/>
      <c r="Y60" s="1622"/>
      <c r="Z60" s="1622"/>
      <c r="AA60" s="1622"/>
      <c r="AB60" s="1622"/>
      <c r="AC60" s="1622"/>
      <c r="AD60" s="1622"/>
      <c r="AE60" s="1622"/>
      <c r="AF60" s="1622"/>
      <c r="AG60" s="1622"/>
    </row>
    <row r="61" spans="1:33" s="2264" customFormat="1" ht="24">
      <c r="A61" s="2277" t="s">
        <v>2652</v>
      </c>
      <c r="B61" s="2289">
        <f>估价对象房地状况!C19</f>
        <v>0</v>
      </c>
      <c r="C61" s="3732" t="s">
        <v>30</v>
      </c>
      <c r="D61" s="2282">
        <f t="shared" si="15"/>
        <v>3.7000000000000002E-3</v>
      </c>
      <c r="E61" s="2290"/>
      <c r="F61" s="2284"/>
      <c r="G61" s="2285">
        <v>3.7000000000000002E-3</v>
      </c>
      <c r="H61" s="2286">
        <f t="shared" si="16"/>
        <v>3.7000000000000002E-3</v>
      </c>
      <c r="I61" s="2287">
        <v>0.08</v>
      </c>
      <c r="J61" s="2288">
        <f t="shared" si="17"/>
        <v>7.4000000000000003E-3</v>
      </c>
      <c r="K61" s="2288">
        <f t="shared" si="18"/>
        <v>3.7000000000000002E-3</v>
      </c>
      <c r="L61" s="2288">
        <v>0</v>
      </c>
      <c r="M61" s="2288">
        <f t="shared" si="19"/>
        <v>-3.7000000000000002E-3</v>
      </c>
      <c r="N61" s="2288">
        <f t="shared" si="19"/>
        <v>-7.4000000000000003E-3</v>
      </c>
      <c r="O61" s="1622"/>
      <c r="P61" s="1622"/>
      <c r="Q61" s="3049"/>
      <c r="R61" s="3049"/>
      <c r="S61" s="3049"/>
      <c r="T61" s="3049"/>
      <c r="U61" s="3049"/>
      <c r="V61" s="3049"/>
      <c r="W61" s="3049"/>
      <c r="X61" s="1622"/>
      <c r="Y61" s="1622"/>
      <c r="Z61" s="1622"/>
      <c r="AA61" s="1622"/>
      <c r="AB61" s="1622"/>
      <c r="AC61" s="1622"/>
      <c r="AD61" s="1622"/>
      <c r="AE61" s="1622"/>
      <c r="AF61" s="1622"/>
      <c r="AG61" s="1622"/>
    </row>
    <row r="62" spans="1:33" s="2264" customFormat="1" ht="36.75">
      <c r="A62" s="2277" t="s">
        <v>2653</v>
      </c>
      <c r="B62" s="2291" t="s">
        <v>2654</v>
      </c>
      <c r="C62" s="3732" t="s">
        <v>30</v>
      </c>
      <c r="D62" s="2282">
        <f t="shared" si="15"/>
        <v>1.8E-3</v>
      </c>
      <c r="E62" s="2290"/>
      <c r="F62" s="2284"/>
      <c r="G62" s="2285">
        <v>1.8E-3</v>
      </c>
      <c r="H62" s="2286">
        <f t="shared" si="16"/>
        <v>1.8E-3</v>
      </c>
      <c r="I62" s="2287">
        <v>0.04</v>
      </c>
      <c r="J62" s="2288">
        <f t="shared" si="17"/>
        <v>3.5999999999999999E-3</v>
      </c>
      <c r="K62" s="2288">
        <f t="shared" si="18"/>
        <v>1.8E-3</v>
      </c>
      <c r="L62" s="2288">
        <v>0</v>
      </c>
      <c r="M62" s="2288">
        <f t="shared" si="19"/>
        <v>-1.8E-3</v>
      </c>
      <c r="N62" s="2288">
        <f t="shared" si="19"/>
        <v>-3.5999999999999999E-3</v>
      </c>
      <c r="O62" s="1622"/>
      <c r="P62" s="1622"/>
      <c r="Q62" s="3049"/>
      <c r="R62" s="3049"/>
      <c r="S62" s="3049"/>
      <c r="T62" s="3049"/>
      <c r="U62" s="3049"/>
      <c r="V62" s="3049"/>
      <c r="W62" s="3049"/>
      <c r="X62" s="1622"/>
      <c r="Y62" s="1622"/>
      <c r="Z62" s="1622"/>
      <c r="AA62" s="1622"/>
      <c r="AB62" s="1622"/>
      <c r="AC62" s="1622"/>
      <c r="AD62" s="1622"/>
      <c r="AE62" s="1622"/>
      <c r="AF62" s="1622"/>
      <c r="AG62" s="1622"/>
    </row>
    <row r="63" spans="1:33" s="2264" customFormat="1" ht="24">
      <c r="A63" s="2277" t="s">
        <v>2655</v>
      </c>
      <c r="B63" s="2289" t="str">
        <f>估价对象房地状况!C24</f>
        <v>城市主干道-知春路</v>
      </c>
      <c r="C63" s="3732" t="s">
        <v>30</v>
      </c>
      <c r="D63" s="2282">
        <f t="shared" si="15"/>
        <v>2.3E-3</v>
      </c>
      <c r="E63" s="2290"/>
      <c r="F63" s="2284"/>
      <c r="G63" s="2285">
        <v>2.3E-3</v>
      </c>
      <c r="H63" s="2286">
        <f t="shared" si="16"/>
        <v>2.3E-3</v>
      </c>
      <c r="I63" s="2287">
        <v>0.05</v>
      </c>
      <c r="J63" s="2288">
        <f t="shared" si="17"/>
        <v>4.5999999999999999E-3</v>
      </c>
      <c r="K63" s="2288">
        <f t="shared" si="18"/>
        <v>2.3E-3</v>
      </c>
      <c r="L63" s="2288">
        <v>0</v>
      </c>
      <c r="M63" s="2288">
        <f t="shared" si="19"/>
        <v>-2.3E-3</v>
      </c>
      <c r="N63" s="2288">
        <f t="shared" si="19"/>
        <v>-4.5999999999999999E-3</v>
      </c>
      <c r="O63" s="1622"/>
      <c r="P63" s="1622"/>
      <c r="Q63" s="3049"/>
      <c r="R63" s="3049"/>
      <c r="S63" s="3049"/>
      <c r="T63" s="3049"/>
      <c r="U63" s="3049"/>
      <c r="V63" s="3049"/>
      <c r="W63" s="3049"/>
      <c r="X63" s="1622"/>
      <c r="Y63" s="1622"/>
      <c r="Z63" s="1622"/>
      <c r="AA63" s="1622"/>
      <c r="AB63" s="1622"/>
      <c r="AC63" s="1622"/>
      <c r="AD63" s="1622"/>
      <c r="AE63" s="1622"/>
      <c r="AF63" s="1622"/>
      <c r="AG63" s="1622"/>
    </row>
    <row r="64" spans="1:33" s="2264" customFormat="1" ht="24">
      <c r="A64" s="2277" t="s">
        <v>2656</v>
      </c>
      <c r="B64" s="2292" t="s">
        <v>2657</v>
      </c>
      <c r="C64" s="3732" t="s">
        <v>30</v>
      </c>
      <c r="D64" s="2282">
        <f t="shared" si="15"/>
        <v>2.3E-3</v>
      </c>
      <c r="E64" s="2290"/>
      <c r="F64" s="2284"/>
      <c r="G64" s="2285">
        <v>2.3E-3</v>
      </c>
      <c r="H64" s="2286">
        <f t="shared" si="16"/>
        <v>2.3E-3</v>
      </c>
      <c r="I64" s="2287">
        <v>0.05</v>
      </c>
      <c r="J64" s="2288">
        <f t="shared" si="17"/>
        <v>4.5999999999999999E-3</v>
      </c>
      <c r="K64" s="2288">
        <f t="shared" si="18"/>
        <v>2.3E-3</v>
      </c>
      <c r="L64" s="2288">
        <v>0</v>
      </c>
      <c r="M64" s="2288">
        <f t="shared" si="19"/>
        <v>-2.3E-3</v>
      </c>
      <c r="N64" s="2288">
        <f t="shared" si="19"/>
        <v>-4.5999999999999999E-3</v>
      </c>
      <c r="O64" s="1622"/>
      <c r="P64" s="1622"/>
      <c r="Q64" s="3049"/>
      <c r="R64" s="3049"/>
      <c r="S64" s="3049"/>
      <c r="T64" s="3049"/>
      <c r="U64" s="3049"/>
      <c r="V64" s="3049"/>
      <c r="W64" s="3049"/>
      <c r="X64" s="1622"/>
      <c r="Y64" s="1622"/>
      <c r="Z64" s="1622"/>
      <c r="AA64" s="1622"/>
      <c r="AB64" s="1622"/>
      <c r="AC64" s="1622"/>
      <c r="AD64" s="1622"/>
      <c r="AE64" s="1622"/>
      <c r="AF64" s="1622"/>
      <c r="AG64" s="1622"/>
    </row>
    <row r="65" spans="1:33" s="2264" customFormat="1" ht="178.5">
      <c r="A65" s="2277" t="s">
        <v>2658</v>
      </c>
      <c r="B65"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65" s="3732" t="s">
        <v>30</v>
      </c>
      <c r="D65" s="2282">
        <f t="shared" si="15"/>
        <v>2.8E-3</v>
      </c>
      <c r="E65" s="2290"/>
      <c r="F65" s="2284"/>
      <c r="G65" s="2285">
        <v>2.8E-3</v>
      </c>
      <c r="H65" s="2286">
        <f t="shared" si="16"/>
        <v>2.8E-3</v>
      </c>
      <c r="I65" s="2287">
        <v>0.06</v>
      </c>
      <c r="J65" s="2288">
        <f t="shared" si="17"/>
        <v>5.5999999999999999E-3</v>
      </c>
      <c r="K65" s="2288">
        <f t="shared" si="18"/>
        <v>2.8E-3</v>
      </c>
      <c r="L65" s="2288">
        <v>0</v>
      </c>
      <c r="M65" s="2288">
        <f t="shared" si="19"/>
        <v>-2.8E-3</v>
      </c>
      <c r="N65" s="2288">
        <f t="shared" si="19"/>
        <v>-5.5999999999999999E-3</v>
      </c>
      <c r="O65" s="1622"/>
      <c r="P65" s="1622"/>
      <c r="Q65" s="3049"/>
      <c r="R65" s="3049"/>
      <c r="S65" s="3049"/>
      <c r="T65" s="3049"/>
      <c r="U65" s="3049"/>
      <c r="V65" s="3049"/>
      <c r="W65" s="3049"/>
      <c r="X65" s="1622"/>
      <c r="Y65" s="1622"/>
      <c r="Z65" s="1622"/>
      <c r="AA65" s="1622"/>
      <c r="AB65" s="1622"/>
      <c r="AC65" s="1622"/>
      <c r="AD65" s="1622"/>
      <c r="AE65" s="1622"/>
      <c r="AF65" s="1622"/>
      <c r="AG65" s="1622"/>
    </row>
    <row r="66" spans="1:33" s="2264" customFormat="1" ht="25.5">
      <c r="A66" s="2277" t="s">
        <v>2659</v>
      </c>
      <c r="B66" s="2294" t="str">
        <f>估价对象房地状况!C22</f>
        <v>估价对象所在区域基础设施水平-七通</v>
      </c>
      <c r="C66" s="3732" t="s">
        <v>29</v>
      </c>
      <c r="D66" s="2282">
        <f t="shared" si="15"/>
        <v>1.12E-2</v>
      </c>
      <c r="E66" s="2290"/>
      <c r="F66" s="2284"/>
      <c r="G66" s="2285">
        <v>5.5999999999999999E-3</v>
      </c>
      <c r="H66" s="2286">
        <f t="shared" si="16"/>
        <v>5.5999999999999999E-3</v>
      </c>
      <c r="I66" s="2287">
        <v>0.12</v>
      </c>
      <c r="J66" s="2288">
        <f t="shared" si="17"/>
        <v>1.12E-2</v>
      </c>
      <c r="K66" s="2288">
        <f t="shared" si="18"/>
        <v>5.5999999999999999E-3</v>
      </c>
      <c r="L66" s="2288">
        <v>0</v>
      </c>
      <c r="M66" s="2288">
        <f t="shared" si="19"/>
        <v>-5.5999999999999999E-3</v>
      </c>
      <c r="N66" s="2288">
        <f t="shared" si="19"/>
        <v>-1.12E-2</v>
      </c>
      <c r="O66" s="1622"/>
      <c r="P66" s="1622"/>
      <c r="Q66" s="3049"/>
      <c r="R66" s="3049"/>
      <c r="S66" s="3049"/>
      <c r="T66" s="3049"/>
      <c r="U66" s="3049"/>
      <c r="V66" s="3049"/>
      <c r="W66" s="3049"/>
      <c r="X66" s="1622"/>
      <c r="Y66" s="1622"/>
      <c r="Z66" s="1622"/>
      <c r="AA66" s="1622"/>
      <c r="AB66" s="1622"/>
      <c r="AC66" s="1622"/>
      <c r="AD66" s="1622"/>
      <c r="AE66" s="1622"/>
      <c r="AF66" s="1622"/>
      <c r="AG66" s="1622"/>
    </row>
    <row r="67" spans="1:33" s="2264" customFormat="1" ht="51.75" thickBot="1">
      <c r="A67" s="2295" t="s">
        <v>2660</v>
      </c>
      <c r="B67" s="2300" t="str">
        <f>估价对象房地状况!C20</f>
        <v>区域自然环境：知春公园、双榆树公园；人文环境；首体足球场、大运村网球场；
综合评价环境状况较好</v>
      </c>
      <c r="C67" s="3732" t="s">
        <v>30</v>
      </c>
      <c r="D67" s="2282">
        <f t="shared" si="15"/>
        <v>2.8E-3</v>
      </c>
      <c r="E67" s="2297"/>
      <c r="F67" s="2284"/>
      <c r="G67" s="2285">
        <v>2.8E-3</v>
      </c>
      <c r="H67" s="2286">
        <f t="shared" si="16"/>
        <v>2.8E-3</v>
      </c>
      <c r="I67" s="2298">
        <v>0.06</v>
      </c>
      <c r="J67" s="2288">
        <f t="shared" si="17"/>
        <v>5.5999999999999999E-3</v>
      </c>
      <c r="K67" s="2288">
        <f t="shared" si="18"/>
        <v>2.8E-3</v>
      </c>
      <c r="L67" s="2288">
        <v>0</v>
      </c>
      <c r="M67" s="2288">
        <f t="shared" si="19"/>
        <v>-2.8E-3</v>
      </c>
      <c r="N67" s="2288">
        <f t="shared" si="19"/>
        <v>-5.5999999999999999E-3</v>
      </c>
      <c r="O67" s="1622"/>
      <c r="P67" s="1622"/>
      <c r="Q67" s="3049"/>
      <c r="R67" s="3049"/>
      <c r="S67" s="3049"/>
      <c r="T67" s="3049"/>
      <c r="U67" s="3049"/>
      <c r="V67" s="3049"/>
      <c r="W67" s="3049"/>
      <c r="X67" s="1622"/>
      <c r="Y67" s="1622"/>
      <c r="Z67" s="1622"/>
      <c r="AA67" s="1622"/>
      <c r="AB67" s="1622"/>
      <c r="AC67" s="1622"/>
      <c r="AD67" s="1622"/>
      <c r="AE67" s="1622"/>
      <c r="AF67" s="1622"/>
      <c r="AG67" s="1622"/>
    </row>
    <row r="68" spans="1:33" s="2264" customFormat="1" ht="15">
      <c r="A68" s="2270" t="s">
        <v>2666</v>
      </c>
      <c r="B68" s="2299">
        <f>1+E70</f>
        <v>1.054</v>
      </c>
      <c r="C68" s="2273"/>
      <c r="D68" s="2273"/>
      <c r="E68" s="2274"/>
      <c r="F68" s="2275"/>
      <c r="G68" s="608"/>
      <c r="H68" s="608"/>
      <c r="I68" s="608"/>
      <c r="J68" s="608"/>
      <c r="K68" s="608"/>
      <c r="L68" s="608"/>
      <c r="M68" s="608"/>
      <c r="N68" s="608"/>
      <c r="O68" s="1622"/>
      <c r="P68" s="1622"/>
      <c r="Q68" s="3049"/>
      <c r="R68" s="3049"/>
      <c r="S68" s="3049"/>
      <c r="T68" s="3049"/>
      <c r="U68" s="3049"/>
      <c r="V68" s="3049"/>
      <c r="W68" s="3049"/>
      <c r="X68" s="1622"/>
      <c r="Y68" s="1622"/>
      <c r="Z68" s="1622"/>
      <c r="AA68" s="1622"/>
      <c r="AB68" s="1622"/>
      <c r="AC68" s="1622"/>
      <c r="AD68" s="1622"/>
      <c r="AE68" s="1622"/>
      <c r="AF68" s="1622"/>
      <c r="AG68" s="1622"/>
    </row>
    <row r="69" spans="1:33" s="2264" customFormat="1" ht="24.75">
      <c r="A69" s="2277" t="s">
        <v>2636</v>
      </c>
      <c r="B69" s="2289"/>
      <c r="C69" s="2278" t="s">
        <v>2638</v>
      </c>
      <c r="D69" s="2278" t="s">
        <v>2639</v>
      </c>
      <c r="E69" s="2279" t="s">
        <v>2640</v>
      </c>
      <c r="F69" s="2229" t="s">
        <v>2641</v>
      </c>
      <c r="G69" s="2278" t="s">
        <v>2662</v>
      </c>
      <c r="H69" s="2280" t="s">
        <v>2663</v>
      </c>
      <c r="I69" s="2278" t="s">
        <v>2664</v>
      </c>
      <c r="J69" s="1905" t="s">
        <v>2307</v>
      </c>
      <c r="K69" s="1905" t="s">
        <v>2308</v>
      </c>
      <c r="L69" s="1905" t="s">
        <v>2309</v>
      </c>
      <c r="M69" s="1905" t="s">
        <v>2310</v>
      </c>
      <c r="N69" s="1905" t="s">
        <v>2311</v>
      </c>
      <c r="O69" s="1622"/>
      <c r="P69" s="1622"/>
      <c r="Q69" s="3049"/>
      <c r="R69" s="3049"/>
      <c r="S69" s="3049"/>
      <c r="T69" s="3049"/>
      <c r="U69" s="3049"/>
      <c r="V69" s="3049"/>
      <c r="W69" s="3049"/>
      <c r="X69" s="1622"/>
      <c r="Y69" s="1622"/>
      <c r="Z69" s="1622"/>
      <c r="AA69" s="1622"/>
      <c r="AB69" s="1622"/>
      <c r="AC69" s="1622"/>
      <c r="AD69" s="1622"/>
      <c r="AE69" s="1622"/>
      <c r="AF69" s="1622"/>
      <c r="AG69" s="1622"/>
    </row>
    <row r="70" spans="1:33" s="2264" customFormat="1" ht="63" customHeight="1">
      <c r="A70" s="2277" t="s">
        <v>2667</v>
      </c>
      <c r="B70" s="2281" t="str">
        <f>估价对象房地状况!C15</f>
        <v>估价对象周边居住用地比例、居住小区规模和社区发展完善程度，综合评价居住社区成熟度一般</v>
      </c>
      <c r="C70" s="2165" t="s">
        <v>30</v>
      </c>
      <c r="D70" s="2282">
        <f t="shared" ref="D70:D78" si="20">SUMIF($J$69:$N$69,C70,J70:N70)</f>
        <v>4.5999999999999999E-3</v>
      </c>
      <c r="E70" s="2283">
        <f>ROUND(SUM(D70:D78),4)</f>
        <v>5.3999999999999999E-2</v>
      </c>
      <c r="F70" s="2284" t="str">
        <f>IF(E2="住宅",SUMIF(L1:L12,G2,N1:N12),"——")</f>
        <v>——</v>
      </c>
      <c r="G70" s="2285">
        <v>4.5999999999999999E-3</v>
      </c>
      <c r="H70" s="2286" t="str">
        <f t="shared" ref="H70:H78" si="21">IFERROR(ROUNDDOWN($F$70*I70/2,4),"——")</f>
        <v>——</v>
      </c>
      <c r="I70" s="2287">
        <v>0.14000000000000001</v>
      </c>
      <c r="J70" s="2288">
        <f t="shared" ref="J70:J78" si="22">K70+$G70</f>
        <v>9.1999999999999998E-3</v>
      </c>
      <c r="K70" s="2288">
        <f t="shared" ref="K70:K78" si="23">$L70+$G70</f>
        <v>4.5999999999999999E-3</v>
      </c>
      <c r="L70" s="2288">
        <v>0</v>
      </c>
      <c r="M70" s="2288">
        <f t="shared" ref="M70:N78" si="24">L70-$G70</f>
        <v>-4.5999999999999999E-3</v>
      </c>
      <c r="N70" s="2288">
        <f t="shared" si="24"/>
        <v>-9.1999999999999998E-3</v>
      </c>
      <c r="O70" s="1622"/>
      <c r="P70" s="1622"/>
      <c r="Q70" s="3049"/>
      <c r="R70" s="3049"/>
      <c r="S70" s="3049"/>
      <c r="T70" s="3049"/>
      <c r="U70" s="3049"/>
      <c r="V70" s="3049"/>
      <c r="W70" s="3049"/>
      <c r="X70" s="1622"/>
      <c r="Y70" s="1622"/>
      <c r="Z70" s="1622"/>
      <c r="AA70" s="1622"/>
      <c r="AB70" s="1622"/>
      <c r="AC70" s="1622"/>
      <c r="AD70" s="1622"/>
      <c r="AE70" s="1622"/>
      <c r="AF70" s="1622"/>
      <c r="AG70" s="1622"/>
    </row>
    <row r="71" spans="1:33" s="2264" customFormat="1" ht="63.75" customHeight="1">
      <c r="A71" s="2277" t="s">
        <v>2651</v>
      </c>
      <c r="B71" s="2289" t="str">
        <f>估价对象房地状况!C18</f>
        <v>估价对象临近知春路，距离地铁10、13号线知春路站约100米，周边有专168路、311路、319路、630路等公交车通达，停车便捷程度较好，综合评价交通便捷度好</v>
      </c>
      <c r="C71" s="2165" t="s">
        <v>29</v>
      </c>
      <c r="D71" s="2282">
        <f t="shared" si="20"/>
        <v>1.9800000000000002E-2</v>
      </c>
      <c r="E71" s="2290"/>
      <c r="F71" s="2284"/>
      <c r="G71" s="2285">
        <v>9.9000000000000008E-3</v>
      </c>
      <c r="H71" s="2286" t="str">
        <f t="shared" si="21"/>
        <v>——</v>
      </c>
      <c r="I71" s="2287">
        <v>0.3</v>
      </c>
      <c r="J71" s="2288">
        <f t="shared" si="22"/>
        <v>1.9800000000000002E-2</v>
      </c>
      <c r="K71" s="2288">
        <f t="shared" si="23"/>
        <v>9.9000000000000008E-3</v>
      </c>
      <c r="L71" s="2288">
        <v>0</v>
      </c>
      <c r="M71" s="2288">
        <f t="shared" si="24"/>
        <v>-9.9000000000000008E-3</v>
      </c>
      <c r="N71" s="2288">
        <f t="shared" si="24"/>
        <v>-1.9800000000000002E-2</v>
      </c>
      <c r="O71" s="1622"/>
      <c r="P71" s="1622"/>
      <c r="Q71" s="3049"/>
      <c r="R71" s="3049"/>
      <c r="S71" s="3049"/>
      <c r="T71" s="3049"/>
      <c r="U71" s="3049"/>
      <c r="V71" s="3049"/>
      <c r="W71" s="3049"/>
      <c r="X71" s="1622"/>
      <c r="Y71" s="1622"/>
      <c r="Z71" s="1622"/>
      <c r="AA71" s="1622"/>
      <c r="AB71" s="1622"/>
      <c r="AC71" s="1622"/>
      <c r="AD71" s="1622"/>
      <c r="AE71" s="1622"/>
      <c r="AF71" s="1622"/>
      <c r="AG71" s="1622"/>
    </row>
    <row r="72" spans="1:33" s="2264" customFormat="1" ht="24">
      <c r="A72" s="2277" t="s">
        <v>2652</v>
      </c>
      <c r="B72" s="2289">
        <f>估价对象房地状况!C19</f>
        <v>0</v>
      </c>
      <c r="C72" s="2165" t="s">
        <v>30</v>
      </c>
      <c r="D72" s="2282">
        <f t="shared" si="20"/>
        <v>2.5999999999999999E-3</v>
      </c>
      <c r="E72" s="2290"/>
      <c r="F72" s="2284"/>
      <c r="G72" s="2285">
        <v>2.5999999999999999E-3</v>
      </c>
      <c r="H72" s="2286" t="str">
        <f t="shared" si="21"/>
        <v>——</v>
      </c>
      <c r="I72" s="2287">
        <v>0.08</v>
      </c>
      <c r="J72" s="2288">
        <f t="shared" si="22"/>
        <v>5.1999999999999998E-3</v>
      </c>
      <c r="K72" s="2288">
        <f t="shared" si="23"/>
        <v>2.5999999999999999E-3</v>
      </c>
      <c r="L72" s="2288">
        <v>0</v>
      </c>
      <c r="M72" s="2288">
        <f t="shared" si="24"/>
        <v>-2.5999999999999999E-3</v>
      </c>
      <c r="N72" s="2288">
        <f t="shared" si="24"/>
        <v>-5.1999999999999998E-3</v>
      </c>
      <c r="O72" s="1622"/>
      <c r="P72" s="1622"/>
      <c r="Q72" s="3049"/>
      <c r="R72" s="3049"/>
      <c r="S72" s="3049"/>
      <c r="T72" s="3049"/>
      <c r="U72" s="3049"/>
      <c r="V72" s="3049"/>
      <c r="W72" s="3049"/>
      <c r="X72" s="1622"/>
      <c r="Y72" s="1622"/>
      <c r="Z72" s="1622"/>
      <c r="AA72" s="1622"/>
      <c r="AB72" s="1622"/>
      <c r="AC72" s="1622"/>
      <c r="AD72" s="1622"/>
      <c r="AE72" s="1622"/>
      <c r="AF72" s="1622"/>
      <c r="AG72" s="1622"/>
    </row>
    <row r="73" spans="1:33" s="2264" customFormat="1" ht="14.25">
      <c r="A73" s="2277" t="s">
        <v>2668</v>
      </c>
      <c r="B73" s="2289" t="str">
        <f>估价对象房地状况!C24</f>
        <v>城市主干道-知春路</v>
      </c>
      <c r="C73" s="2165" t="s">
        <v>30</v>
      </c>
      <c r="D73" s="2282">
        <f t="shared" si="20"/>
        <v>1.2999999999999999E-3</v>
      </c>
      <c r="E73" s="2290"/>
      <c r="F73" s="2284"/>
      <c r="G73" s="2285">
        <v>1.2999999999999999E-3</v>
      </c>
      <c r="H73" s="2286" t="str">
        <f t="shared" si="21"/>
        <v>——</v>
      </c>
      <c r="I73" s="2287">
        <v>0.04</v>
      </c>
      <c r="J73" s="2288">
        <f t="shared" si="22"/>
        <v>2.5999999999999999E-3</v>
      </c>
      <c r="K73" s="2288">
        <f t="shared" si="23"/>
        <v>1.2999999999999999E-3</v>
      </c>
      <c r="L73" s="2288">
        <v>0</v>
      </c>
      <c r="M73" s="2288">
        <f t="shared" si="24"/>
        <v>-1.2999999999999999E-3</v>
      </c>
      <c r="N73" s="2288">
        <f t="shared" si="24"/>
        <v>-2.5999999999999999E-3</v>
      </c>
      <c r="O73" s="1622"/>
      <c r="P73" s="1622"/>
      <c r="Q73" s="3049"/>
      <c r="R73" s="3049"/>
      <c r="S73" s="3049"/>
      <c r="T73" s="3049"/>
      <c r="U73" s="3049"/>
      <c r="V73" s="3049"/>
      <c r="W73" s="3049"/>
      <c r="X73" s="1622"/>
      <c r="Y73" s="1622"/>
      <c r="Z73" s="1622"/>
      <c r="AA73" s="1622"/>
      <c r="AB73" s="1622"/>
      <c r="AC73" s="1622"/>
      <c r="AD73" s="1622"/>
      <c r="AE73" s="1622"/>
      <c r="AF73" s="1622"/>
      <c r="AG73" s="1622"/>
    </row>
    <row r="74" spans="1:33" s="2264" customFormat="1" ht="74.25" customHeight="1">
      <c r="A74" s="2277" t="s">
        <v>2658</v>
      </c>
      <c r="B74"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74" s="2165" t="s">
        <v>29</v>
      </c>
      <c r="D74" s="2282">
        <f t="shared" si="20"/>
        <v>5.1999999999999998E-3</v>
      </c>
      <c r="E74" s="2290"/>
      <c r="F74" s="2284"/>
      <c r="G74" s="2285">
        <v>2.5999999999999999E-3</v>
      </c>
      <c r="H74" s="2286" t="str">
        <f t="shared" si="21"/>
        <v>——</v>
      </c>
      <c r="I74" s="2287">
        <v>0.08</v>
      </c>
      <c r="J74" s="2288">
        <f t="shared" si="22"/>
        <v>5.1999999999999998E-3</v>
      </c>
      <c r="K74" s="2288">
        <f t="shared" si="23"/>
        <v>2.5999999999999999E-3</v>
      </c>
      <c r="L74" s="2288">
        <v>0</v>
      </c>
      <c r="M74" s="2288">
        <f t="shared" si="24"/>
        <v>-2.5999999999999999E-3</v>
      </c>
      <c r="N74" s="2288">
        <f t="shared" si="24"/>
        <v>-5.1999999999999998E-3</v>
      </c>
      <c r="O74" s="1622"/>
      <c r="P74" s="1622"/>
      <c r="Q74" s="3049"/>
      <c r="R74" s="3049"/>
      <c r="S74" s="3049"/>
      <c r="T74" s="3049"/>
      <c r="U74" s="3049"/>
      <c r="V74" s="3049"/>
      <c r="W74" s="3049"/>
      <c r="X74" s="1622"/>
      <c r="Y74" s="1622"/>
      <c r="Z74" s="1622"/>
      <c r="AA74" s="1622"/>
      <c r="AB74" s="1622"/>
      <c r="AC74" s="1622"/>
      <c r="AD74" s="1622"/>
      <c r="AE74" s="1622"/>
      <c r="AF74" s="1622"/>
      <c r="AG74" s="1622"/>
    </row>
    <row r="75" spans="1:33" s="2264" customFormat="1" ht="25.5">
      <c r="A75" s="2277" t="s">
        <v>2659</v>
      </c>
      <c r="B75" s="2294" t="str">
        <f>估价对象房地状况!C22</f>
        <v>估价对象所在区域基础设施水平-七通</v>
      </c>
      <c r="C75" s="2165" t="s">
        <v>29</v>
      </c>
      <c r="D75" s="2282">
        <f t="shared" si="20"/>
        <v>7.7999999999999996E-3</v>
      </c>
      <c r="E75" s="2290"/>
      <c r="F75" s="2284"/>
      <c r="G75" s="2285">
        <v>3.8999999999999998E-3</v>
      </c>
      <c r="H75" s="2286" t="str">
        <f t="shared" si="21"/>
        <v>——</v>
      </c>
      <c r="I75" s="2287">
        <v>0.12</v>
      </c>
      <c r="J75" s="2288">
        <f t="shared" si="22"/>
        <v>7.7999999999999996E-3</v>
      </c>
      <c r="K75" s="2288">
        <f t="shared" si="23"/>
        <v>3.8999999999999998E-3</v>
      </c>
      <c r="L75" s="2288">
        <v>0</v>
      </c>
      <c r="M75" s="2288">
        <f t="shared" si="24"/>
        <v>-3.8999999999999998E-3</v>
      </c>
      <c r="N75" s="2288">
        <f t="shared" si="24"/>
        <v>-7.7999999999999996E-3</v>
      </c>
      <c r="O75" s="1622"/>
      <c r="P75" s="1622"/>
      <c r="Q75" s="3049"/>
      <c r="R75" s="3049"/>
      <c r="S75" s="3049"/>
      <c r="T75" s="3049"/>
      <c r="U75" s="3049"/>
      <c r="V75" s="3049"/>
      <c r="W75" s="3049"/>
      <c r="X75" s="1622"/>
      <c r="Y75" s="1622"/>
      <c r="Z75" s="1622"/>
      <c r="AA75" s="1622"/>
      <c r="AB75" s="1622"/>
      <c r="AC75" s="1622"/>
      <c r="AD75" s="1622"/>
      <c r="AE75" s="1622"/>
      <c r="AF75" s="1622"/>
      <c r="AG75" s="1622"/>
    </row>
    <row r="76" spans="1:33" ht="24">
      <c r="A76" s="2277" t="s">
        <v>2656</v>
      </c>
      <c r="B76" s="2292" t="s">
        <v>2657</v>
      </c>
      <c r="C76" s="2165" t="s">
        <v>30</v>
      </c>
      <c r="D76" s="2282">
        <f t="shared" si="20"/>
        <v>1.6000000000000001E-3</v>
      </c>
      <c r="E76" s="2290"/>
      <c r="F76" s="2284"/>
      <c r="G76" s="2285">
        <v>1.6000000000000001E-3</v>
      </c>
      <c r="H76" s="2286" t="str">
        <f t="shared" si="21"/>
        <v>——</v>
      </c>
      <c r="I76" s="2287">
        <v>0.05</v>
      </c>
      <c r="J76" s="2288">
        <f t="shared" si="22"/>
        <v>3.2000000000000002E-3</v>
      </c>
      <c r="K76" s="2288">
        <f t="shared" si="23"/>
        <v>1.6000000000000001E-3</v>
      </c>
      <c r="L76" s="2288">
        <v>0</v>
      </c>
      <c r="M76" s="2288">
        <f t="shared" si="24"/>
        <v>-1.6000000000000001E-3</v>
      </c>
      <c r="N76" s="2288">
        <f t="shared" si="24"/>
        <v>-3.2000000000000002E-3</v>
      </c>
      <c r="Q76" s="3057"/>
      <c r="R76" s="3057"/>
      <c r="S76" s="3057"/>
      <c r="T76" s="3057"/>
      <c r="U76" s="3057"/>
      <c r="V76" s="3057"/>
      <c r="W76" s="3057"/>
      <c r="AA76" s="1623"/>
      <c r="AG76" s="2264"/>
    </row>
    <row r="77" spans="1:33" ht="51">
      <c r="A77" s="2277" t="s">
        <v>2660</v>
      </c>
      <c r="B77" s="2281" t="str">
        <f>估价对象房地状况!C20</f>
        <v>区域自然环境：知春公园、双榆树公园；人文环境；首体足球场、大运村网球场；
综合评价环境状况较好</v>
      </c>
      <c r="C77" s="2165" t="s">
        <v>29</v>
      </c>
      <c r="D77" s="2282">
        <f t="shared" si="20"/>
        <v>9.7999999999999997E-3</v>
      </c>
      <c r="E77" s="2290"/>
      <c r="F77" s="2284"/>
      <c r="G77" s="2285">
        <v>4.8999999999999998E-3</v>
      </c>
      <c r="H77" s="2286" t="str">
        <f t="shared" si="21"/>
        <v>——</v>
      </c>
      <c r="I77" s="2287">
        <v>0.15</v>
      </c>
      <c r="J77" s="2288">
        <f t="shared" si="22"/>
        <v>9.7999999999999997E-3</v>
      </c>
      <c r="K77" s="2288">
        <f t="shared" si="23"/>
        <v>4.8999999999999998E-3</v>
      </c>
      <c r="L77" s="2288">
        <v>0</v>
      </c>
      <c r="M77" s="2288">
        <f t="shared" si="24"/>
        <v>-4.8999999999999998E-3</v>
      </c>
      <c r="N77" s="2288">
        <f t="shared" si="24"/>
        <v>-9.7999999999999997E-3</v>
      </c>
      <c r="Q77" s="3057"/>
      <c r="R77" s="3057"/>
      <c r="S77" s="3057"/>
      <c r="T77" s="3057"/>
      <c r="U77" s="3057"/>
      <c r="V77" s="3057"/>
      <c r="W77" s="3057"/>
      <c r="AA77" s="1623"/>
      <c r="AG77" s="2264"/>
    </row>
    <row r="78" spans="1:33" ht="24.75" thickBot="1">
      <c r="A78" s="2295" t="s">
        <v>2669</v>
      </c>
      <c r="B78" s="2301"/>
      <c r="C78" s="2165" t="s">
        <v>30</v>
      </c>
      <c r="D78" s="2282">
        <f t="shared" si="20"/>
        <v>1.2999999999999999E-3</v>
      </c>
      <c r="E78" s="2297"/>
      <c r="F78" s="2284"/>
      <c r="G78" s="2285">
        <v>1.2999999999999999E-3</v>
      </c>
      <c r="H78" s="2286" t="str">
        <f t="shared" si="21"/>
        <v>——</v>
      </c>
      <c r="I78" s="2298">
        <v>0.04</v>
      </c>
      <c r="J78" s="2288">
        <f t="shared" si="22"/>
        <v>2.5999999999999999E-3</v>
      </c>
      <c r="K78" s="2288">
        <f t="shared" si="23"/>
        <v>1.2999999999999999E-3</v>
      </c>
      <c r="L78" s="2288">
        <v>0</v>
      </c>
      <c r="M78" s="2288">
        <f t="shared" si="24"/>
        <v>-1.2999999999999999E-3</v>
      </c>
      <c r="N78" s="2288">
        <f t="shared" si="24"/>
        <v>-2.5999999999999999E-3</v>
      </c>
      <c r="Q78" s="3057"/>
      <c r="R78" s="3057"/>
      <c r="S78" s="3057"/>
      <c r="T78" s="3057"/>
      <c r="U78" s="3057"/>
      <c r="V78" s="3057"/>
      <c r="W78" s="3057"/>
      <c r="AA78" s="1623"/>
      <c r="AG78" s="2264"/>
    </row>
    <row r="79" spans="1:33" ht="15">
      <c r="A79" s="2270" t="s">
        <v>2670</v>
      </c>
      <c r="B79" s="2299">
        <f>1+E81</f>
        <v>1</v>
      </c>
      <c r="C79" s="2273"/>
      <c r="D79" s="2273"/>
      <c r="E79" s="2274"/>
      <c r="F79" s="2275"/>
      <c r="G79" s="608"/>
      <c r="H79" s="608"/>
      <c r="I79" s="608"/>
      <c r="J79" s="608"/>
      <c r="K79" s="608"/>
      <c r="L79" s="608"/>
      <c r="M79" s="608"/>
      <c r="N79" s="608"/>
      <c r="Q79" s="3057"/>
      <c r="R79" s="3057"/>
      <c r="S79" s="3057"/>
      <c r="T79" s="3057"/>
      <c r="U79" s="3057"/>
      <c r="V79" s="3057"/>
      <c r="W79" s="3057"/>
      <c r="AA79" s="1623"/>
      <c r="AG79" s="2264"/>
    </row>
    <row r="80" spans="1:33" ht="24.75">
      <c r="A80" s="2277" t="s">
        <v>2636</v>
      </c>
      <c r="B80" s="2289"/>
      <c r="C80" s="2278" t="s">
        <v>2638</v>
      </c>
      <c r="D80" s="2278" t="s">
        <v>2639</v>
      </c>
      <c r="E80" s="2279" t="s">
        <v>2640</v>
      </c>
      <c r="F80" s="2229" t="s">
        <v>2641</v>
      </c>
      <c r="G80" s="2278" t="s">
        <v>2662</v>
      </c>
      <c r="H80" s="2280" t="s">
        <v>2663</v>
      </c>
      <c r="I80" s="2278" t="s">
        <v>2664</v>
      </c>
      <c r="J80" s="1905" t="s">
        <v>2307</v>
      </c>
      <c r="K80" s="1905" t="s">
        <v>2308</v>
      </c>
      <c r="L80" s="1905" t="s">
        <v>2309</v>
      </c>
      <c r="M80" s="1905" t="s">
        <v>2310</v>
      </c>
      <c r="N80" s="1905" t="s">
        <v>2311</v>
      </c>
      <c r="Q80" s="3057"/>
      <c r="R80" s="3057"/>
      <c r="S80" s="3057"/>
      <c r="T80" s="3057"/>
      <c r="U80" s="3057"/>
      <c r="V80" s="3057"/>
      <c r="W80" s="3057"/>
      <c r="AA80" s="1623"/>
      <c r="AG80" s="2264"/>
    </row>
    <row r="81" spans="1:33" ht="38.25">
      <c r="A81" s="2277" t="s">
        <v>2671</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7"/>
      <c r="R81" s="3057"/>
      <c r="S81" s="3057"/>
      <c r="T81" s="3057"/>
      <c r="U81" s="3057"/>
      <c r="V81" s="3057"/>
      <c r="W81" s="3057"/>
      <c r="AA81" s="1623"/>
      <c r="AG81" s="2264"/>
    </row>
    <row r="82" spans="1:33" ht="51">
      <c r="A82" s="2277" t="s">
        <v>2651</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7"/>
      <c r="R82" s="3057"/>
      <c r="S82" s="3057"/>
      <c r="T82" s="3057"/>
      <c r="U82" s="3057"/>
      <c r="V82" s="3057"/>
      <c r="W82" s="3057"/>
      <c r="AA82" s="1623"/>
      <c r="AG82" s="2264"/>
    </row>
    <row r="83" spans="1:33" ht="24">
      <c r="A83" s="2277" t="s">
        <v>2652</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7"/>
      <c r="R83" s="3057"/>
      <c r="S83" s="3057"/>
      <c r="T83" s="3057"/>
      <c r="U83" s="3057"/>
      <c r="V83" s="3057"/>
      <c r="W83" s="3057"/>
      <c r="AA83" s="1623"/>
      <c r="AG83" s="2264"/>
    </row>
    <row r="84" spans="1:33" ht="14.25">
      <c r="A84" s="2277" t="s">
        <v>2668</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7"/>
      <c r="R84" s="3057"/>
      <c r="S84" s="3057"/>
      <c r="T84" s="3057"/>
      <c r="U84" s="3057"/>
      <c r="V84" s="3057"/>
      <c r="W84" s="3057"/>
      <c r="AA84" s="1623"/>
      <c r="AG84" s="2264"/>
    </row>
    <row r="85" spans="1:33" ht="25.5">
      <c r="A85" s="2277" t="s">
        <v>2658</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7"/>
      <c r="R85" s="3057"/>
      <c r="S85" s="3057"/>
      <c r="T85" s="3057"/>
      <c r="U85" s="3057"/>
      <c r="V85" s="3057"/>
      <c r="W85" s="3057"/>
      <c r="AA85" s="1623"/>
      <c r="AG85" s="2264"/>
    </row>
    <row r="86" spans="1:33" ht="25.5">
      <c r="A86" s="2277" t="s">
        <v>2659</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7"/>
      <c r="R86" s="3057"/>
      <c r="S86" s="3057"/>
      <c r="T86" s="3057"/>
      <c r="U86" s="3057"/>
      <c r="V86" s="3057"/>
      <c r="W86" s="3057"/>
      <c r="AA86" s="1623"/>
      <c r="AG86" s="2264"/>
    </row>
    <row r="87" spans="1:33" ht="24">
      <c r="A87" s="2277" t="s">
        <v>2656</v>
      </c>
      <c r="B87" s="2292" t="s">
        <v>2657</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7"/>
      <c r="R87" s="3057"/>
      <c r="S87" s="3057"/>
      <c r="T87" s="3057"/>
      <c r="U87" s="3057"/>
      <c r="V87" s="3057"/>
      <c r="W87" s="3057"/>
      <c r="AA87" s="1623"/>
      <c r="AG87" s="2264"/>
    </row>
    <row r="88" spans="1:33" ht="39" thickBot="1">
      <c r="A88" s="2295" t="s">
        <v>2672</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7"/>
      <c r="R88" s="3057"/>
      <c r="S88" s="3057"/>
      <c r="T88" s="3057"/>
      <c r="U88" s="3057"/>
      <c r="V88" s="3057"/>
      <c r="W88" s="3057"/>
      <c r="AA88" s="1623"/>
      <c r="AG88" s="2264"/>
    </row>
    <row r="89" spans="1:33">
      <c r="Q89" s="3057"/>
      <c r="R89" s="3057"/>
      <c r="S89" s="3057"/>
      <c r="T89" s="3057"/>
      <c r="U89" s="3057"/>
      <c r="V89" s="3057"/>
      <c r="W89" s="3057"/>
    </row>
    <row r="90" spans="1:33">
      <c r="A90" s="4159" t="s">
        <v>2673</v>
      </c>
      <c r="B90" s="4159"/>
      <c r="C90" s="4159"/>
      <c r="D90" s="4159"/>
      <c r="E90" s="4159"/>
      <c r="F90" s="4159"/>
      <c r="G90" s="4159"/>
      <c r="H90" s="4159"/>
      <c r="I90" s="4159"/>
      <c r="J90" s="4159"/>
      <c r="K90" s="2305"/>
      <c r="L90" s="2305"/>
      <c r="M90" s="2305"/>
      <c r="N90" s="2305"/>
      <c r="Q90" s="3057"/>
      <c r="R90" s="3057"/>
      <c r="S90" s="3057"/>
      <c r="T90" s="3057"/>
      <c r="U90" s="3057"/>
      <c r="V90" s="3057"/>
      <c r="W90" s="3057"/>
    </row>
    <row r="91" spans="1:33">
      <c r="A91" s="4161" t="s">
        <v>2674</v>
      </c>
      <c r="B91" s="4161" t="s">
        <v>2675</v>
      </c>
      <c r="C91" s="2244" t="s">
        <v>2676</v>
      </c>
      <c r="D91" s="2245"/>
      <c r="E91" s="2245"/>
      <c r="F91" s="2245"/>
      <c r="G91" s="2245"/>
      <c r="H91" s="2245"/>
      <c r="I91" s="2245"/>
      <c r="J91" s="2307"/>
      <c r="K91" s="2067"/>
      <c r="L91" s="2067"/>
      <c r="M91" s="2067"/>
      <c r="N91" s="2067"/>
      <c r="Q91" s="3057"/>
      <c r="R91" s="3057"/>
      <c r="S91" s="3057"/>
      <c r="T91" s="3057"/>
      <c r="U91" s="3057"/>
      <c r="V91" s="3057"/>
      <c r="W91" s="3057"/>
    </row>
    <row r="92" spans="1:33">
      <c r="A92" s="4161"/>
      <c r="B92" s="4161"/>
      <c r="C92" s="2030" t="s">
        <v>2532</v>
      </c>
      <c r="D92" s="2030" t="s">
        <v>2533</v>
      </c>
      <c r="E92" s="2030" t="s">
        <v>2534</v>
      </c>
      <c r="F92" s="2030" t="s">
        <v>2535</v>
      </c>
      <c r="G92" s="2030" t="s">
        <v>2536</v>
      </c>
      <c r="H92" s="2030" t="s">
        <v>2537</v>
      </c>
      <c r="I92" s="2030" t="s">
        <v>2538</v>
      </c>
      <c r="J92" s="2030" t="s">
        <v>2539</v>
      </c>
      <c r="K92" s="2030" t="s">
        <v>2540</v>
      </c>
      <c r="L92" s="2030" t="s">
        <v>2541</v>
      </c>
      <c r="M92" s="2030" t="s">
        <v>2542</v>
      </c>
      <c r="N92" s="2030" t="s">
        <v>2543</v>
      </c>
      <c r="Q92" s="3057"/>
      <c r="R92" s="3057"/>
      <c r="S92" s="3057"/>
      <c r="T92" s="3057"/>
      <c r="U92" s="3057"/>
      <c r="V92" s="3057"/>
      <c r="W92" s="3057"/>
    </row>
    <row r="93" spans="1:33">
      <c r="A93" s="4162" t="s">
        <v>2677</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7"/>
      <c r="R93" s="3057"/>
      <c r="S93" s="3057"/>
      <c r="T93" s="3057"/>
      <c r="U93" s="3057"/>
      <c r="V93" s="3057"/>
      <c r="W93" s="3057"/>
    </row>
    <row r="94" spans="1:33">
      <c r="A94" s="4163"/>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7"/>
      <c r="R94" s="3057"/>
      <c r="S94" s="3057"/>
      <c r="T94" s="3057"/>
      <c r="U94" s="3057"/>
      <c r="V94" s="3057"/>
      <c r="W94" s="3057"/>
    </row>
    <row r="95" spans="1:33">
      <c r="A95" s="4163"/>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7"/>
      <c r="R95" s="3057"/>
      <c r="S95" s="3057"/>
      <c r="T95" s="3057"/>
      <c r="U95" s="3057"/>
      <c r="V95" s="3057"/>
      <c r="W95" s="3057"/>
    </row>
    <row r="96" spans="1:33">
      <c r="A96" s="4163"/>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7"/>
      <c r="R96" s="3057"/>
      <c r="S96" s="3057"/>
      <c r="T96" s="3057"/>
      <c r="U96" s="3057"/>
      <c r="V96" s="3057"/>
      <c r="W96" s="3057"/>
    </row>
    <row r="97" spans="1:23">
      <c r="A97" s="4163"/>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7"/>
      <c r="R97" s="3057"/>
      <c r="S97" s="3057"/>
      <c r="T97" s="3057"/>
      <c r="U97" s="3057"/>
      <c r="V97" s="3057"/>
      <c r="W97" s="3057"/>
    </row>
    <row r="98" spans="1:23">
      <c r="A98" s="4163"/>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7"/>
      <c r="R98" s="3057"/>
      <c r="S98" s="3057"/>
      <c r="T98" s="3057"/>
      <c r="U98" s="3057"/>
      <c r="V98" s="3057"/>
      <c r="W98" s="3057"/>
    </row>
    <row r="99" spans="1:23">
      <c r="A99" s="4163"/>
      <c r="B99" s="2308" t="s">
        <v>2548</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7"/>
      <c r="R99" s="3057"/>
      <c r="S99" s="3057"/>
      <c r="T99" s="3057"/>
      <c r="U99" s="3057"/>
      <c r="V99" s="3057"/>
      <c r="W99" s="3057"/>
    </row>
    <row r="100" spans="1:23">
      <c r="A100" s="4164"/>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7"/>
      <c r="R100" s="3057"/>
      <c r="S100" s="3057"/>
      <c r="T100" s="3057"/>
      <c r="U100" s="3057"/>
      <c r="V100" s="3057"/>
      <c r="W100" s="3057"/>
    </row>
    <row r="101" spans="1:23">
      <c r="A101" s="4162" t="s">
        <v>2678</v>
      </c>
      <c r="B101" s="2312" t="s">
        <v>2679</v>
      </c>
      <c r="C101" s="2313">
        <f>$G$3</f>
        <v>4.6399999999999997</v>
      </c>
      <c r="D101" s="2313">
        <f t="shared" ref="D101:N101" si="31">$G$3</f>
        <v>4.6399999999999997</v>
      </c>
      <c r="E101" s="2313">
        <f t="shared" si="31"/>
        <v>4.6399999999999997</v>
      </c>
      <c r="F101" s="2313">
        <f t="shared" si="31"/>
        <v>4.6399999999999997</v>
      </c>
      <c r="G101" s="2313">
        <f t="shared" si="31"/>
        <v>4.6399999999999997</v>
      </c>
      <c r="H101" s="2313">
        <f t="shared" si="31"/>
        <v>4.6399999999999997</v>
      </c>
      <c r="I101" s="2313">
        <f t="shared" si="31"/>
        <v>4.6399999999999997</v>
      </c>
      <c r="J101" s="2313">
        <f t="shared" si="31"/>
        <v>4.6399999999999997</v>
      </c>
      <c r="K101" s="2313">
        <f t="shared" si="31"/>
        <v>4.6399999999999997</v>
      </c>
      <c r="L101" s="2313">
        <f t="shared" si="31"/>
        <v>4.6399999999999997</v>
      </c>
      <c r="M101" s="2313">
        <f t="shared" si="31"/>
        <v>4.6399999999999997</v>
      </c>
      <c r="N101" s="2313">
        <f t="shared" si="31"/>
        <v>4.6399999999999997</v>
      </c>
      <c r="Q101" s="3057"/>
      <c r="R101" s="3057"/>
      <c r="S101" s="3057"/>
      <c r="T101" s="3057"/>
      <c r="U101" s="3057"/>
      <c r="V101" s="3057"/>
      <c r="W101" s="3057"/>
    </row>
    <row r="102" spans="1:23">
      <c r="A102" s="4163"/>
      <c r="B102" s="2308">
        <v>1</v>
      </c>
      <c r="C102" s="2309">
        <f>1.9362/C101</f>
        <v>0.41728448275862068</v>
      </c>
      <c r="D102" s="2309">
        <f>1.9362/D101</f>
        <v>0.41728448275862068</v>
      </c>
      <c r="E102" s="2309">
        <f>1.8629/E101</f>
        <v>0.40148706896551728</v>
      </c>
      <c r="F102" s="2309">
        <f>1.8629/F101</f>
        <v>0.40148706896551728</v>
      </c>
      <c r="G102" s="2309">
        <f>1.8629/G101</f>
        <v>0.40148706896551728</v>
      </c>
      <c r="H102" s="2309">
        <f>1.8629/H101</f>
        <v>0.40148706896551728</v>
      </c>
      <c r="I102" s="2309">
        <f>1.8629/I101</f>
        <v>0.40148706896551728</v>
      </c>
      <c r="J102" s="2309">
        <f>1.942/J101</f>
        <v>0.41853448275862071</v>
      </c>
      <c r="K102" s="2309">
        <f>1.942/K101</f>
        <v>0.41853448275862071</v>
      </c>
      <c r="L102" s="2309">
        <f>1.942/L101</f>
        <v>0.41853448275862071</v>
      </c>
      <c r="M102" s="2309">
        <f>1.942/M101</f>
        <v>0.41853448275862071</v>
      </c>
      <c r="N102" s="2309">
        <f>1.942/N101</f>
        <v>0.41853448275862071</v>
      </c>
      <c r="Q102" s="3057"/>
      <c r="R102" s="3057"/>
      <c r="S102" s="3057"/>
      <c r="T102" s="3057"/>
      <c r="U102" s="3057"/>
      <c r="V102" s="3057"/>
      <c r="W102" s="3057"/>
    </row>
    <row r="103" spans="1:23">
      <c r="A103" s="4163"/>
      <c r="B103" s="2308">
        <v>2</v>
      </c>
      <c r="C103" s="2309">
        <f>1.4198/C101</f>
        <v>0.30599137931034481</v>
      </c>
      <c r="D103" s="2309">
        <f>1.4198/D101</f>
        <v>0.30599137931034481</v>
      </c>
      <c r="E103" s="2309">
        <f>1.3372/E101</f>
        <v>0.28818965517241379</v>
      </c>
      <c r="F103" s="2309">
        <f>1.3372/F101</f>
        <v>0.28818965517241379</v>
      </c>
      <c r="G103" s="2309">
        <f>1.3372/G101</f>
        <v>0.28818965517241379</v>
      </c>
      <c r="H103" s="2309">
        <f>1.3372/H101</f>
        <v>0.28818965517241379</v>
      </c>
      <c r="I103" s="2309">
        <f>1.3372/I101</f>
        <v>0.28818965517241379</v>
      </c>
      <c r="J103" s="2309">
        <f>1.2799/J101</f>
        <v>0.27584051724137931</v>
      </c>
      <c r="K103" s="2309">
        <f>1.2799/K101</f>
        <v>0.27584051724137931</v>
      </c>
      <c r="L103" s="2309">
        <f>1.2799/L101</f>
        <v>0.27584051724137931</v>
      </c>
      <c r="M103" s="2309">
        <f>1.2799/M101</f>
        <v>0.27584051724137931</v>
      </c>
      <c r="N103" s="2309">
        <f>1.2799/N101</f>
        <v>0.27584051724137931</v>
      </c>
      <c r="Q103" s="3057"/>
      <c r="R103" s="3057"/>
      <c r="S103" s="3057"/>
      <c r="T103" s="3057"/>
      <c r="U103" s="3057"/>
      <c r="V103" s="3057"/>
      <c r="W103" s="3057"/>
    </row>
    <row r="104" spans="1:23">
      <c r="A104" s="4163"/>
      <c r="B104" s="2308">
        <v>3</v>
      </c>
      <c r="C104" s="2309">
        <f>1.1594/C101</f>
        <v>0.24987068965517242</v>
      </c>
      <c r="D104" s="2309">
        <f>1.1594/D101</f>
        <v>0.24987068965517242</v>
      </c>
      <c r="E104" s="2309">
        <f>1.0788/E101</f>
        <v>0.23250000000000001</v>
      </c>
      <c r="F104" s="2309">
        <f>1.0788/F101</f>
        <v>0.23250000000000001</v>
      </c>
      <c r="G104" s="2309">
        <f>1.0788/G101</f>
        <v>0.23250000000000001</v>
      </c>
      <c r="H104" s="2309">
        <f>1.0788/H101</f>
        <v>0.23250000000000001</v>
      </c>
      <c r="I104" s="2309">
        <f>1.0788/I101</f>
        <v>0.23250000000000001</v>
      </c>
      <c r="J104" s="2309">
        <f>1.0072/J101</f>
        <v>0.21706896551724142</v>
      </c>
      <c r="K104" s="2309">
        <f>1.0072/K101</f>
        <v>0.21706896551724142</v>
      </c>
      <c r="L104" s="2309">
        <f>1.0072/L101</f>
        <v>0.21706896551724142</v>
      </c>
      <c r="M104" s="2309">
        <f>1.0072/M101</f>
        <v>0.21706896551724142</v>
      </c>
      <c r="N104" s="2309">
        <f>1.0072/N101</f>
        <v>0.21706896551724142</v>
      </c>
      <c r="Q104" s="3057"/>
      <c r="R104" s="3057"/>
      <c r="S104" s="3057"/>
      <c r="T104" s="3057"/>
      <c r="U104" s="3057"/>
      <c r="V104" s="3057"/>
      <c r="W104" s="3057"/>
    </row>
    <row r="105" spans="1:23">
      <c r="A105" s="4163"/>
      <c r="B105" s="2308">
        <v>4</v>
      </c>
      <c r="C105" s="2309">
        <f>0.9622/C101</f>
        <v>0.20737068965517244</v>
      </c>
      <c r="D105" s="2309">
        <f>0.9622/D101</f>
        <v>0.20737068965517244</v>
      </c>
      <c r="E105" s="2309">
        <f>0.8656/E101</f>
        <v>0.18655172413793106</v>
      </c>
      <c r="F105" s="2309">
        <f>0.8656/F101</f>
        <v>0.18655172413793106</v>
      </c>
      <c r="G105" s="2309">
        <f>0.8656/G101</f>
        <v>0.18655172413793106</v>
      </c>
      <c r="H105" s="2309">
        <f>0.8656/H101</f>
        <v>0.18655172413793106</v>
      </c>
      <c r="I105" s="2309">
        <f>0.8656/I101</f>
        <v>0.18655172413793106</v>
      </c>
      <c r="J105" s="2309">
        <f>0.7525/J101</f>
        <v>0.16217672413793102</v>
      </c>
      <c r="K105" s="2309">
        <f>0.7525/K101</f>
        <v>0.16217672413793102</v>
      </c>
      <c r="L105" s="2309">
        <f>0.7525/L101</f>
        <v>0.16217672413793102</v>
      </c>
      <c r="M105" s="2309">
        <f>0.7525/M101</f>
        <v>0.16217672413793102</v>
      </c>
      <c r="N105" s="2309">
        <f>0.7525/N101</f>
        <v>0.16217672413793102</v>
      </c>
      <c r="Q105" s="3057"/>
      <c r="R105" s="3057"/>
      <c r="S105" s="3057"/>
      <c r="T105" s="3057"/>
      <c r="U105" s="3057"/>
      <c r="V105" s="3057"/>
      <c r="W105" s="3057"/>
    </row>
    <row r="106" spans="1:23">
      <c r="A106" s="4163"/>
      <c r="B106" s="2308">
        <v>5</v>
      </c>
      <c r="C106" s="2309">
        <f>0.8417/C101</f>
        <v>0.18140086206896552</v>
      </c>
      <c r="D106" s="2309">
        <f>0.8417/D101</f>
        <v>0.18140086206896552</v>
      </c>
      <c r="E106" s="2309">
        <f>0.7371/E101</f>
        <v>0.15885775862068965</v>
      </c>
      <c r="F106" s="2309">
        <f>0.7371/F101</f>
        <v>0.15885775862068965</v>
      </c>
      <c r="G106" s="2309">
        <f>0.7371/G101</f>
        <v>0.15885775862068965</v>
      </c>
      <c r="H106" s="2309">
        <f>0.7371/H101</f>
        <v>0.15885775862068965</v>
      </c>
      <c r="I106" s="2309">
        <f>0.7371/I101</f>
        <v>0.15885775862068965</v>
      </c>
      <c r="J106" s="2309">
        <f>0.5659/J101</f>
        <v>0.12196120689655172</v>
      </c>
      <c r="K106" s="2309">
        <f>0.5659/K101</f>
        <v>0.12196120689655172</v>
      </c>
      <c r="L106" s="2309">
        <f>0.5659/L101</f>
        <v>0.12196120689655172</v>
      </c>
      <c r="M106" s="2309">
        <f>0.5659/M101</f>
        <v>0.12196120689655172</v>
      </c>
      <c r="N106" s="2309">
        <f>0.5659/N101</f>
        <v>0.12196120689655172</v>
      </c>
      <c r="Q106" s="3057"/>
      <c r="R106" s="3057"/>
      <c r="S106" s="3057"/>
      <c r="T106" s="3057"/>
      <c r="U106" s="3057"/>
      <c r="V106" s="3057"/>
      <c r="W106" s="3057"/>
    </row>
    <row r="107" spans="1:23">
      <c r="A107" s="4163"/>
      <c r="B107" s="2308">
        <v>6</v>
      </c>
      <c r="C107" s="2309">
        <f>0.7608/C101</f>
        <v>0.16396551724137934</v>
      </c>
      <c r="D107" s="2309">
        <f>0.7608/D101</f>
        <v>0.16396551724137934</v>
      </c>
      <c r="E107" s="2309">
        <f>0.6482/E101</f>
        <v>0.13969827586206898</v>
      </c>
      <c r="F107" s="2309">
        <f>0.6482/F101</f>
        <v>0.13969827586206898</v>
      </c>
      <c r="G107" s="2309">
        <f>0.6482/G101</f>
        <v>0.13969827586206898</v>
      </c>
      <c r="H107" s="2309">
        <f>0.6482/H101</f>
        <v>0.13969827586206898</v>
      </c>
      <c r="I107" s="2309">
        <f>0.6482/I101</f>
        <v>0.13969827586206898</v>
      </c>
      <c r="J107" s="2309">
        <f>0.4525/J101</f>
        <v>9.7521551724137942E-2</v>
      </c>
      <c r="K107" s="2309">
        <f>0.4525/K101</f>
        <v>9.7521551724137942E-2</v>
      </c>
      <c r="L107" s="2309">
        <f>0.4525/L101</f>
        <v>9.7521551724137942E-2</v>
      </c>
      <c r="M107" s="2309">
        <f>0.4525/M101</f>
        <v>9.7521551724137942E-2</v>
      </c>
      <c r="N107" s="2309">
        <f>0.4525/N101</f>
        <v>9.7521551724137942E-2</v>
      </c>
      <c r="Q107" s="3057"/>
      <c r="R107" s="3057"/>
      <c r="S107" s="3057"/>
      <c r="T107" s="3057"/>
      <c r="U107" s="3057"/>
      <c r="V107" s="3057"/>
      <c r="W107" s="3057"/>
    </row>
    <row r="108" spans="1:23">
      <c r="A108" s="4163"/>
      <c r="B108" s="4165" t="s">
        <v>2680</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7"/>
      <c r="R108" s="3057"/>
      <c r="S108" s="3057"/>
      <c r="T108" s="3057"/>
      <c r="U108" s="3057"/>
      <c r="V108" s="3057"/>
      <c r="W108" s="3057"/>
    </row>
    <row r="109" spans="1:23">
      <c r="A109" s="4164"/>
      <c r="B109" s="4166"/>
      <c r="C109" s="2311">
        <f>(-0.163*(C108^2)-0.59*C108+7617)*(10^(-4))/C101</f>
        <v>0.16415948275862072</v>
      </c>
      <c r="D109" s="2311">
        <f>(-0.163*(D108^2)-0.59*D108+7617)*(10^(-4))/D101</f>
        <v>0.16415948275862072</v>
      </c>
      <c r="E109" s="2311">
        <f>(-0.161*(E108^2)-7.509*E108+6533)*(10^(-4))/E101</f>
        <v>0.14079741379310345</v>
      </c>
      <c r="F109" s="2311">
        <f>(-0.161*(F108^2)-7.509*F108+6533)*(10^(-4))/F101</f>
        <v>0.14079741379310345</v>
      </c>
      <c r="G109" s="2311">
        <f>(-0.161*(G108^2)-7.509*G108+6533)*(10^(-4))/G101</f>
        <v>0.14079741379310345</v>
      </c>
      <c r="H109" s="2311">
        <f>(-0.161*(H108^2)-7.509*H108+6533)*(10^(-4))/H101</f>
        <v>0.14079741379310345</v>
      </c>
      <c r="I109" s="2311">
        <f>(-0.161*(I108^2)-7.509*I108+6533)*(10^(-4))/I101</f>
        <v>0.14079741379310345</v>
      </c>
      <c r="J109" s="2311">
        <f>(-0.214*(J108^2)-21.991*J108+4665)*(10^(-4))/J101</f>
        <v>0.10053879310344829</v>
      </c>
      <c r="K109" s="2311">
        <f>(-0.214*(K108^2)-21.991*K108+4665)*(10^(-4))/K101</f>
        <v>0.10053879310344829</v>
      </c>
      <c r="L109" s="2311">
        <f>(-0.214*(L108^2)-21.991*L108+4665)*(10^(-4))/L101</f>
        <v>0.10053879310344829</v>
      </c>
      <c r="M109" s="2311">
        <f>(-0.214*(M108^2)-21.991*M108+4665)*(10^(-4))/M101</f>
        <v>0.10053879310344829</v>
      </c>
      <c r="N109" s="2311">
        <f>(-0.214*(N108^2)-21.991*N108+4665)*(10^(-4))/N101</f>
        <v>0.10053879310344829</v>
      </c>
      <c r="Q109" s="3057"/>
      <c r="R109" s="3057"/>
      <c r="S109" s="3057"/>
      <c r="T109" s="3057"/>
      <c r="U109" s="3057"/>
      <c r="V109" s="3057"/>
      <c r="W109" s="3057"/>
    </row>
    <row r="110" spans="1:23">
      <c r="A110" s="4160" t="s">
        <v>2681</v>
      </c>
      <c r="B110" s="4160"/>
      <c r="C110" s="4160"/>
      <c r="D110" s="4160"/>
      <c r="E110" s="4160"/>
      <c r="F110" s="4160"/>
      <c r="G110" s="4160"/>
      <c r="H110" s="4160"/>
      <c r="I110" s="4160"/>
      <c r="J110" s="4160"/>
      <c r="K110" s="2079"/>
      <c r="L110" s="2079"/>
      <c r="M110" s="2079"/>
      <c r="N110" s="2079"/>
      <c r="Q110" s="3057"/>
      <c r="R110" s="3057"/>
      <c r="S110" s="3057"/>
      <c r="T110" s="3057"/>
      <c r="U110" s="3057"/>
      <c r="V110" s="3057"/>
      <c r="W110" s="3057"/>
    </row>
    <row r="112" spans="1:23" ht="13.5" thickBot="1"/>
    <row r="113" spans="1:13" ht="25.5" thickBot="1">
      <c r="A113" s="2314" t="s">
        <v>2682</v>
      </c>
      <c r="B113" s="2315">
        <f>G3</f>
        <v>4.6399999999999997</v>
      </c>
      <c r="C113" s="2316" t="s">
        <v>2683</v>
      </c>
      <c r="D113" s="2317">
        <f>SUMPRODUCT((A115:A118=F113)*(B114:M114=H113)*B115:M118)</f>
        <v>0.7964</v>
      </c>
      <c r="E113" s="1601" t="s">
        <v>2570</v>
      </c>
      <c r="F113" s="2318" t="str">
        <f>E2</f>
        <v>办公</v>
      </c>
      <c r="G113" s="1601" t="s">
        <v>2506</v>
      </c>
      <c r="H113" s="2318" t="str">
        <f>G2</f>
        <v>三级</v>
      </c>
      <c r="I113" s="1601"/>
      <c r="J113" s="2319"/>
      <c r="K113" s="2319"/>
      <c r="L113" s="2319"/>
      <c r="M113" s="2319"/>
    </row>
    <row r="114" spans="1:13">
      <c r="A114" s="2320"/>
      <c r="B114" s="2321" t="s">
        <v>2684</v>
      </c>
      <c r="C114" s="2321" t="s">
        <v>2685</v>
      </c>
      <c r="D114" s="2321" t="s">
        <v>2686</v>
      </c>
      <c r="E114" s="2322" t="s">
        <v>2687</v>
      </c>
      <c r="F114" s="2322" t="s">
        <v>2688</v>
      </c>
      <c r="G114" s="2322" t="s">
        <v>2689</v>
      </c>
      <c r="H114" s="2323" t="s">
        <v>2690</v>
      </c>
      <c r="I114" s="2323" t="s">
        <v>2691</v>
      </c>
      <c r="J114" s="2324" t="s">
        <v>2692</v>
      </c>
      <c r="K114" s="2324" t="s">
        <v>2693</v>
      </c>
      <c r="L114" s="2324" t="s">
        <v>2694</v>
      </c>
      <c r="M114" s="2325" t="s">
        <v>2695</v>
      </c>
    </row>
    <row r="115" spans="1:13">
      <c r="A115" s="2326" t="s">
        <v>2571</v>
      </c>
      <c r="B115" s="2327">
        <f>ROUND(0.9335-0.0094*B113,4)</f>
        <v>0.88990000000000002</v>
      </c>
      <c r="C115" s="2327">
        <f>B115</f>
        <v>0.88990000000000002</v>
      </c>
      <c r="D115" s="2327">
        <f>ROUND(0.8331-0.0109*B113,4)</f>
        <v>0.78249999999999997</v>
      </c>
      <c r="E115" s="2327">
        <f>D115</f>
        <v>0.78249999999999997</v>
      </c>
      <c r="F115" s="2327">
        <f>E115</f>
        <v>0.78249999999999997</v>
      </c>
      <c r="G115" s="2327">
        <f>F115</f>
        <v>0.78249999999999997</v>
      </c>
      <c r="H115" s="2327">
        <f>G115</f>
        <v>0.78249999999999997</v>
      </c>
      <c r="I115" s="2327">
        <f>ROUND(0.689-0.0155*B113,4)</f>
        <v>0.61709999999999998</v>
      </c>
      <c r="J115" s="2327">
        <f t="shared" ref="J115:M118" si="33">I115</f>
        <v>0.61709999999999998</v>
      </c>
      <c r="K115" s="2327">
        <f t="shared" si="33"/>
        <v>0.61709999999999998</v>
      </c>
      <c r="L115" s="2327">
        <f t="shared" si="33"/>
        <v>0.61709999999999998</v>
      </c>
      <c r="M115" s="2328">
        <f t="shared" si="33"/>
        <v>0.61709999999999998</v>
      </c>
    </row>
    <row r="116" spans="1:13">
      <c r="A116" s="2326" t="s">
        <v>2572</v>
      </c>
      <c r="B116" s="2327">
        <f>ROUND(0.949-0.012*B113,4)</f>
        <v>0.89329999999999998</v>
      </c>
      <c r="C116" s="2327">
        <f>B116</f>
        <v>0.89329999999999998</v>
      </c>
      <c r="D116" s="2327">
        <f>ROUND(0.8567-0.013*B113,4)</f>
        <v>0.7964</v>
      </c>
      <c r="E116" s="2327">
        <f t="shared" ref="E116:H117" si="34">D116</f>
        <v>0.7964</v>
      </c>
      <c r="F116" s="2327">
        <f t="shared" si="34"/>
        <v>0.7964</v>
      </c>
      <c r="G116" s="2327">
        <f t="shared" si="34"/>
        <v>0.7964</v>
      </c>
      <c r="H116" s="2327">
        <f t="shared" si="34"/>
        <v>0.7964</v>
      </c>
      <c r="I116" s="2327">
        <f>ROUND(0.7694-0.014*B113,4)</f>
        <v>0.70440000000000003</v>
      </c>
      <c r="J116" s="2327">
        <f t="shared" si="33"/>
        <v>0.70440000000000003</v>
      </c>
      <c r="K116" s="2327">
        <f t="shared" si="33"/>
        <v>0.70440000000000003</v>
      </c>
      <c r="L116" s="2327">
        <f t="shared" si="33"/>
        <v>0.70440000000000003</v>
      </c>
      <c r="M116" s="2328">
        <f t="shared" si="33"/>
        <v>0.70440000000000003</v>
      </c>
    </row>
    <row r="117" spans="1:13">
      <c r="A117" s="2326" t="s">
        <v>2573</v>
      </c>
      <c r="B117" s="2327">
        <f>ROUND(0.8808-0.006*B113,4)</f>
        <v>0.85299999999999998</v>
      </c>
      <c r="C117" s="2327">
        <f>B117</f>
        <v>0.85299999999999998</v>
      </c>
      <c r="D117" s="2327">
        <f>ROUND(0.8748-0.008*B113,4)</f>
        <v>0.8377</v>
      </c>
      <c r="E117" s="2327">
        <f t="shared" si="34"/>
        <v>0.8377</v>
      </c>
      <c r="F117" s="2327">
        <f t="shared" si="34"/>
        <v>0.8377</v>
      </c>
      <c r="G117" s="2327">
        <f t="shared" si="34"/>
        <v>0.8377</v>
      </c>
      <c r="H117" s="2327">
        <f t="shared" si="34"/>
        <v>0.8377</v>
      </c>
      <c r="I117" s="2327">
        <f>ROUND(0.7412-0.0095*B113,4)</f>
        <v>0.69710000000000005</v>
      </c>
      <c r="J117" s="2327">
        <f t="shared" si="33"/>
        <v>0.69710000000000005</v>
      </c>
      <c r="K117" s="2327">
        <f t="shared" si="33"/>
        <v>0.69710000000000005</v>
      </c>
      <c r="L117" s="2327">
        <f t="shared" si="33"/>
        <v>0.69710000000000005</v>
      </c>
      <c r="M117" s="2328">
        <f t="shared" si="33"/>
        <v>0.69710000000000005</v>
      </c>
    </row>
    <row r="118" spans="1:13" ht="13.5" thickBot="1">
      <c r="A118" s="2329" t="s">
        <v>2574</v>
      </c>
      <c r="B118" s="2330">
        <f>ROUND(0.7275-0.01*B113,4)</f>
        <v>0.68110000000000004</v>
      </c>
      <c r="C118" s="2330">
        <f>B118</f>
        <v>0.68110000000000004</v>
      </c>
      <c r="D118" s="2330">
        <f>ROUND(0.7043-0.012*B113,4)</f>
        <v>0.64859999999999995</v>
      </c>
      <c r="E118" s="2330">
        <f>D118</f>
        <v>0.64859999999999995</v>
      </c>
      <c r="F118" s="2330">
        <f>E118</f>
        <v>0.64859999999999995</v>
      </c>
      <c r="G118" s="2330">
        <f>ROUND(0.6299-0.0122*B113,4)</f>
        <v>0.57330000000000003</v>
      </c>
      <c r="H118" s="2330">
        <f>G118</f>
        <v>0.57330000000000003</v>
      </c>
      <c r="I118" s="2330">
        <f>ROUND(0.5667-0.0136*B113,4)</f>
        <v>0.50360000000000005</v>
      </c>
      <c r="J118" s="2330">
        <f t="shared" si="33"/>
        <v>0.50360000000000005</v>
      </c>
      <c r="K118" s="2330">
        <f t="shared" si="33"/>
        <v>0.50360000000000005</v>
      </c>
      <c r="L118" s="2330">
        <f t="shared" si="33"/>
        <v>0.50360000000000005</v>
      </c>
      <c r="M118" s="2331">
        <f t="shared" si="33"/>
        <v>0.50360000000000005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6"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6F16-2B50-4AC6-8D4E-1DDA68A762F4}">
  <sheetPr codeName="Sheet33"/>
  <dimension ref="A1:K44"/>
  <sheetViews>
    <sheetView workbookViewId="0">
      <selection activeCell="K31" sqref="K31"/>
    </sheetView>
  </sheetViews>
  <sheetFormatPr defaultRowHeight="14.25"/>
  <cols>
    <col min="1" max="1" width="5.75" style="3235" customWidth="1"/>
    <col min="2" max="2" width="6.125" style="3235" customWidth="1"/>
    <col min="3" max="3" width="8.875" style="3235" customWidth="1"/>
    <col min="4" max="4" width="8.25" style="3235" customWidth="1"/>
    <col min="5" max="5" width="12.75" style="3235" customWidth="1"/>
    <col min="6" max="6" width="12.875" style="3235" customWidth="1"/>
    <col min="7" max="7" width="9.75" style="3235" customWidth="1"/>
    <col min="8" max="8" width="13.125" style="3235" customWidth="1"/>
    <col min="9" max="9" width="13.375" style="3235" customWidth="1"/>
    <col min="10" max="256" width="9" style="3235"/>
    <col min="257" max="257" width="5.75" style="3235" customWidth="1"/>
    <col min="258" max="258" width="6.125" style="3235" customWidth="1"/>
    <col min="259" max="259" width="8.875" style="3235" customWidth="1"/>
    <col min="260" max="260" width="8.25" style="3235" customWidth="1"/>
    <col min="261" max="261" width="12.75" style="3235" customWidth="1"/>
    <col min="262" max="262" width="12.875" style="3235" customWidth="1"/>
    <col min="263" max="263" width="9.75" style="3235" customWidth="1"/>
    <col min="264" max="264" width="13.125" style="3235" customWidth="1"/>
    <col min="265" max="265" width="13.375" style="3235" customWidth="1"/>
    <col min="266" max="512" width="9" style="3235"/>
    <col min="513" max="513" width="5.75" style="3235" customWidth="1"/>
    <col min="514" max="514" width="6.125" style="3235" customWidth="1"/>
    <col min="515" max="515" width="8.875" style="3235" customWidth="1"/>
    <col min="516" max="516" width="8.25" style="3235" customWidth="1"/>
    <col min="517" max="517" width="12.75" style="3235" customWidth="1"/>
    <col min="518" max="518" width="12.875" style="3235" customWidth="1"/>
    <col min="519" max="519" width="9.75" style="3235" customWidth="1"/>
    <col min="520" max="520" width="13.125" style="3235" customWidth="1"/>
    <col min="521" max="521" width="13.375" style="3235" customWidth="1"/>
    <col min="522" max="768" width="9" style="3235"/>
    <col min="769" max="769" width="5.75" style="3235" customWidth="1"/>
    <col min="770" max="770" width="6.125" style="3235" customWidth="1"/>
    <col min="771" max="771" width="8.875" style="3235" customWidth="1"/>
    <col min="772" max="772" width="8.25" style="3235" customWidth="1"/>
    <col min="773" max="773" width="12.75" style="3235" customWidth="1"/>
    <col min="774" max="774" width="12.875" style="3235" customWidth="1"/>
    <col min="775" max="775" width="9.75" style="3235" customWidth="1"/>
    <col min="776" max="776" width="13.125" style="3235" customWidth="1"/>
    <col min="777" max="777" width="13.375" style="3235" customWidth="1"/>
    <col min="778" max="1024" width="9" style="3235"/>
    <col min="1025" max="1025" width="5.75" style="3235" customWidth="1"/>
    <col min="1026" max="1026" width="6.125" style="3235" customWidth="1"/>
    <col min="1027" max="1027" width="8.875" style="3235" customWidth="1"/>
    <col min="1028" max="1028" width="8.25" style="3235" customWidth="1"/>
    <col min="1029" max="1029" width="12.75" style="3235" customWidth="1"/>
    <col min="1030" max="1030" width="12.875" style="3235" customWidth="1"/>
    <col min="1031" max="1031" width="9.75" style="3235" customWidth="1"/>
    <col min="1032" max="1032" width="13.125" style="3235" customWidth="1"/>
    <col min="1033" max="1033" width="13.375" style="3235" customWidth="1"/>
    <col min="1034" max="1280" width="9" style="3235"/>
    <col min="1281" max="1281" width="5.75" style="3235" customWidth="1"/>
    <col min="1282" max="1282" width="6.125" style="3235" customWidth="1"/>
    <col min="1283" max="1283" width="8.875" style="3235" customWidth="1"/>
    <col min="1284" max="1284" width="8.25" style="3235" customWidth="1"/>
    <col min="1285" max="1285" width="12.75" style="3235" customWidth="1"/>
    <col min="1286" max="1286" width="12.875" style="3235" customWidth="1"/>
    <col min="1287" max="1287" width="9.75" style="3235" customWidth="1"/>
    <col min="1288" max="1288" width="13.125" style="3235" customWidth="1"/>
    <col min="1289" max="1289" width="13.375" style="3235" customWidth="1"/>
    <col min="1290" max="1536" width="9" style="3235"/>
    <col min="1537" max="1537" width="5.75" style="3235" customWidth="1"/>
    <col min="1538" max="1538" width="6.125" style="3235" customWidth="1"/>
    <col min="1539" max="1539" width="8.875" style="3235" customWidth="1"/>
    <col min="1540" max="1540" width="8.25" style="3235" customWidth="1"/>
    <col min="1541" max="1541" width="12.75" style="3235" customWidth="1"/>
    <col min="1542" max="1542" width="12.875" style="3235" customWidth="1"/>
    <col min="1543" max="1543" width="9.75" style="3235" customWidth="1"/>
    <col min="1544" max="1544" width="13.125" style="3235" customWidth="1"/>
    <col min="1545" max="1545" width="13.375" style="3235" customWidth="1"/>
    <col min="1546" max="1792" width="9" style="3235"/>
    <col min="1793" max="1793" width="5.75" style="3235" customWidth="1"/>
    <col min="1794" max="1794" width="6.125" style="3235" customWidth="1"/>
    <col min="1795" max="1795" width="8.875" style="3235" customWidth="1"/>
    <col min="1796" max="1796" width="8.25" style="3235" customWidth="1"/>
    <col min="1797" max="1797" width="12.75" style="3235" customWidth="1"/>
    <col min="1798" max="1798" width="12.875" style="3235" customWidth="1"/>
    <col min="1799" max="1799" width="9.75" style="3235" customWidth="1"/>
    <col min="1800" max="1800" width="13.125" style="3235" customWidth="1"/>
    <col min="1801" max="1801" width="13.375" style="3235" customWidth="1"/>
    <col min="1802" max="2048" width="9" style="3235"/>
    <col min="2049" max="2049" width="5.75" style="3235" customWidth="1"/>
    <col min="2050" max="2050" width="6.125" style="3235" customWidth="1"/>
    <col min="2051" max="2051" width="8.875" style="3235" customWidth="1"/>
    <col min="2052" max="2052" width="8.25" style="3235" customWidth="1"/>
    <col min="2053" max="2053" width="12.75" style="3235" customWidth="1"/>
    <col min="2054" max="2054" width="12.875" style="3235" customWidth="1"/>
    <col min="2055" max="2055" width="9.75" style="3235" customWidth="1"/>
    <col min="2056" max="2056" width="13.125" style="3235" customWidth="1"/>
    <col min="2057" max="2057" width="13.375" style="3235" customWidth="1"/>
    <col min="2058" max="2304" width="9" style="3235"/>
    <col min="2305" max="2305" width="5.75" style="3235" customWidth="1"/>
    <col min="2306" max="2306" width="6.125" style="3235" customWidth="1"/>
    <col min="2307" max="2307" width="8.875" style="3235" customWidth="1"/>
    <col min="2308" max="2308" width="8.25" style="3235" customWidth="1"/>
    <col min="2309" max="2309" width="12.75" style="3235" customWidth="1"/>
    <col min="2310" max="2310" width="12.875" style="3235" customWidth="1"/>
    <col min="2311" max="2311" width="9.75" style="3235" customWidth="1"/>
    <col min="2312" max="2312" width="13.125" style="3235" customWidth="1"/>
    <col min="2313" max="2313" width="13.375" style="3235" customWidth="1"/>
    <col min="2314" max="2560" width="9" style="3235"/>
    <col min="2561" max="2561" width="5.75" style="3235" customWidth="1"/>
    <col min="2562" max="2562" width="6.125" style="3235" customWidth="1"/>
    <col min="2563" max="2563" width="8.875" style="3235" customWidth="1"/>
    <col min="2564" max="2564" width="8.25" style="3235" customWidth="1"/>
    <col min="2565" max="2565" width="12.75" style="3235" customWidth="1"/>
    <col min="2566" max="2566" width="12.875" style="3235" customWidth="1"/>
    <col min="2567" max="2567" width="9.75" style="3235" customWidth="1"/>
    <col min="2568" max="2568" width="13.125" style="3235" customWidth="1"/>
    <col min="2569" max="2569" width="13.375" style="3235" customWidth="1"/>
    <col min="2570" max="2816" width="9" style="3235"/>
    <col min="2817" max="2817" width="5.75" style="3235" customWidth="1"/>
    <col min="2818" max="2818" width="6.125" style="3235" customWidth="1"/>
    <col min="2819" max="2819" width="8.875" style="3235" customWidth="1"/>
    <col min="2820" max="2820" width="8.25" style="3235" customWidth="1"/>
    <col min="2821" max="2821" width="12.75" style="3235" customWidth="1"/>
    <col min="2822" max="2822" width="12.875" style="3235" customWidth="1"/>
    <col min="2823" max="2823" width="9.75" style="3235" customWidth="1"/>
    <col min="2824" max="2824" width="13.125" style="3235" customWidth="1"/>
    <col min="2825" max="2825" width="13.375" style="3235" customWidth="1"/>
    <col min="2826" max="3072" width="9" style="3235"/>
    <col min="3073" max="3073" width="5.75" style="3235" customWidth="1"/>
    <col min="3074" max="3074" width="6.125" style="3235" customWidth="1"/>
    <col min="3075" max="3075" width="8.875" style="3235" customWidth="1"/>
    <col min="3076" max="3076" width="8.25" style="3235" customWidth="1"/>
    <col min="3077" max="3077" width="12.75" style="3235" customWidth="1"/>
    <col min="3078" max="3078" width="12.875" style="3235" customWidth="1"/>
    <col min="3079" max="3079" width="9.75" style="3235" customWidth="1"/>
    <col min="3080" max="3080" width="13.125" style="3235" customWidth="1"/>
    <col min="3081" max="3081" width="13.375" style="3235" customWidth="1"/>
    <col min="3082" max="3328" width="9" style="3235"/>
    <col min="3329" max="3329" width="5.75" style="3235" customWidth="1"/>
    <col min="3330" max="3330" width="6.125" style="3235" customWidth="1"/>
    <col min="3331" max="3331" width="8.875" style="3235" customWidth="1"/>
    <col min="3332" max="3332" width="8.25" style="3235" customWidth="1"/>
    <col min="3333" max="3333" width="12.75" style="3235" customWidth="1"/>
    <col min="3334" max="3334" width="12.875" style="3235" customWidth="1"/>
    <col min="3335" max="3335" width="9.75" style="3235" customWidth="1"/>
    <col min="3336" max="3336" width="13.125" style="3235" customWidth="1"/>
    <col min="3337" max="3337" width="13.375" style="3235" customWidth="1"/>
    <col min="3338" max="3584" width="9" style="3235"/>
    <col min="3585" max="3585" width="5.75" style="3235" customWidth="1"/>
    <col min="3586" max="3586" width="6.125" style="3235" customWidth="1"/>
    <col min="3587" max="3587" width="8.875" style="3235" customWidth="1"/>
    <col min="3588" max="3588" width="8.25" style="3235" customWidth="1"/>
    <col min="3589" max="3589" width="12.75" style="3235" customWidth="1"/>
    <col min="3590" max="3590" width="12.875" style="3235" customWidth="1"/>
    <col min="3591" max="3591" width="9.75" style="3235" customWidth="1"/>
    <col min="3592" max="3592" width="13.125" style="3235" customWidth="1"/>
    <col min="3593" max="3593" width="13.375" style="3235" customWidth="1"/>
    <col min="3594" max="3840" width="9" style="3235"/>
    <col min="3841" max="3841" width="5.75" style="3235" customWidth="1"/>
    <col min="3842" max="3842" width="6.125" style="3235" customWidth="1"/>
    <col min="3843" max="3843" width="8.875" style="3235" customWidth="1"/>
    <col min="3844" max="3844" width="8.25" style="3235" customWidth="1"/>
    <col min="3845" max="3845" width="12.75" style="3235" customWidth="1"/>
    <col min="3846" max="3846" width="12.875" style="3235" customWidth="1"/>
    <col min="3847" max="3847" width="9.75" style="3235" customWidth="1"/>
    <col min="3848" max="3848" width="13.125" style="3235" customWidth="1"/>
    <col min="3849" max="3849" width="13.375" style="3235" customWidth="1"/>
    <col min="3850" max="4096" width="9" style="3235"/>
    <col min="4097" max="4097" width="5.75" style="3235" customWidth="1"/>
    <col min="4098" max="4098" width="6.125" style="3235" customWidth="1"/>
    <col min="4099" max="4099" width="8.875" style="3235" customWidth="1"/>
    <col min="4100" max="4100" width="8.25" style="3235" customWidth="1"/>
    <col min="4101" max="4101" width="12.75" style="3235" customWidth="1"/>
    <col min="4102" max="4102" width="12.875" style="3235" customWidth="1"/>
    <col min="4103" max="4103" width="9.75" style="3235" customWidth="1"/>
    <col min="4104" max="4104" width="13.125" style="3235" customWidth="1"/>
    <col min="4105" max="4105" width="13.375" style="3235" customWidth="1"/>
    <col min="4106" max="4352" width="9" style="3235"/>
    <col min="4353" max="4353" width="5.75" style="3235" customWidth="1"/>
    <col min="4354" max="4354" width="6.125" style="3235" customWidth="1"/>
    <col min="4355" max="4355" width="8.875" style="3235" customWidth="1"/>
    <col min="4356" max="4356" width="8.25" style="3235" customWidth="1"/>
    <col min="4357" max="4357" width="12.75" style="3235" customWidth="1"/>
    <col min="4358" max="4358" width="12.875" style="3235" customWidth="1"/>
    <col min="4359" max="4359" width="9.75" style="3235" customWidth="1"/>
    <col min="4360" max="4360" width="13.125" style="3235" customWidth="1"/>
    <col min="4361" max="4361" width="13.375" style="3235" customWidth="1"/>
    <col min="4362" max="4608" width="9" style="3235"/>
    <col min="4609" max="4609" width="5.75" style="3235" customWidth="1"/>
    <col min="4610" max="4610" width="6.125" style="3235" customWidth="1"/>
    <col min="4611" max="4611" width="8.875" style="3235" customWidth="1"/>
    <col min="4612" max="4612" width="8.25" style="3235" customWidth="1"/>
    <col min="4613" max="4613" width="12.75" style="3235" customWidth="1"/>
    <col min="4614" max="4614" width="12.875" style="3235" customWidth="1"/>
    <col min="4615" max="4615" width="9.75" style="3235" customWidth="1"/>
    <col min="4616" max="4616" width="13.125" style="3235" customWidth="1"/>
    <col min="4617" max="4617" width="13.375" style="3235" customWidth="1"/>
    <col min="4618" max="4864" width="9" style="3235"/>
    <col min="4865" max="4865" width="5.75" style="3235" customWidth="1"/>
    <col min="4866" max="4866" width="6.125" style="3235" customWidth="1"/>
    <col min="4867" max="4867" width="8.875" style="3235" customWidth="1"/>
    <col min="4868" max="4868" width="8.25" style="3235" customWidth="1"/>
    <col min="4869" max="4869" width="12.75" style="3235" customWidth="1"/>
    <col min="4870" max="4870" width="12.875" style="3235" customWidth="1"/>
    <col min="4871" max="4871" width="9.75" style="3235" customWidth="1"/>
    <col min="4872" max="4872" width="13.125" style="3235" customWidth="1"/>
    <col min="4873" max="4873" width="13.375" style="3235" customWidth="1"/>
    <col min="4874" max="5120" width="9" style="3235"/>
    <col min="5121" max="5121" width="5.75" style="3235" customWidth="1"/>
    <col min="5122" max="5122" width="6.125" style="3235" customWidth="1"/>
    <col min="5123" max="5123" width="8.875" style="3235" customWidth="1"/>
    <col min="5124" max="5124" width="8.25" style="3235" customWidth="1"/>
    <col min="5125" max="5125" width="12.75" style="3235" customWidth="1"/>
    <col min="5126" max="5126" width="12.875" style="3235" customWidth="1"/>
    <col min="5127" max="5127" width="9.75" style="3235" customWidth="1"/>
    <col min="5128" max="5128" width="13.125" style="3235" customWidth="1"/>
    <col min="5129" max="5129" width="13.375" style="3235" customWidth="1"/>
    <col min="5130" max="5376" width="9" style="3235"/>
    <col min="5377" max="5377" width="5.75" style="3235" customWidth="1"/>
    <col min="5378" max="5378" width="6.125" style="3235" customWidth="1"/>
    <col min="5379" max="5379" width="8.875" style="3235" customWidth="1"/>
    <col min="5380" max="5380" width="8.25" style="3235" customWidth="1"/>
    <col min="5381" max="5381" width="12.75" style="3235" customWidth="1"/>
    <col min="5382" max="5382" width="12.875" style="3235" customWidth="1"/>
    <col min="5383" max="5383" width="9.75" style="3235" customWidth="1"/>
    <col min="5384" max="5384" width="13.125" style="3235" customWidth="1"/>
    <col min="5385" max="5385" width="13.375" style="3235" customWidth="1"/>
    <col min="5386" max="5632" width="9" style="3235"/>
    <col min="5633" max="5633" width="5.75" style="3235" customWidth="1"/>
    <col min="5634" max="5634" width="6.125" style="3235" customWidth="1"/>
    <col min="5635" max="5635" width="8.875" style="3235" customWidth="1"/>
    <col min="5636" max="5636" width="8.25" style="3235" customWidth="1"/>
    <col min="5637" max="5637" width="12.75" style="3235" customWidth="1"/>
    <col min="5638" max="5638" width="12.875" style="3235" customWidth="1"/>
    <col min="5639" max="5639" width="9.75" style="3235" customWidth="1"/>
    <col min="5640" max="5640" width="13.125" style="3235" customWidth="1"/>
    <col min="5641" max="5641" width="13.375" style="3235" customWidth="1"/>
    <col min="5642" max="5888" width="9" style="3235"/>
    <col min="5889" max="5889" width="5.75" style="3235" customWidth="1"/>
    <col min="5890" max="5890" width="6.125" style="3235" customWidth="1"/>
    <col min="5891" max="5891" width="8.875" style="3235" customWidth="1"/>
    <col min="5892" max="5892" width="8.25" style="3235" customWidth="1"/>
    <col min="5893" max="5893" width="12.75" style="3235" customWidth="1"/>
    <col min="5894" max="5894" width="12.875" style="3235" customWidth="1"/>
    <col min="5895" max="5895" width="9.75" style="3235" customWidth="1"/>
    <col min="5896" max="5896" width="13.125" style="3235" customWidth="1"/>
    <col min="5897" max="5897" width="13.375" style="3235" customWidth="1"/>
    <col min="5898" max="6144" width="9" style="3235"/>
    <col min="6145" max="6145" width="5.75" style="3235" customWidth="1"/>
    <col min="6146" max="6146" width="6.125" style="3235" customWidth="1"/>
    <col min="6147" max="6147" width="8.875" style="3235" customWidth="1"/>
    <col min="6148" max="6148" width="8.25" style="3235" customWidth="1"/>
    <col min="6149" max="6149" width="12.75" style="3235" customWidth="1"/>
    <col min="6150" max="6150" width="12.875" style="3235" customWidth="1"/>
    <col min="6151" max="6151" width="9.75" style="3235" customWidth="1"/>
    <col min="6152" max="6152" width="13.125" style="3235" customWidth="1"/>
    <col min="6153" max="6153" width="13.375" style="3235" customWidth="1"/>
    <col min="6154" max="6400" width="9" style="3235"/>
    <col min="6401" max="6401" width="5.75" style="3235" customWidth="1"/>
    <col min="6402" max="6402" width="6.125" style="3235" customWidth="1"/>
    <col min="6403" max="6403" width="8.875" style="3235" customWidth="1"/>
    <col min="6404" max="6404" width="8.25" style="3235" customWidth="1"/>
    <col min="6405" max="6405" width="12.75" style="3235" customWidth="1"/>
    <col min="6406" max="6406" width="12.875" style="3235" customWidth="1"/>
    <col min="6407" max="6407" width="9.75" style="3235" customWidth="1"/>
    <col min="6408" max="6408" width="13.125" style="3235" customWidth="1"/>
    <col min="6409" max="6409" width="13.375" style="3235" customWidth="1"/>
    <col min="6410" max="6656" width="9" style="3235"/>
    <col min="6657" max="6657" width="5.75" style="3235" customWidth="1"/>
    <col min="6658" max="6658" width="6.125" style="3235" customWidth="1"/>
    <col min="6659" max="6659" width="8.875" style="3235" customWidth="1"/>
    <col min="6660" max="6660" width="8.25" style="3235" customWidth="1"/>
    <col min="6661" max="6661" width="12.75" style="3235" customWidth="1"/>
    <col min="6662" max="6662" width="12.875" style="3235" customWidth="1"/>
    <col min="6663" max="6663" width="9.75" style="3235" customWidth="1"/>
    <col min="6664" max="6664" width="13.125" style="3235" customWidth="1"/>
    <col min="6665" max="6665" width="13.375" style="3235" customWidth="1"/>
    <col min="6666" max="6912" width="9" style="3235"/>
    <col min="6913" max="6913" width="5.75" style="3235" customWidth="1"/>
    <col min="6914" max="6914" width="6.125" style="3235" customWidth="1"/>
    <col min="6915" max="6915" width="8.875" style="3235" customWidth="1"/>
    <col min="6916" max="6916" width="8.25" style="3235" customWidth="1"/>
    <col min="6917" max="6917" width="12.75" style="3235" customWidth="1"/>
    <col min="6918" max="6918" width="12.875" style="3235" customWidth="1"/>
    <col min="6919" max="6919" width="9.75" style="3235" customWidth="1"/>
    <col min="6920" max="6920" width="13.125" style="3235" customWidth="1"/>
    <col min="6921" max="6921" width="13.375" style="3235" customWidth="1"/>
    <col min="6922" max="7168" width="9" style="3235"/>
    <col min="7169" max="7169" width="5.75" style="3235" customWidth="1"/>
    <col min="7170" max="7170" width="6.125" style="3235" customWidth="1"/>
    <col min="7171" max="7171" width="8.875" style="3235" customWidth="1"/>
    <col min="7172" max="7172" width="8.25" style="3235" customWidth="1"/>
    <col min="7173" max="7173" width="12.75" style="3235" customWidth="1"/>
    <col min="7174" max="7174" width="12.875" style="3235" customWidth="1"/>
    <col min="7175" max="7175" width="9.75" style="3235" customWidth="1"/>
    <col min="7176" max="7176" width="13.125" style="3235" customWidth="1"/>
    <col min="7177" max="7177" width="13.375" style="3235" customWidth="1"/>
    <col min="7178" max="7424" width="9" style="3235"/>
    <col min="7425" max="7425" width="5.75" style="3235" customWidth="1"/>
    <col min="7426" max="7426" width="6.125" style="3235" customWidth="1"/>
    <col min="7427" max="7427" width="8.875" style="3235" customWidth="1"/>
    <col min="7428" max="7428" width="8.25" style="3235" customWidth="1"/>
    <col min="7429" max="7429" width="12.75" style="3235" customWidth="1"/>
    <col min="7430" max="7430" width="12.875" style="3235" customWidth="1"/>
    <col min="7431" max="7431" width="9.75" style="3235" customWidth="1"/>
    <col min="7432" max="7432" width="13.125" style="3235" customWidth="1"/>
    <col min="7433" max="7433" width="13.375" style="3235" customWidth="1"/>
    <col min="7434" max="7680" width="9" style="3235"/>
    <col min="7681" max="7681" width="5.75" style="3235" customWidth="1"/>
    <col min="7682" max="7682" width="6.125" style="3235" customWidth="1"/>
    <col min="7683" max="7683" width="8.875" style="3235" customWidth="1"/>
    <col min="7684" max="7684" width="8.25" style="3235" customWidth="1"/>
    <col min="7685" max="7685" width="12.75" style="3235" customWidth="1"/>
    <col min="7686" max="7686" width="12.875" style="3235" customWidth="1"/>
    <col min="7687" max="7687" width="9.75" style="3235" customWidth="1"/>
    <col min="7688" max="7688" width="13.125" style="3235" customWidth="1"/>
    <col min="7689" max="7689" width="13.375" style="3235" customWidth="1"/>
    <col min="7690" max="7936" width="9" style="3235"/>
    <col min="7937" max="7937" width="5.75" style="3235" customWidth="1"/>
    <col min="7938" max="7938" width="6.125" style="3235" customWidth="1"/>
    <col min="7939" max="7939" width="8.875" style="3235" customWidth="1"/>
    <col min="7940" max="7940" width="8.25" style="3235" customWidth="1"/>
    <col min="7941" max="7941" width="12.75" style="3235" customWidth="1"/>
    <col min="7942" max="7942" width="12.875" style="3235" customWidth="1"/>
    <col min="7943" max="7943" width="9.75" style="3235" customWidth="1"/>
    <col min="7944" max="7944" width="13.125" style="3235" customWidth="1"/>
    <col min="7945" max="7945" width="13.375" style="3235" customWidth="1"/>
    <col min="7946" max="8192" width="9" style="3235"/>
    <col min="8193" max="8193" width="5.75" style="3235" customWidth="1"/>
    <col min="8194" max="8194" width="6.125" style="3235" customWidth="1"/>
    <col min="8195" max="8195" width="8.875" style="3235" customWidth="1"/>
    <col min="8196" max="8196" width="8.25" style="3235" customWidth="1"/>
    <col min="8197" max="8197" width="12.75" style="3235" customWidth="1"/>
    <col min="8198" max="8198" width="12.875" style="3235" customWidth="1"/>
    <col min="8199" max="8199" width="9.75" style="3235" customWidth="1"/>
    <col min="8200" max="8200" width="13.125" style="3235" customWidth="1"/>
    <col min="8201" max="8201" width="13.375" style="3235" customWidth="1"/>
    <col min="8202" max="8448" width="9" style="3235"/>
    <col min="8449" max="8449" width="5.75" style="3235" customWidth="1"/>
    <col min="8450" max="8450" width="6.125" style="3235" customWidth="1"/>
    <col min="8451" max="8451" width="8.875" style="3235" customWidth="1"/>
    <col min="8452" max="8452" width="8.25" style="3235" customWidth="1"/>
    <col min="8453" max="8453" width="12.75" style="3235" customWidth="1"/>
    <col min="8454" max="8454" width="12.875" style="3235" customWidth="1"/>
    <col min="8455" max="8455" width="9.75" style="3235" customWidth="1"/>
    <col min="8456" max="8456" width="13.125" style="3235" customWidth="1"/>
    <col min="8457" max="8457" width="13.375" style="3235" customWidth="1"/>
    <col min="8458" max="8704" width="9" style="3235"/>
    <col min="8705" max="8705" width="5.75" style="3235" customWidth="1"/>
    <col min="8706" max="8706" width="6.125" style="3235" customWidth="1"/>
    <col min="8707" max="8707" width="8.875" style="3235" customWidth="1"/>
    <col min="8708" max="8708" width="8.25" style="3235" customWidth="1"/>
    <col min="8709" max="8709" width="12.75" style="3235" customWidth="1"/>
    <col min="8710" max="8710" width="12.875" style="3235" customWidth="1"/>
    <col min="8711" max="8711" width="9.75" style="3235" customWidth="1"/>
    <col min="8712" max="8712" width="13.125" style="3235" customWidth="1"/>
    <col min="8713" max="8713" width="13.375" style="3235" customWidth="1"/>
    <col min="8714" max="8960" width="9" style="3235"/>
    <col min="8961" max="8961" width="5.75" style="3235" customWidth="1"/>
    <col min="8962" max="8962" width="6.125" style="3235" customWidth="1"/>
    <col min="8963" max="8963" width="8.875" style="3235" customWidth="1"/>
    <col min="8964" max="8964" width="8.25" style="3235" customWidth="1"/>
    <col min="8965" max="8965" width="12.75" style="3235" customWidth="1"/>
    <col min="8966" max="8966" width="12.875" style="3235" customWidth="1"/>
    <col min="8967" max="8967" width="9.75" style="3235" customWidth="1"/>
    <col min="8968" max="8968" width="13.125" style="3235" customWidth="1"/>
    <col min="8969" max="8969" width="13.375" style="3235" customWidth="1"/>
    <col min="8970" max="9216" width="9" style="3235"/>
    <col min="9217" max="9217" width="5.75" style="3235" customWidth="1"/>
    <col min="9218" max="9218" width="6.125" style="3235" customWidth="1"/>
    <col min="9219" max="9219" width="8.875" style="3235" customWidth="1"/>
    <col min="9220" max="9220" width="8.25" style="3235" customWidth="1"/>
    <col min="9221" max="9221" width="12.75" style="3235" customWidth="1"/>
    <col min="9222" max="9222" width="12.875" style="3235" customWidth="1"/>
    <col min="9223" max="9223" width="9.75" style="3235" customWidth="1"/>
    <col min="9224" max="9224" width="13.125" style="3235" customWidth="1"/>
    <col min="9225" max="9225" width="13.375" style="3235" customWidth="1"/>
    <col min="9226" max="9472" width="9" style="3235"/>
    <col min="9473" max="9473" width="5.75" style="3235" customWidth="1"/>
    <col min="9474" max="9474" width="6.125" style="3235" customWidth="1"/>
    <col min="9475" max="9475" width="8.875" style="3235" customWidth="1"/>
    <col min="9476" max="9476" width="8.25" style="3235" customWidth="1"/>
    <col min="9477" max="9477" width="12.75" style="3235" customWidth="1"/>
    <col min="9478" max="9478" width="12.875" style="3235" customWidth="1"/>
    <col min="9479" max="9479" width="9.75" style="3235" customWidth="1"/>
    <col min="9480" max="9480" width="13.125" style="3235" customWidth="1"/>
    <col min="9481" max="9481" width="13.375" style="3235" customWidth="1"/>
    <col min="9482" max="9728" width="9" style="3235"/>
    <col min="9729" max="9729" width="5.75" style="3235" customWidth="1"/>
    <col min="9730" max="9730" width="6.125" style="3235" customWidth="1"/>
    <col min="9731" max="9731" width="8.875" style="3235" customWidth="1"/>
    <col min="9732" max="9732" width="8.25" style="3235" customWidth="1"/>
    <col min="9733" max="9733" width="12.75" style="3235" customWidth="1"/>
    <col min="9734" max="9734" width="12.875" style="3235" customWidth="1"/>
    <col min="9735" max="9735" width="9.75" style="3235" customWidth="1"/>
    <col min="9736" max="9736" width="13.125" style="3235" customWidth="1"/>
    <col min="9737" max="9737" width="13.375" style="3235" customWidth="1"/>
    <col min="9738" max="9984" width="9" style="3235"/>
    <col min="9985" max="9985" width="5.75" style="3235" customWidth="1"/>
    <col min="9986" max="9986" width="6.125" style="3235" customWidth="1"/>
    <col min="9987" max="9987" width="8.875" style="3235" customWidth="1"/>
    <col min="9988" max="9988" width="8.25" style="3235" customWidth="1"/>
    <col min="9989" max="9989" width="12.75" style="3235" customWidth="1"/>
    <col min="9990" max="9990" width="12.875" style="3235" customWidth="1"/>
    <col min="9991" max="9991" width="9.75" style="3235" customWidth="1"/>
    <col min="9992" max="9992" width="13.125" style="3235" customWidth="1"/>
    <col min="9993" max="9993" width="13.375" style="3235" customWidth="1"/>
    <col min="9994" max="10240" width="9" style="3235"/>
    <col min="10241" max="10241" width="5.75" style="3235" customWidth="1"/>
    <col min="10242" max="10242" width="6.125" style="3235" customWidth="1"/>
    <col min="10243" max="10243" width="8.875" style="3235" customWidth="1"/>
    <col min="10244" max="10244" width="8.25" style="3235" customWidth="1"/>
    <col min="10245" max="10245" width="12.75" style="3235" customWidth="1"/>
    <col min="10246" max="10246" width="12.875" style="3235" customWidth="1"/>
    <col min="10247" max="10247" width="9.75" style="3235" customWidth="1"/>
    <col min="10248" max="10248" width="13.125" style="3235" customWidth="1"/>
    <col min="10249" max="10249" width="13.375" style="3235" customWidth="1"/>
    <col min="10250" max="10496" width="9" style="3235"/>
    <col min="10497" max="10497" width="5.75" style="3235" customWidth="1"/>
    <col min="10498" max="10498" width="6.125" style="3235" customWidth="1"/>
    <col min="10499" max="10499" width="8.875" style="3235" customWidth="1"/>
    <col min="10500" max="10500" width="8.25" style="3235" customWidth="1"/>
    <col min="10501" max="10501" width="12.75" style="3235" customWidth="1"/>
    <col min="10502" max="10502" width="12.875" style="3235" customWidth="1"/>
    <col min="10503" max="10503" width="9.75" style="3235" customWidth="1"/>
    <col min="10504" max="10504" width="13.125" style="3235" customWidth="1"/>
    <col min="10505" max="10505" width="13.375" style="3235" customWidth="1"/>
    <col min="10506" max="10752" width="9" style="3235"/>
    <col min="10753" max="10753" width="5.75" style="3235" customWidth="1"/>
    <col min="10754" max="10754" width="6.125" style="3235" customWidth="1"/>
    <col min="10755" max="10755" width="8.875" style="3235" customWidth="1"/>
    <col min="10756" max="10756" width="8.25" style="3235" customWidth="1"/>
    <col min="10757" max="10757" width="12.75" style="3235" customWidth="1"/>
    <col min="10758" max="10758" width="12.875" style="3235" customWidth="1"/>
    <col min="10759" max="10759" width="9.75" style="3235" customWidth="1"/>
    <col min="10760" max="10760" width="13.125" style="3235" customWidth="1"/>
    <col min="10761" max="10761" width="13.375" style="3235" customWidth="1"/>
    <col min="10762" max="11008" width="9" style="3235"/>
    <col min="11009" max="11009" width="5.75" style="3235" customWidth="1"/>
    <col min="11010" max="11010" width="6.125" style="3235" customWidth="1"/>
    <col min="11011" max="11011" width="8.875" style="3235" customWidth="1"/>
    <col min="11012" max="11012" width="8.25" style="3235" customWidth="1"/>
    <col min="11013" max="11013" width="12.75" style="3235" customWidth="1"/>
    <col min="11014" max="11014" width="12.875" style="3235" customWidth="1"/>
    <col min="11015" max="11015" width="9.75" style="3235" customWidth="1"/>
    <col min="11016" max="11016" width="13.125" style="3235" customWidth="1"/>
    <col min="11017" max="11017" width="13.375" style="3235" customWidth="1"/>
    <col min="11018" max="11264" width="9" style="3235"/>
    <col min="11265" max="11265" width="5.75" style="3235" customWidth="1"/>
    <col min="11266" max="11266" width="6.125" style="3235" customWidth="1"/>
    <col min="11267" max="11267" width="8.875" style="3235" customWidth="1"/>
    <col min="11268" max="11268" width="8.25" style="3235" customWidth="1"/>
    <col min="11269" max="11269" width="12.75" style="3235" customWidth="1"/>
    <col min="11270" max="11270" width="12.875" style="3235" customWidth="1"/>
    <col min="11271" max="11271" width="9.75" style="3235" customWidth="1"/>
    <col min="11272" max="11272" width="13.125" style="3235" customWidth="1"/>
    <col min="11273" max="11273" width="13.375" style="3235" customWidth="1"/>
    <col min="11274" max="11520" width="9" style="3235"/>
    <col min="11521" max="11521" width="5.75" style="3235" customWidth="1"/>
    <col min="11522" max="11522" width="6.125" style="3235" customWidth="1"/>
    <col min="11523" max="11523" width="8.875" style="3235" customWidth="1"/>
    <col min="11524" max="11524" width="8.25" style="3235" customWidth="1"/>
    <col min="11525" max="11525" width="12.75" style="3235" customWidth="1"/>
    <col min="11526" max="11526" width="12.875" style="3235" customWidth="1"/>
    <col min="11527" max="11527" width="9.75" style="3235" customWidth="1"/>
    <col min="11528" max="11528" width="13.125" style="3235" customWidth="1"/>
    <col min="11529" max="11529" width="13.375" style="3235" customWidth="1"/>
    <col min="11530" max="11776" width="9" style="3235"/>
    <col min="11777" max="11777" width="5.75" style="3235" customWidth="1"/>
    <col min="11778" max="11778" width="6.125" style="3235" customWidth="1"/>
    <col min="11779" max="11779" width="8.875" style="3235" customWidth="1"/>
    <col min="11780" max="11780" width="8.25" style="3235" customWidth="1"/>
    <col min="11781" max="11781" width="12.75" style="3235" customWidth="1"/>
    <col min="11782" max="11782" width="12.875" style="3235" customWidth="1"/>
    <col min="11783" max="11783" width="9.75" style="3235" customWidth="1"/>
    <col min="11784" max="11784" width="13.125" style="3235" customWidth="1"/>
    <col min="11785" max="11785" width="13.375" style="3235" customWidth="1"/>
    <col min="11786" max="12032" width="9" style="3235"/>
    <col min="12033" max="12033" width="5.75" style="3235" customWidth="1"/>
    <col min="12034" max="12034" width="6.125" style="3235" customWidth="1"/>
    <col min="12035" max="12035" width="8.875" style="3235" customWidth="1"/>
    <col min="12036" max="12036" width="8.25" style="3235" customWidth="1"/>
    <col min="12037" max="12037" width="12.75" style="3235" customWidth="1"/>
    <col min="12038" max="12038" width="12.875" style="3235" customWidth="1"/>
    <col min="12039" max="12039" width="9.75" style="3235" customWidth="1"/>
    <col min="12040" max="12040" width="13.125" style="3235" customWidth="1"/>
    <col min="12041" max="12041" width="13.375" style="3235" customWidth="1"/>
    <col min="12042" max="12288" width="9" style="3235"/>
    <col min="12289" max="12289" width="5.75" style="3235" customWidth="1"/>
    <col min="12290" max="12290" width="6.125" style="3235" customWidth="1"/>
    <col min="12291" max="12291" width="8.875" style="3235" customWidth="1"/>
    <col min="12292" max="12292" width="8.25" style="3235" customWidth="1"/>
    <col min="12293" max="12293" width="12.75" style="3235" customWidth="1"/>
    <col min="12294" max="12294" width="12.875" style="3235" customWidth="1"/>
    <col min="12295" max="12295" width="9.75" style="3235" customWidth="1"/>
    <col min="12296" max="12296" width="13.125" style="3235" customWidth="1"/>
    <col min="12297" max="12297" width="13.375" style="3235" customWidth="1"/>
    <col min="12298" max="12544" width="9" style="3235"/>
    <col min="12545" max="12545" width="5.75" style="3235" customWidth="1"/>
    <col min="12546" max="12546" width="6.125" style="3235" customWidth="1"/>
    <col min="12547" max="12547" width="8.875" style="3235" customWidth="1"/>
    <col min="12548" max="12548" width="8.25" style="3235" customWidth="1"/>
    <col min="12549" max="12549" width="12.75" style="3235" customWidth="1"/>
    <col min="12550" max="12550" width="12.875" style="3235" customWidth="1"/>
    <col min="12551" max="12551" width="9.75" style="3235" customWidth="1"/>
    <col min="12552" max="12552" width="13.125" style="3235" customWidth="1"/>
    <col min="12553" max="12553" width="13.375" style="3235" customWidth="1"/>
    <col min="12554" max="12800" width="9" style="3235"/>
    <col min="12801" max="12801" width="5.75" style="3235" customWidth="1"/>
    <col min="12802" max="12802" width="6.125" style="3235" customWidth="1"/>
    <col min="12803" max="12803" width="8.875" style="3235" customWidth="1"/>
    <col min="12804" max="12804" width="8.25" style="3235" customWidth="1"/>
    <col min="12805" max="12805" width="12.75" style="3235" customWidth="1"/>
    <col min="12806" max="12806" width="12.875" style="3235" customWidth="1"/>
    <col min="12807" max="12807" width="9.75" style="3235" customWidth="1"/>
    <col min="12808" max="12808" width="13.125" style="3235" customWidth="1"/>
    <col min="12809" max="12809" width="13.375" style="3235" customWidth="1"/>
    <col min="12810" max="13056" width="9" style="3235"/>
    <col min="13057" max="13057" width="5.75" style="3235" customWidth="1"/>
    <col min="13058" max="13058" width="6.125" style="3235" customWidth="1"/>
    <col min="13059" max="13059" width="8.875" style="3235" customWidth="1"/>
    <col min="13060" max="13060" width="8.25" style="3235" customWidth="1"/>
    <col min="13061" max="13061" width="12.75" style="3235" customWidth="1"/>
    <col min="13062" max="13062" width="12.875" style="3235" customWidth="1"/>
    <col min="13063" max="13063" width="9.75" style="3235" customWidth="1"/>
    <col min="13064" max="13064" width="13.125" style="3235" customWidth="1"/>
    <col min="13065" max="13065" width="13.375" style="3235" customWidth="1"/>
    <col min="13066" max="13312" width="9" style="3235"/>
    <col min="13313" max="13313" width="5.75" style="3235" customWidth="1"/>
    <col min="13314" max="13314" width="6.125" style="3235" customWidth="1"/>
    <col min="13315" max="13315" width="8.875" style="3235" customWidth="1"/>
    <col min="13316" max="13316" width="8.25" style="3235" customWidth="1"/>
    <col min="13317" max="13317" width="12.75" style="3235" customWidth="1"/>
    <col min="13318" max="13318" width="12.875" style="3235" customWidth="1"/>
    <col min="13319" max="13319" width="9.75" style="3235" customWidth="1"/>
    <col min="13320" max="13320" width="13.125" style="3235" customWidth="1"/>
    <col min="13321" max="13321" width="13.375" style="3235" customWidth="1"/>
    <col min="13322" max="13568" width="9" style="3235"/>
    <col min="13569" max="13569" width="5.75" style="3235" customWidth="1"/>
    <col min="13570" max="13570" width="6.125" style="3235" customWidth="1"/>
    <col min="13571" max="13571" width="8.875" style="3235" customWidth="1"/>
    <col min="13572" max="13572" width="8.25" style="3235" customWidth="1"/>
    <col min="13573" max="13573" width="12.75" style="3235" customWidth="1"/>
    <col min="13574" max="13574" width="12.875" style="3235" customWidth="1"/>
    <col min="13575" max="13575" width="9.75" style="3235" customWidth="1"/>
    <col min="13576" max="13576" width="13.125" style="3235" customWidth="1"/>
    <col min="13577" max="13577" width="13.375" style="3235" customWidth="1"/>
    <col min="13578" max="13824" width="9" style="3235"/>
    <col min="13825" max="13825" width="5.75" style="3235" customWidth="1"/>
    <col min="13826" max="13826" width="6.125" style="3235" customWidth="1"/>
    <col min="13827" max="13827" width="8.875" style="3235" customWidth="1"/>
    <col min="13828" max="13828" width="8.25" style="3235" customWidth="1"/>
    <col min="13829" max="13829" width="12.75" style="3235" customWidth="1"/>
    <col min="13830" max="13830" width="12.875" style="3235" customWidth="1"/>
    <col min="13831" max="13831" width="9.75" style="3235" customWidth="1"/>
    <col min="13832" max="13832" width="13.125" style="3235" customWidth="1"/>
    <col min="13833" max="13833" width="13.375" style="3235" customWidth="1"/>
    <col min="13834" max="14080" width="9" style="3235"/>
    <col min="14081" max="14081" width="5.75" style="3235" customWidth="1"/>
    <col min="14082" max="14082" width="6.125" style="3235" customWidth="1"/>
    <col min="14083" max="14083" width="8.875" style="3235" customWidth="1"/>
    <col min="14084" max="14084" width="8.25" style="3235" customWidth="1"/>
    <col min="14085" max="14085" width="12.75" style="3235" customWidth="1"/>
    <col min="14086" max="14086" width="12.875" style="3235" customWidth="1"/>
    <col min="14087" max="14087" width="9.75" style="3235" customWidth="1"/>
    <col min="14088" max="14088" width="13.125" style="3235" customWidth="1"/>
    <col min="14089" max="14089" width="13.375" style="3235" customWidth="1"/>
    <col min="14090" max="14336" width="9" style="3235"/>
    <col min="14337" max="14337" width="5.75" style="3235" customWidth="1"/>
    <col min="14338" max="14338" width="6.125" style="3235" customWidth="1"/>
    <col min="14339" max="14339" width="8.875" style="3235" customWidth="1"/>
    <col min="14340" max="14340" width="8.25" style="3235" customWidth="1"/>
    <col min="14341" max="14341" width="12.75" style="3235" customWidth="1"/>
    <col min="14342" max="14342" width="12.875" style="3235" customWidth="1"/>
    <col min="14343" max="14343" width="9.75" style="3235" customWidth="1"/>
    <col min="14344" max="14344" width="13.125" style="3235" customWidth="1"/>
    <col min="14345" max="14345" width="13.375" style="3235" customWidth="1"/>
    <col min="14346" max="14592" width="9" style="3235"/>
    <col min="14593" max="14593" width="5.75" style="3235" customWidth="1"/>
    <col min="14594" max="14594" width="6.125" style="3235" customWidth="1"/>
    <col min="14595" max="14595" width="8.875" style="3235" customWidth="1"/>
    <col min="14596" max="14596" width="8.25" style="3235" customWidth="1"/>
    <col min="14597" max="14597" width="12.75" style="3235" customWidth="1"/>
    <col min="14598" max="14598" width="12.875" style="3235" customWidth="1"/>
    <col min="14599" max="14599" width="9.75" style="3235" customWidth="1"/>
    <col min="14600" max="14600" width="13.125" style="3235" customWidth="1"/>
    <col min="14601" max="14601" width="13.375" style="3235" customWidth="1"/>
    <col min="14602" max="14848" width="9" style="3235"/>
    <col min="14849" max="14849" width="5.75" style="3235" customWidth="1"/>
    <col min="14850" max="14850" width="6.125" style="3235" customWidth="1"/>
    <col min="14851" max="14851" width="8.875" style="3235" customWidth="1"/>
    <col min="14852" max="14852" width="8.25" style="3235" customWidth="1"/>
    <col min="14853" max="14853" width="12.75" style="3235" customWidth="1"/>
    <col min="14854" max="14854" width="12.875" style="3235" customWidth="1"/>
    <col min="14855" max="14855" width="9.75" style="3235" customWidth="1"/>
    <col min="14856" max="14856" width="13.125" style="3235" customWidth="1"/>
    <col min="14857" max="14857" width="13.375" style="3235" customWidth="1"/>
    <col min="14858" max="15104" width="9" style="3235"/>
    <col min="15105" max="15105" width="5.75" style="3235" customWidth="1"/>
    <col min="15106" max="15106" width="6.125" style="3235" customWidth="1"/>
    <col min="15107" max="15107" width="8.875" style="3235" customWidth="1"/>
    <col min="15108" max="15108" width="8.25" style="3235" customWidth="1"/>
    <col min="15109" max="15109" width="12.75" style="3235" customWidth="1"/>
    <col min="15110" max="15110" width="12.875" style="3235" customWidth="1"/>
    <col min="15111" max="15111" width="9.75" style="3235" customWidth="1"/>
    <col min="15112" max="15112" width="13.125" style="3235" customWidth="1"/>
    <col min="15113" max="15113" width="13.375" style="3235" customWidth="1"/>
    <col min="15114" max="15360" width="9" style="3235"/>
    <col min="15361" max="15361" width="5.75" style="3235" customWidth="1"/>
    <col min="15362" max="15362" width="6.125" style="3235" customWidth="1"/>
    <col min="15363" max="15363" width="8.875" style="3235" customWidth="1"/>
    <col min="15364" max="15364" width="8.25" style="3235" customWidth="1"/>
    <col min="15365" max="15365" width="12.75" style="3235" customWidth="1"/>
    <col min="15366" max="15366" width="12.875" style="3235" customWidth="1"/>
    <col min="15367" max="15367" width="9.75" style="3235" customWidth="1"/>
    <col min="15368" max="15368" width="13.125" style="3235" customWidth="1"/>
    <col min="15369" max="15369" width="13.375" style="3235" customWidth="1"/>
    <col min="15370" max="15616" width="9" style="3235"/>
    <col min="15617" max="15617" width="5.75" style="3235" customWidth="1"/>
    <col min="15618" max="15618" width="6.125" style="3235" customWidth="1"/>
    <col min="15619" max="15619" width="8.875" style="3235" customWidth="1"/>
    <col min="15620" max="15620" width="8.25" style="3235" customWidth="1"/>
    <col min="15621" max="15621" width="12.75" style="3235" customWidth="1"/>
    <col min="15622" max="15622" width="12.875" style="3235" customWidth="1"/>
    <col min="15623" max="15623" width="9.75" style="3235" customWidth="1"/>
    <col min="15624" max="15624" width="13.125" style="3235" customWidth="1"/>
    <col min="15625" max="15625" width="13.375" style="3235" customWidth="1"/>
    <col min="15626" max="15872" width="9" style="3235"/>
    <col min="15873" max="15873" width="5.75" style="3235" customWidth="1"/>
    <col min="15874" max="15874" width="6.125" style="3235" customWidth="1"/>
    <col min="15875" max="15875" width="8.875" style="3235" customWidth="1"/>
    <col min="15876" max="15876" width="8.25" style="3235" customWidth="1"/>
    <col min="15877" max="15877" width="12.75" style="3235" customWidth="1"/>
    <col min="15878" max="15878" width="12.875" style="3235" customWidth="1"/>
    <col min="15879" max="15879" width="9.75" style="3235" customWidth="1"/>
    <col min="15880" max="15880" width="13.125" style="3235" customWidth="1"/>
    <col min="15881" max="15881" width="13.375" style="3235" customWidth="1"/>
    <col min="15882" max="16128" width="9" style="3235"/>
    <col min="16129" max="16129" width="5.75" style="3235" customWidth="1"/>
    <col min="16130" max="16130" width="6.125" style="3235" customWidth="1"/>
    <col min="16131" max="16131" width="8.875" style="3235" customWidth="1"/>
    <col min="16132" max="16132" width="8.25" style="3235" customWidth="1"/>
    <col min="16133" max="16133" width="12.75" style="3235" customWidth="1"/>
    <col min="16134" max="16134" width="12.875" style="3235" customWidth="1"/>
    <col min="16135" max="16135" width="9.75" style="3235" customWidth="1"/>
    <col min="16136" max="16136" width="13.125" style="3235" customWidth="1"/>
    <col min="16137" max="16137" width="13.375" style="3235" customWidth="1"/>
    <col min="16138" max="16384" width="9" style="3235"/>
  </cols>
  <sheetData>
    <row r="1" spans="1:9" ht="24" customHeight="1">
      <c r="A1" s="4177" t="s">
        <v>3073</v>
      </c>
      <c r="B1" s="4177"/>
      <c r="C1" s="4177"/>
      <c r="D1" s="4177"/>
      <c r="E1" s="4177"/>
      <c r="F1" s="4177"/>
      <c r="G1" s="4177"/>
      <c r="H1" s="4177"/>
      <c r="I1" s="4177"/>
    </row>
    <row r="2" spans="1:9" ht="20.25" customHeight="1">
      <c r="A2" s="4178" t="s">
        <v>3074</v>
      </c>
      <c r="B2" s="4178" t="s">
        <v>3075</v>
      </c>
      <c r="C2" s="4178" t="s">
        <v>3076</v>
      </c>
      <c r="D2" s="4181" t="s">
        <v>3077</v>
      </c>
      <c r="E2" s="4182"/>
      <c r="F2" s="4182"/>
      <c r="G2" s="4183" t="s">
        <v>3078</v>
      </c>
      <c r="H2" s="4184"/>
      <c r="I2" s="4185"/>
    </row>
    <row r="3" spans="1:9" ht="32.25" customHeight="1">
      <c r="A3" s="4179"/>
      <c r="B3" s="4179"/>
      <c r="C3" s="4179"/>
      <c r="D3" s="4178" t="s">
        <v>3079</v>
      </c>
      <c r="E3" s="3236" t="s">
        <v>3080</v>
      </c>
      <c r="F3" s="3236" t="s">
        <v>3081</v>
      </c>
      <c r="G3" s="4186" t="s">
        <v>3082</v>
      </c>
      <c r="H3" s="3236" t="s">
        <v>3080</v>
      </c>
      <c r="I3" s="3237" t="s">
        <v>3081</v>
      </c>
    </row>
    <row r="4" spans="1:9" ht="21" customHeight="1">
      <c r="A4" s="4180"/>
      <c r="B4" s="4180"/>
      <c r="C4" s="4180"/>
      <c r="D4" s="4180"/>
      <c r="E4" s="3237" t="s">
        <v>3083</v>
      </c>
      <c r="F4" s="3237" t="s">
        <v>3083</v>
      </c>
      <c r="G4" s="4187"/>
      <c r="H4" s="3237" t="s">
        <v>3083</v>
      </c>
      <c r="I4" s="3237" t="s">
        <v>3083</v>
      </c>
    </row>
    <row r="5" spans="1:9" ht="18" customHeight="1">
      <c r="A5" s="3238" t="s">
        <v>3084</v>
      </c>
      <c r="B5" s="3238" t="s">
        <v>3085</v>
      </c>
      <c r="C5" s="3238">
        <v>4630.03</v>
      </c>
      <c r="D5" s="3238">
        <v>4630.03</v>
      </c>
      <c r="E5" s="3239">
        <v>5</v>
      </c>
      <c r="F5" s="3239">
        <v>5.5</v>
      </c>
      <c r="G5" s="3239">
        <v>0</v>
      </c>
      <c r="H5" s="3239">
        <v>3.5</v>
      </c>
      <c r="I5" s="3240">
        <v>3.75</v>
      </c>
    </row>
    <row r="6" spans="1:9" ht="17.25" customHeight="1">
      <c r="A6" s="3241" t="s">
        <v>3086</v>
      </c>
      <c r="B6" s="3238" t="s">
        <v>3085</v>
      </c>
      <c r="C6" s="3241">
        <v>6618.74</v>
      </c>
      <c r="D6" s="3241">
        <v>6568.26</v>
      </c>
      <c r="E6" s="3239">
        <v>5</v>
      </c>
      <c r="F6" s="3239">
        <v>5.5</v>
      </c>
      <c r="G6" s="3242">
        <v>50.48</v>
      </c>
      <c r="H6" s="3239">
        <v>3.5</v>
      </c>
      <c r="I6" s="3240">
        <v>3.75</v>
      </c>
    </row>
    <row r="7" spans="1:9" ht="18" customHeight="1">
      <c r="A7" s="3241" t="s">
        <v>3087</v>
      </c>
      <c r="B7" s="3238" t="s">
        <v>3085</v>
      </c>
      <c r="C7" s="3241">
        <v>3096.41</v>
      </c>
      <c r="D7" s="3241">
        <v>3096.41</v>
      </c>
      <c r="E7" s="3239">
        <v>5</v>
      </c>
      <c r="F7" s="3239">
        <v>5.5</v>
      </c>
      <c r="G7" s="3242">
        <v>0</v>
      </c>
      <c r="H7" s="3239">
        <v>3.5</v>
      </c>
      <c r="I7" s="3240">
        <v>3.75</v>
      </c>
    </row>
    <row r="8" spans="1:9" ht="18" customHeight="1">
      <c r="A8" s="3241" t="s">
        <v>3088</v>
      </c>
      <c r="B8" s="3238" t="s">
        <v>3085</v>
      </c>
      <c r="C8" s="3241">
        <v>315.83999999999997</v>
      </c>
      <c r="D8" s="3241">
        <v>315.83999999999997</v>
      </c>
      <c r="E8" s="3239">
        <v>5</v>
      </c>
      <c r="F8" s="3239">
        <v>5.5</v>
      </c>
      <c r="G8" s="3242">
        <v>0</v>
      </c>
      <c r="H8" s="3239">
        <v>3.5</v>
      </c>
      <c r="I8" s="3240">
        <v>3.75</v>
      </c>
    </row>
    <row r="9" spans="1:9" ht="17.25" customHeight="1">
      <c r="A9" s="3241" t="s">
        <v>3089</v>
      </c>
      <c r="B9" s="3238" t="s">
        <v>3085</v>
      </c>
      <c r="C9" s="3241">
        <v>675.64</v>
      </c>
      <c r="D9" s="3241">
        <v>675.64</v>
      </c>
      <c r="E9" s="3239">
        <v>5</v>
      </c>
      <c r="F9" s="3239">
        <v>5.5</v>
      </c>
      <c r="G9" s="3242">
        <v>0</v>
      </c>
      <c r="H9" s="3239">
        <v>3.5</v>
      </c>
      <c r="I9" s="3240">
        <v>3.75</v>
      </c>
    </row>
    <row r="10" spans="1:9" ht="18" customHeight="1">
      <c r="A10" s="3241" t="s">
        <v>977</v>
      </c>
      <c r="B10" s="3241" t="s">
        <v>3085</v>
      </c>
      <c r="C10" s="3241">
        <f>SUM(C5:C9)</f>
        <v>15336.66</v>
      </c>
      <c r="D10" s="3241">
        <f>SUM(D5:D9)</f>
        <v>15286.18</v>
      </c>
      <c r="E10" s="3239">
        <v>5</v>
      </c>
      <c r="F10" s="3239">
        <v>5.5</v>
      </c>
      <c r="G10" s="3242">
        <v>50.48</v>
      </c>
      <c r="H10" s="3239">
        <v>3.5</v>
      </c>
      <c r="I10" s="3240">
        <v>3.75</v>
      </c>
    </row>
    <row r="11" spans="1:9" ht="18" customHeight="1">
      <c r="A11" s="3241" t="s">
        <v>3090</v>
      </c>
      <c r="B11" s="3238" t="s">
        <v>3085</v>
      </c>
      <c r="C11" s="3241">
        <v>3065.26</v>
      </c>
      <c r="D11" s="3241">
        <v>3065.26</v>
      </c>
      <c r="E11" s="3239">
        <v>5</v>
      </c>
      <c r="F11" s="3239">
        <v>5.5</v>
      </c>
      <c r="G11" s="3242">
        <v>0</v>
      </c>
      <c r="H11" s="3239">
        <v>3.5</v>
      </c>
      <c r="I11" s="3240">
        <v>3.75</v>
      </c>
    </row>
    <row r="12" spans="1:9" ht="18" customHeight="1">
      <c r="A12" s="4172" t="s">
        <v>3091</v>
      </c>
      <c r="B12" s="3241" t="s">
        <v>3085</v>
      </c>
      <c r="C12" s="3241">
        <v>4829.13</v>
      </c>
      <c r="D12" s="3241">
        <v>4813.87</v>
      </c>
      <c r="E12" s="3239">
        <v>5</v>
      </c>
      <c r="F12" s="3239">
        <v>5.5</v>
      </c>
      <c r="G12" s="3242">
        <v>15.26</v>
      </c>
      <c r="H12" s="3239">
        <v>3.5</v>
      </c>
      <c r="I12" s="3240">
        <v>3.75</v>
      </c>
    </row>
    <row r="13" spans="1:9" ht="16.5" customHeight="1">
      <c r="A13" s="4173"/>
      <c r="B13" s="3241" t="s">
        <v>3092</v>
      </c>
      <c r="C13" s="3241">
        <v>142.11000000000001</v>
      </c>
      <c r="D13" s="3241">
        <v>142.11000000000001</v>
      </c>
      <c r="E13" s="3239">
        <v>5</v>
      </c>
      <c r="F13" s="3239">
        <v>5.5</v>
      </c>
      <c r="G13" s="3242">
        <v>0</v>
      </c>
      <c r="H13" s="3239">
        <v>3.5</v>
      </c>
      <c r="I13" s="3240">
        <v>3.75</v>
      </c>
    </row>
    <row r="14" spans="1:9" ht="16.5" customHeight="1">
      <c r="A14" s="4173"/>
      <c r="B14" s="3241" t="s">
        <v>3093</v>
      </c>
      <c r="C14" s="3241">
        <v>92.41</v>
      </c>
      <c r="D14" s="3241">
        <v>92.41</v>
      </c>
      <c r="E14" s="3239">
        <v>5</v>
      </c>
      <c r="F14" s="3239">
        <v>5.5</v>
      </c>
      <c r="G14" s="3242">
        <v>0</v>
      </c>
      <c r="H14" s="3239">
        <v>3.5</v>
      </c>
      <c r="I14" s="3240">
        <v>3.75</v>
      </c>
    </row>
    <row r="15" spans="1:9" ht="17.25" customHeight="1">
      <c r="A15" s="4173"/>
      <c r="B15" s="3438" t="s">
        <v>3094</v>
      </c>
      <c r="C15" s="3438">
        <v>475.58</v>
      </c>
      <c r="D15" s="3438">
        <v>475.58</v>
      </c>
      <c r="E15" s="3439">
        <v>5</v>
      </c>
      <c r="F15" s="3439">
        <v>5.5</v>
      </c>
      <c r="G15" s="3440">
        <v>0</v>
      </c>
      <c r="H15" s="3439">
        <v>3.5</v>
      </c>
      <c r="I15" s="3441">
        <v>3.75</v>
      </c>
    </row>
    <row r="16" spans="1:9" ht="17.25" customHeight="1">
      <c r="A16" s="4173"/>
      <c r="B16" s="3443" t="s">
        <v>3095</v>
      </c>
      <c r="C16" s="3443">
        <v>1245.01</v>
      </c>
      <c r="D16" s="3443">
        <v>1245.01</v>
      </c>
      <c r="E16" s="3444">
        <v>5</v>
      </c>
      <c r="F16" s="3444">
        <v>5.5</v>
      </c>
      <c r="G16" s="3445">
        <v>0</v>
      </c>
      <c r="H16" s="3444">
        <v>3.5</v>
      </c>
      <c r="I16" s="3446">
        <v>3.75</v>
      </c>
    </row>
    <row r="17" spans="1:9" ht="16.5" customHeight="1">
      <c r="A17" s="4174"/>
      <c r="B17" s="3243"/>
      <c r="C17" s="3241">
        <f>SUM(C12:C16)</f>
        <v>6784.24</v>
      </c>
      <c r="D17" s="3241">
        <f>SUM(D12:D16)</f>
        <v>6768.98</v>
      </c>
      <c r="E17" s="3239">
        <v>5</v>
      </c>
      <c r="F17" s="3239">
        <v>5.5</v>
      </c>
      <c r="G17" s="3242">
        <f>SUM(G12:G16)</f>
        <v>15.26</v>
      </c>
      <c r="H17" s="3239">
        <v>3.5</v>
      </c>
      <c r="I17" s="3240">
        <v>3.75</v>
      </c>
    </row>
    <row r="18" spans="1:9" ht="18.75" customHeight="1">
      <c r="A18" s="4172" t="s">
        <v>3096</v>
      </c>
      <c r="B18" s="3241" t="s">
        <v>3085</v>
      </c>
      <c r="C18" s="3241">
        <v>3156.84</v>
      </c>
      <c r="D18" s="3241">
        <v>180.32</v>
      </c>
      <c r="E18" s="3239">
        <v>5</v>
      </c>
      <c r="F18" s="3239">
        <v>5.5</v>
      </c>
      <c r="G18" s="3242">
        <v>2976.52</v>
      </c>
      <c r="H18" s="3239">
        <v>3.5</v>
      </c>
      <c r="I18" s="3240">
        <v>3.75</v>
      </c>
    </row>
    <row r="19" spans="1:9" ht="15.75" customHeight="1">
      <c r="A19" s="4173"/>
      <c r="B19" s="3241" t="s">
        <v>3092</v>
      </c>
      <c r="C19" s="3241">
        <v>909.95</v>
      </c>
      <c r="D19" s="3241">
        <v>0</v>
      </c>
      <c r="E19" s="3239">
        <v>5</v>
      </c>
      <c r="F19" s="3239">
        <v>5.5</v>
      </c>
      <c r="G19" s="3242">
        <v>909.95</v>
      </c>
      <c r="H19" s="3239">
        <v>3.5</v>
      </c>
      <c r="I19" s="3240">
        <v>3.75</v>
      </c>
    </row>
    <row r="20" spans="1:9" ht="17.25" customHeight="1">
      <c r="A20" s="4173"/>
      <c r="B20" s="3241" t="s">
        <v>3093</v>
      </c>
      <c r="C20" s="3241">
        <v>205.48</v>
      </c>
      <c r="D20" s="3241">
        <v>0</v>
      </c>
      <c r="E20" s="3239">
        <v>5</v>
      </c>
      <c r="F20" s="3239">
        <v>5.5</v>
      </c>
      <c r="G20" s="3242">
        <v>205.48</v>
      </c>
      <c r="H20" s="3239">
        <v>3.5</v>
      </c>
      <c r="I20" s="3240">
        <v>3.75</v>
      </c>
    </row>
    <row r="21" spans="1:9" ht="19.5" customHeight="1">
      <c r="A21" s="4173"/>
      <c r="B21" s="3241" t="s">
        <v>3097</v>
      </c>
      <c r="C21" s="3241">
        <v>473.07</v>
      </c>
      <c r="D21" s="3241">
        <v>0</v>
      </c>
      <c r="E21" s="3239">
        <v>5</v>
      </c>
      <c r="F21" s="3239">
        <v>5.5</v>
      </c>
      <c r="G21" s="3242">
        <v>473.07</v>
      </c>
      <c r="H21" s="3239">
        <v>3.5</v>
      </c>
      <c r="I21" s="3240">
        <v>3.75</v>
      </c>
    </row>
    <row r="22" spans="1:9" ht="17.25" customHeight="1">
      <c r="A22" s="4173"/>
      <c r="B22" s="3241" t="s">
        <v>3098</v>
      </c>
      <c r="C22" s="3241">
        <v>341.7</v>
      </c>
      <c r="D22" s="3241">
        <v>0</v>
      </c>
      <c r="E22" s="3239">
        <v>5</v>
      </c>
      <c r="F22" s="3239">
        <v>5.5</v>
      </c>
      <c r="G22" s="3242">
        <v>341.7</v>
      </c>
      <c r="H22" s="3239">
        <v>3.5</v>
      </c>
      <c r="I22" s="3240">
        <v>3.75</v>
      </c>
    </row>
    <row r="23" spans="1:9" ht="18" customHeight="1">
      <c r="A23" s="4174"/>
      <c r="B23" s="3243"/>
      <c r="C23" s="3241">
        <f>SUM(C18:C22)</f>
        <v>5087.0399999999991</v>
      </c>
      <c r="D23" s="3241">
        <f>SUM(D18:D22)</f>
        <v>180.32</v>
      </c>
      <c r="E23" s="3239">
        <v>5</v>
      </c>
      <c r="F23" s="3239">
        <v>5.5</v>
      </c>
      <c r="G23" s="3242">
        <f>SUM(G18:G22)</f>
        <v>4906.72</v>
      </c>
      <c r="H23" s="3239">
        <v>3.5</v>
      </c>
      <c r="I23" s="3240">
        <v>3.75</v>
      </c>
    </row>
    <row r="24" spans="1:9" ht="19.5" customHeight="1">
      <c r="A24" s="3241" t="s">
        <v>3099</v>
      </c>
      <c r="B24" s="3244" t="s">
        <v>3085</v>
      </c>
      <c r="C24" s="3244">
        <v>108.8</v>
      </c>
      <c r="D24" s="3244">
        <v>108.8</v>
      </c>
      <c r="E24" s="3239">
        <v>5</v>
      </c>
      <c r="F24" s="3239">
        <v>5.5</v>
      </c>
      <c r="G24" s="3242">
        <v>0</v>
      </c>
      <c r="H24" s="3239">
        <v>3.5</v>
      </c>
      <c r="I24" s="3240">
        <v>3.75</v>
      </c>
    </row>
    <row r="25" spans="1:9" ht="19.5" customHeight="1">
      <c r="A25" s="3241" t="s">
        <v>3100</v>
      </c>
      <c r="B25" s="3244" t="s">
        <v>3085</v>
      </c>
      <c r="C25" s="3244">
        <v>108.8</v>
      </c>
      <c r="D25" s="3244">
        <v>108.8</v>
      </c>
      <c r="E25" s="3239">
        <v>5</v>
      </c>
      <c r="F25" s="3239">
        <v>5.5</v>
      </c>
      <c r="G25" s="3242">
        <v>0</v>
      </c>
      <c r="H25" s="3239">
        <v>3.5</v>
      </c>
      <c r="I25" s="3240">
        <v>3.75</v>
      </c>
    </row>
    <row r="26" spans="1:9" ht="17.25" customHeight="1">
      <c r="A26" s="3241" t="s">
        <v>3101</v>
      </c>
      <c r="B26" s="3241" t="s">
        <v>3093</v>
      </c>
      <c r="C26" s="3241">
        <v>108.96</v>
      </c>
      <c r="D26" s="3241">
        <v>108.96</v>
      </c>
      <c r="E26" s="3239">
        <v>5</v>
      </c>
      <c r="F26" s="3239">
        <v>5.5</v>
      </c>
      <c r="G26" s="3242">
        <v>0</v>
      </c>
      <c r="H26" s="3239">
        <v>3.5</v>
      </c>
      <c r="I26" s="3240">
        <v>3.75</v>
      </c>
    </row>
    <row r="27" spans="1:9" ht="17.25" customHeight="1">
      <c r="A27" s="4172" t="s">
        <v>3102</v>
      </c>
      <c r="B27" s="3241" t="s">
        <v>3085</v>
      </c>
      <c r="C27" s="3241">
        <v>1756.64</v>
      </c>
      <c r="D27" s="3241">
        <v>1756.64</v>
      </c>
      <c r="E27" s="3239">
        <v>5</v>
      </c>
      <c r="F27" s="3239">
        <v>5.5</v>
      </c>
      <c r="G27" s="3242">
        <v>0</v>
      </c>
      <c r="H27" s="3239">
        <v>3.5</v>
      </c>
      <c r="I27" s="3240">
        <v>3.75</v>
      </c>
    </row>
    <row r="28" spans="1:9" ht="17.25" customHeight="1">
      <c r="A28" s="4173"/>
      <c r="B28" s="3241" t="s">
        <v>3092</v>
      </c>
      <c r="C28" s="3241">
        <v>2027.28</v>
      </c>
      <c r="D28" s="3241">
        <v>2027.28</v>
      </c>
      <c r="E28" s="3239">
        <v>5</v>
      </c>
      <c r="F28" s="3239">
        <v>5.5</v>
      </c>
      <c r="G28" s="3242">
        <v>0</v>
      </c>
      <c r="H28" s="3239">
        <v>3.5</v>
      </c>
      <c r="I28" s="3240">
        <v>3.75</v>
      </c>
    </row>
    <row r="29" spans="1:9" ht="18" customHeight="1">
      <c r="A29" s="4173"/>
      <c r="B29" s="3241" t="s">
        <v>3093</v>
      </c>
      <c r="C29" s="3241">
        <v>291.06</v>
      </c>
      <c r="D29" s="3241">
        <v>291.06</v>
      </c>
      <c r="E29" s="3239">
        <v>5</v>
      </c>
      <c r="F29" s="3239">
        <v>5.5</v>
      </c>
      <c r="G29" s="3242">
        <v>0</v>
      </c>
      <c r="H29" s="3239">
        <v>3.5</v>
      </c>
      <c r="I29" s="3240">
        <v>3.75</v>
      </c>
    </row>
    <row r="30" spans="1:9" ht="17.25" customHeight="1">
      <c r="A30" s="4173"/>
      <c r="B30" s="3241" t="s">
        <v>3097</v>
      </c>
      <c r="C30" s="3241">
        <v>613.38</v>
      </c>
      <c r="D30" s="3241">
        <v>613.38</v>
      </c>
      <c r="E30" s="3239">
        <v>5</v>
      </c>
      <c r="F30" s="3239">
        <v>5.5</v>
      </c>
      <c r="G30" s="3242">
        <v>0</v>
      </c>
      <c r="H30" s="3239">
        <v>3.5</v>
      </c>
      <c r="I30" s="3240">
        <v>3.75</v>
      </c>
    </row>
    <row r="31" spans="1:9" ht="15.75" customHeight="1">
      <c r="A31" s="4174"/>
      <c r="B31" s="3243"/>
      <c r="C31" s="3241">
        <f>SUM(C27:C30)</f>
        <v>4688.3599999999997</v>
      </c>
      <c r="D31" s="3241">
        <f>SUM(D27:D30)</f>
        <v>4688.3599999999997</v>
      </c>
      <c r="E31" s="3239">
        <v>5</v>
      </c>
      <c r="F31" s="3239">
        <v>5.5</v>
      </c>
      <c r="G31" s="3242">
        <f>SUM(G27:G30)</f>
        <v>0</v>
      </c>
      <c r="H31" s="3239">
        <v>3.5</v>
      </c>
      <c r="I31" s="3240">
        <v>3.75</v>
      </c>
    </row>
    <row r="32" spans="1:9" ht="19.5" customHeight="1">
      <c r="A32" s="3241" t="s">
        <v>3103</v>
      </c>
      <c r="B32" s="3241" t="s">
        <v>3104</v>
      </c>
      <c r="C32" s="3241">
        <v>3871.04</v>
      </c>
      <c r="D32" s="3241">
        <v>0</v>
      </c>
      <c r="E32" s="3239">
        <v>5</v>
      </c>
      <c r="F32" s="3239">
        <v>5.5</v>
      </c>
      <c r="G32" s="3242">
        <v>3871.04</v>
      </c>
      <c r="H32" s="3239">
        <v>3.5</v>
      </c>
      <c r="I32" s="3240">
        <v>3.75</v>
      </c>
    </row>
    <row r="33" spans="1:11" ht="17.25" customHeight="1">
      <c r="A33" s="4172" t="s">
        <v>3105</v>
      </c>
      <c r="B33" s="3241" t="s">
        <v>3085</v>
      </c>
      <c r="C33" s="3241">
        <v>1184.23</v>
      </c>
      <c r="D33" s="3241">
        <v>1184.23</v>
      </c>
      <c r="E33" s="3239">
        <v>5</v>
      </c>
      <c r="F33" s="3239">
        <v>5.5</v>
      </c>
      <c r="G33" s="3242">
        <v>0</v>
      </c>
      <c r="H33" s="3239">
        <v>3.5</v>
      </c>
      <c r="I33" s="3240">
        <v>3.75</v>
      </c>
    </row>
    <row r="34" spans="1:11" ht="17.25" customHeight="1">
      <c r="A34" s="4173"/>
      <c r="B34" s="3241" t="s">
        <v>3093</v>
      </c>
      <c r="C34" s="3241">
        <v>1011.66</v>
      </c>
      <c r="D34" s="3241">
        <v>1011.66</v>
      </c>
      <c r="E34" s="3239">
        <v>5</v>
      </c>
      <c r="F34" s="3239">
        <v>5.5</v>
      </c>
      <c r="G34" s="3242">
        <v>0</v>
      </c>
      <c r="H34" s="3239">
        <v>3.5</v>
      </c>
      <c r="I34" s="3240">
        <v>3.75</v>
      </c>
    </row>
    <row r="35" spans="1:11" ht="18.75" customHeight="1">
      <c r="A35" s="4173"/>
      <c r="B35" s="3438" t="s">
        <v>3098</v>
      </c>
      <c r="C35" s="3438">
        <v>258.38</v>
      </c>
      <c r="D35" s="3438">
        <v>258.38</v>
      </c>
      <c r="E35" s="3439">
        <v>5</v>
      </c>
      <c r="F35" s="3439">
        <v>5.5</v>
      </c>
      <c r="G35" s="3440">
        <v>0</v>
      </c>
      <c r="H35" s="3439">
        <v>3.5</v>
      </c>
      <c r="I35" s="3441">
        <v>3.75</v>
      </c>
      <c r="J35" s="3442"/>
      <c r="K35" s="3442"/>
    </row>
    <row r="36" spans="1:11" ht="19.5" customHeight="1">
      <c r="A36" s="4173"/>
      <c r="B36" s="3360" t="s">
        <v>3106</v>
      </c>
      <c r="C36" s="3360">
        <v>501.37</v>
      </c>
      <c r="D36" s="3360">
        <v>501.37</v>
      </c>
      <c r="E36" s="3361">
        <v>5</v>
      </c>
      <c r="F36" s="3361">
        <v>5.5</v>
      </c>
      <c r="G36" s="3362">
        <v>0</v>
      </c>
      <c r="H36" s="3361">
        <v>3.5</v>
      </c>
      <c r="I36" s="3363">
        <v>3.75</v>
      </c>
      <c r="J36" s="3442"/>
      <c r="K36" s="3442"/>
    </row>
    <row r="37" spans="1:11" ht="16.5" customHeight="1">
      <c r="A37" s="4173"/>
      <c r="B37" s="3443" t="s">
        <v>3107</v>
      </c>
      <c r="C37" s="3443">
        <v>970.77</v>
      </c>
      <c r="D37" s="3443">
        <v>970.77</v>
      </c>
      <c r="E37" s="3444">
        <v>5</v>
      </c>
      <c r="F37" s="3444">
        <v>5.5</v>
      </c>
      <c r="G37" s="3445">
        <v>0</v>
      </c>
      <c r="H37" s="3444">
        <v>3.5</v>
      </c>
      <c r="I37" s="3446">
        <v>3.75</v>
      </c>
      <c r="J37" s="3442"/>
      <c r="K37" s="3442"/>
    </row>
    <row r="38" spans="1:11" ht="17.25" customHeight="1">
      <c r="A38" s="4174"/>
      <c r="B38" s="3447"/>
      <c r="C38" s="3438">
        <f>SUM(C33:C37)</f>
        <v>3926.41</v>
      </c>
      <c r="D38" s="3438">
        <f>SUM(D33:D37)</f>
        <v>3926.41</v>
      </c>
      <c r="E38" s="3439">
        <v>5</v>
      </c>
      <c r="F38" s="3439">
        <v>5.5</v>
      </c>
      <c r="G38" s="3440">
        <f>SUM(G33:G37)</f>
        <v>0</v>
      </c>
      <c r="H38" s="3439">
        <v>3.5</v>
      </c>
      <c r="I38" s="3441">
        <v>3.75</v>
      </c>
      <c r="J38" s="3442"/>
      <c r="K38" s="3442"/>
    </row>
    <row r="39" spans="1:11" ht="18.75" customHeight="1">
      <c r="A39" s="3241" t="s">
        <v>3108</v>
      </c>
      <c r="B39" s="3241" t="s">
        <v>3085</v>
      </c>
      <c r="C39" s="3241">
        <v>2613.25</v>
      </c>
      <c r="D39" s="3241">
        <v>2101.39</v>
      </c>
      <c r="E39" s="3239">
        <v>5</v>
      </c>
      <c r="F39" s="3239">
        <v>5.5</v>
      </c>
      <c r="G39" s="3242">
        <v>511.86</v>
      </c>
      <c r="H39" s="3239">
        <v>3.5</v>
      </c>
      <c r="I39" s="3240">
        <v>3.75</v>
      </c>
    </row>
    <row r="40" spans="1:11" ht="18" customHeight="1">
      <c r="A40" s="3241" t="s">
        <v>3109</v>
      </c>
      <c r="B40" s="3241" t="s">
        <v>3085</v>
      </c>
      <c r="C40" s="3241">
        <v>1200</v>
      </c>
      <c r="D40" s="3241">
        <v>0</v>
      </c>
      <c r="E40" s="3239">
        <v>5</v>
      </c>
      <c r="F40" s="3239">
        <v>5.5</v>
      </c>
      <c r="G40" s="3242">
        <v>1200</v>
      </c>
      <c r="H40" s="3239">
        <v>3.5</v>
      </c>
      <c r="I40" s="3240">
        <v>3.75</v>
      </c>
    </row>
    <row r="41" spans="1:11" ht="13.5" customHeight="1">
      <c r="A41" s="3241" t="s">
        <v>3110</v>
      </c>
      <c r="B41" s="3241" t="s">
        <v>3085</v>
      </c>
      <c r="C41" s="3241">
        <v>800</v>
      </c>
      <c r="D41" s="3241">
        <v>0</v>
      </c>
      <c r="E41" s="3239">
        <v>5</v>
      </c>
      <c r="F41" s="3239">
        <v>5.5</v>
      </c>
      <c r="G41" s="3242">
        <v>800</v>
      </c>
      <c r="H41" s="3239">
        <v>3.5</v>
      </c>
      <c r="I41" s="3240">
        <v>3.75</v>
      </c>
    </row>
    <row r="42" spans="1:11" ht="16.5" customHeight="1">
      <c r="A42" s="3241" t="s">
        <v>977</v>
      </c>
      <c r="B42" s="3241"/>
      <c r="C42" s="3244">
        <f>C11+C17+C23+C24+C25+C26+C31+C32+C38+C39+C40+C41</f>
        <v>32362.159999999996</v>
      </c>
      <c r="D42" s="3244">
        <f>D11+D17+D23+D24+D25+D26+D31+D32+D38+D39+D40+D41</f>
        <v>21057.279999999995</v>
      </c>
      <c r="E42" s="3239">
        <v>5</v>
      </c>
      <c r="F42" s="3239">
        <v>5.5</v>
      </c>
      <c r="G42" s="3242">
        <f>G11+G17+G23+G24+G25+G26+G31+G32+G38+G39+G40+G41</f>
        <v>11304.880000000001</v>
      </c>
      <c r="H42" s="3239">
        <v>3.5</v>
      </c>
      <c r="I42" s="3240">
        <v>3.75</v>
      </c>
    </row>
    <row r="43" spans="1:11" ht="15.75" customHeight="1">
      <c r="A43" s="3245"/>
      <c r="B43" s="3245"/>
      <c r="C43" s="3241">
        <f>C10+C42</f>
        <v>47698.819999999992</v>
      </c>
      <c r="D43" s="3241">
        <f>D10+D42</f>
        <v>36343.459999999992</v>
      </c>
      <c r="E43" s="3239">
        <v>5</v>
      </c>
      <c r="F43" s="3239">
        <v>5.5</v>
      </c>
      <c r="G43" s="3242">
        <f>G10+G42</f>
        <v>11355.36</v>
      </c>
      <c r="H43" s="3239">
        <v>3.5</v>
      </c>
      <c r="I43" s="3240">
        <v>3.75</v>
      </c>
    </row>
    <row r="44" spans="1:11" ht="17.25" customHeight="1">
      <c r="A44" s="4175" t="s">
        <v>3111</v>
      </c>
      <c r="B44" s="4176"/>
      <c r="C44" s="4176"/>
      <c r="D44" s="4176"/>
      <c r="E44" s="4176"/>
      <c r="F44" s="4176"/>
      <c r="G44" s="4176"/>
      <c r="H44" s="4176"/>
      <c r="I44" s="4176"/>
    </row>
  </sheetData>
  <mergeCells count="13">
    <mergeCell ref="A1:I1"/>
    <mergeCell ref="A2:A4"/>
    <mergeCell ref="B2:B4"/>
    <mergeCell ref="C2:C4"/>
    <mergeCell ref="D2:F2"/>
    <mergeCell ref="G2:I2"/>
    <mergeCell ref="D3:D4"/>
    <mergeCell ref="G3:G4"/>
    <mergeCell ref="A12:A17"/>
    <mergeCell ref="A18:A23"/>
    <mergeCell ref="A27:A31"/>
    <mergeCell ref="A33:A38"/>
    <mergeCell ref="A44:I44"/>
  </mergeCells>
  <phoneticPr fontId="148" type="noConversion"/>
  <pageMargins left="0" right="0" top="0" bottom="0" header="0.51181102362204722" footer="0.51181102362204722"/>
  <pageSetup paperSize="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825D-08C6-48DC-B86F-F78AB8363798}">
  <sheetPr codeName="Sheet34"/>
  <dimension ref="A1:ID81"/>
  <sheetViews>
    <sheetView topLeftCell="A31" workbookViewId="0">
      <selection activeCell="I47" sqref="I47"/>
    </sheetView>
  </sheetViews>
  <sheetFormatPr defaultColWidth="9" defaultRowHeight="14.25"/>
  <cols>
    <col min="1" max="1" width="3.125" style="3313" customWidth="1"/>
    <col min="2" max="2" width="24.25" style="3252" customWidth="1"/>
    <col min="3" max="3" width="15.625" style="3252" customWidth="1"/>
    <col min="4" max="4" width="15.25" style="3272" customWidth="1"/>
    <col min="5" max="5" width="7.625" style="3272" customWidth="1"/>
    <col min="6" max="6" width="7.5" style="3330" customWidth="1"/>
    <col min="7" max="7" width="3.375" style="3314" customWidth="1"/>
    <col min="8" max="8" width="8.25" style="3314" customWidth="1"/>
    <col min="9" max="9" width="5.625" style="3337" customWidth="1"/>
    <col min="10" max="10" width="5.625" style="3315" customWidth="1"/>
    <col min="11" max="11" width="15.25" style="3272" customWidth="1"/>
    <col min="12" max="12" width="10.375" style="3272" customWidth="1"/>
    <col min="13" max="13" width="10" style="3272" customWidth="1"/>
    <col min="14" max="14" width="12.875" style="3272" customWidth="1"/>
    <col min="15" max="237" width="9" style="3272" customWidth="1"/>
    <col min="238" max="256" width="9" style="3235"/>
    <col min="257" max="257" width="3.125" style="3235" customWidth="1"/>
    <col min="258" max="258" width="24.25" style="3235" customWidth="1"/>
    <col min="259" max="259" width="15.625" style="3235" customWidth="1"/>
    <col min="260" max="260" width="15.25" style="3235" customWidth="1"/>
    <col min="261" max="261" width="7.625" style="3235" customWidth="1"/>
    <col min="262" max="262" width="7.5" style="3235" customWidth="1"/>
    <col min="263" max="263" width="3.375" style="3235" customWidth="1"/>
    <col min="264" max="264" width="8.25" style="3235" customWidth="1"/>
    <col min="265" max="266" width="5.625" style="3235" customWidth="1"/>
    <col min="267" max="267" width="15.25" style="3235" customWidth="1"/>
    <col min="268" max="268" width="10.375" style="3235" customWidth="1"/>
    <col min="269" max="269" width="10" style="3235" customWidth="1"/>
    <col min="270" max="270" width="12.875" style="3235" customWidth="1"/>
    <col min="271" max="512" width="9" style="3235"/>
    <col min="513" max="513" width="3.125" style="3235" customWidth="1"/>
    <col min="514" max="514" width="24.25" style="3235" customWidth="1"/>
    <col min="515" max="515" width="15.625" style="3235" customWidth="1"/>
    <col min="516" max="516" width="15.25" style="3235" customWidth="1"/>
    <col min="517" max="517" width="7.625" style="3235" customWidth="1"/>
    <col min="518" max="518" width="7.5" style="3235" customWidth="1"/>
    <col min="519" max="519" width="3.375" style="3235" customWidth="1"/>
    <col min="520" max="520" width="8.25" style="3235" customWidth="1"/>
    <col min="521" max="522" width="5.625" style="3235" customWidth="1"/>
    <col min="523" max="523" width="15.25" style="3235" customWidth="1"/>
    <col min="524" max="524" width="10.375" style="3235" customWidth="1"/>
    <col min="525" max="525" width="10" style="3235" customWidth="1"/>
    <col min="526" max="526" width="12.875" style="3235" customWidth="1"/>
    <col min="527" max="768" width="9" style="3235"/>
    <col min="769" max="769" width="3.125" style="3235" customWidth="1"/>
    <col min="770" max="770" width="24.25" style="3235" customWidth="1"/>
    <col min="771" max="771" width="15.625" style="3235" customWidth="1"/>
    <col min="772" max="772" width="15.25" style="3235" customWidth="1"/>
    <col min="773" max="773" width="7.625" style="3235" customWidth="1"/>
    <col min="774" max="774" width="7.5" style="3235" customWidth="1"/>
    <col min="775" max="775" width="3.375" style="3235" customWidth="1"/>
    <col min="776" max="776" width="8.25" style="3235" customWidth="1"/>
    <col min="777" max="778" width="5.625" style="3235" customWidth="1"/>
    <col min="779" max="779" width="15.25" style="3235" customWidth="1"/>
    <col min="780" max="780" width="10.375" style="3235" customWidth="1"/>
    <col min="781" max="781" width="10" style="3235" customWidth="1"/>
    <col min="782" max="782" width="12.875" style="3235" customWidth="1"/>
    <col min="783" max="1024" width="9" style="3235"/>
    <col min="1025" max="1025" width="3.125" style="3235" customWidth="1"/>
    <col min="1026" max="1026" width="24.25" style="3235" customWidth="1"/>
    <col min="1027" max="1027" width="15.625" style="3235" customWidth="1"/>
    <col min="1028" max="1028" width="15.25" style="3235" customWidth="1"/>
    <col min="1029" max="1029" width="7.625" style="3235" customWidth="1"/>
    <col min="1030" max="1030" width="7.5" style="3235" customWidth="1"/>
    <col min="1031" max="1031" width="3.375" style="3235" customWidth="1"/>
    <col min="1032" max="1032" width="8.25" style="3235" customWidth="1"/>
    <col min="1033" max="1034" width="5.625" style="3235" customWidth="1"/>
    <col min="1035" max="1035" width="15.25" style="3235" customWidth="1"/>
    <col min="1036" max="1036" width="10.375" style="3235" customWidth="1"/>
    <col min="1037" max="1037" width="10" style="3235" customWidth="1"/>
    <col min="1038" max="1038" width="12.875" style="3235" customWidth="1"/>
    <col min="1039" max="1280" width="9" style="3235"/>
    <col min="1281" max="1281" width="3.125" style="3235" customWidth="1"/>
    <col min="1282" max="1282" width="24.25" style="3235" customWidth="1"/>
    <col min="1283" max="1283" width="15.625" style="3235" customWidth="1"/>
    <col min="1284" max="1284" width="15.25" style="3235" customWidth="1"/>
    <col min="1285" max="1285" width="7.625" style="3235" customWidth="1"/>
    <col min="1286" max="1286" width="7.5" style="3235" customWidth="1"/>
    <col min="1287" max="1287" width="3.375" style="3235" customWidth="1"/>
    <col min="1288" max="1288" width="8.25" style="3235" customWidth="1"/>
    <col min="1289" max="1290" width="5.625" style="3235" customWidth="1"/>
    <col min="1291" max="1291" width="15.25" style="3235" customWidth="1"/>
    <col min="1292" max="1292" width="10.375" style="3235" customWidth="1"/>
    <col min="1293" max="1293" width="10" style="3235" customWidth="1"/>
    <col min="1294" max="1294" width="12.875" style="3235" customWidth="1"/>
    <col min="1295" max="1536" width="9" style="3235"/>
    <col min="1537" max="1537" width="3.125" style="3235" customWidth="1"/>
    <col min="1538" max="1538" width="24.25" style="3235" customWidth="1"/>
    <col min="1539" max="1539" width="15.625" style="3235" customWidth="1"/>
    <col min="1540" max="1540" width="15.25" style="3235" customWidth="1"/>
    <col min="1541" max="1541" width="7.625" style="3235" customWidth="1"/>
    <col min="1542" max="1542" width="7.5" style="3235" customWidth="1"/>
    <col min="1543" max="1543" width="3.375" style="3235" customWidth="1"/>
    <col min="1544" max="1544" width="8.25" style="3235" customWidth="1"/>
    <col min="1545" max="1546" width="5.625" style="3235" customWidth="1"/>
    <col min="1547" max="1547" width="15.25" style="3235" customWidth="1"/>
    <col min="1548" max="1548" width="10.375" style="3235" customWidth="1"/>
    <col min="1549" max="1549" width="10" style="3235" customWidth="1"/>
    <col min="1550" max="1550" width="12.875" style="3235" customWidth="1"/>
    <col min="1551" max="1792" width="9" style="3235"/>
    <col min="1793" max="1793" width="3.125" style="3235" customWidth="1"/>
    <col min="1794" max="1794" width="24.25" style="3235" customWidth="1"/>
    <col min="1795" max="1795" width="15.625" style="3235" customWidth="1"/>
    <col min="1796" max="1796" width="15.25" style="3235" customWidth="1"/>
    <col min="1797" max="1797" width="7.625" style="3235" customWidth="1"/>
    <col min="1798" max="1798" width="7.5" style="3235" customWidth="1"/>
    <col min="1799" max="1799" width="3.375" style="3235" customWidth="1"/>
    <col min="1800" max="1800" width="8.25" style="3235" customWidth="1"/>
    <col min="1801" max="1802" width="5.625" style="3235" customWidth="1"/>
    <col min="1803" max="1803" width="15.25" style="3235" customWidth="1"/>
    <col min="1804" max="1804" width="10.375" style="3235" customWidth="1"/>
    <col min="1805" max="1805" width="10" style="3235" customWidth="1"/>
    <col min="1806" max="1806" width="12.875" style="3235" customWidth="1"/>
    <col min="1807" max="2048" width="9" style="3235"/>
    <col min="2049" max="2049" width="3.125" style="3235" customWidth="1"/>
    <col min="2050" max="2050" width="24.25" style="3235" customWidth="1"/>
    <col min="2051" max="2051" width="15.625" style="3235" customWidth="1"/>
    <col min="2052" max="2052" width="15.25" style="3235" customWidth="1"/>
    <col min="2053" max="2053" width="7.625" style="3235" customWidth="1"/>
    <col min="2054" max="2054" width="7.5" style="3235" customWidth="1"/>
    <col min="2055" max="2055" width="3.375" style="3235" customWidth="1"/>
    <col min="2056" max="2056" width="8.25" style="3235" customWidth="1"/>
    <col min="2057" max="2058" width="5.625" style="3235" customWidth="1"/>
    <col min="2059" max="2059" width="15.25" style="3235" customWidth="1"/>
    <col min="2060" max="2060" width="10.375" style="3235" customWidth="1"/>
    <col min="2061" max="2061" width="10" style="3235" customWidth="1"/>
    <col min="2062" max="2062" width="12.875" style="3235" customWidth="1"/>
    <col min="2063" max="2304" width="9" style="3235"/>
    <col min="2305" max="2305" width="3.125" style="3235" customWidth="1"/>
    <col min="2306" max="2306" width="24.25" style="3235" customWidth="1"/>
    <col min="2307" max="2307" width="15.625" style="3235" customWidth="1"/>
    <col min="2308" max="2308" width="15.25" style="3235" customWidth="1"/>
    <col min="2309" max="2309" width="7.625" style="3235" customWidth="1"/>
    <col min="2310" max="2310" width="7.5" style="3235" customWidth="1"/>
    <col min="2311" max="2311" width="3.375" style="3235" customWidth="1"/>
    <col min="2312" max="2312" width="8.25" style="3235" customWidth="1"/>
    <col min="2313" max="2314" width="5.625" style="3235" customWidth="1"/>
    <col min="2315" max="2315" width="15.25" style="3235" customWidth="1"/>
    <col min="2316" max="2316" width="10.375" style="3235" customWidth="1"/>
    <col min="2317" max="2317" width="10" style="3235" customWidth="1"/>
    <col min="2318" max="2318" width="12.875" style="3235" customWidth="1"/>
    <col min="2319" max="2560" width="9" style="3235"/>
    <col min="2561" max="2561" width="3.125" style="3235" customWidth="1"/>
    <col min="2562" max="2562" width="24.25" style="3235" customWidth="1"/>
    <col min="2563" max="2563" width="15.625" style="3235" customWidth="1"/>
    <col min="2564" max="2564" width="15.25" style="3235" customWidth="1"/>
    <col min="2565" max="2565" width="7.625" style="3235" customWidth="1"/>
    <col min="2566" max="2566" width="7.5" style="3235" customWidth="1"/>
    <col min="2567" max="2567" width="3.375" style="3235" customWidth="1"/>
    <col min="2568" max="2568" width="8.25" style="3235" customWidth="1"/>
    <col min="2569" max="2570" width="5.625" style="3235" customWidth="1"/>
    <col min="2571" max="2571" width="15.25" style="3235" customWidth="1"/>
    <col min="2572" max="2572" width="10.375" style="3235" customWidth="1"/>
    <col min="2573" max="2573" width="10" style="3235" customWidth="1"/>
    <col min="2574" max="2574" width="12.875" style="3235" customWidth="1"/>
    <col min="2575" max="2816" width="9" style="3235"/>
    <col min="2817" max="2817" width="3.125" style="3235" customWidth="1"/>
    <col min="2818" max="2818" width="24.25" style="3235" customWidth="1"/>
    <col min="2819" max="2819" width="15.625" style="3235" customWidth="1"/>
    <col min="2820" max="2820" width="15.25" style="3235" customWidth="1"/>
    <col min="2821" max="2821" width="7.625" style="3235" customWidth="1"/>
    <col min="2822" max="2822" width="7.5" style="3235" customWidth="1"/>
    <col min="2823" max="2823" width="3.375" style="3235" customWidth="1"/>
    <col min="2824" max="2824" width="8.25" style="3235" customWidth="1"/>
    <col min="2825" max="2826" width="5.625" style="3235" customWidth="1"/>
    <col min="2827" max="2827" width="15.25" style="3235" customWidth="1"/>
    <col min="2828" max="2828" width="10.375" style="3235" customWidth="1"/>
    <col min="2829" max="2829" width="10" style="3235" customWidth="1"/>
    <col min="2830" max="2830" width="12.875" style="3235" customWidth="1"/>
    <col min="2831" max="3072" width="9" style="3235"/>
    <col min="3073" max="3073" width="3.125" style="3235" customWidth="1"/>
    <col min="3074" max="3074" width="24.25" style="3235" customWidth="1"/>
    <col min="3075" max="3075" width="15.625" style="3235" customWidth="1"/>
    <col min="3076" max="3076" width="15.25" style="3235" customWidth="1"/>
    <col min="3077" max="3077" width="7.625" style="3235" customWidth="1"/>
    <col min="3078" max="3078" width="7.5" style="3235" customWidth="1"/>
    <col min="3079" max="3079" width="3.375" style="3235" customWidth="1"/>
    <col min="3080" max="3080" width="8.25" style="3235" customWidth="1"/>
    <col min="3081" max="3082" width="5.625" style="3235" customWidth="1"/>
    <col min="3083" max="3083" width="15.25" style="3235" customWidth="1"/>
    <col min="3084" max="3084" width="10.375" style="3235" customWidth="1"/>
    <col min="3085" max="3085" width="10" style="3235" customWidth="1"/>
    <col min="3086" max="3086" width="12.875" style="3235" customWidth="1"/>
    <col min="3087" max="3328" width="9" style="3235"/>
    <col min="3329" max="3329" width="3.125" style="3235" customWidth="1"/>
    <col min="3330" max="3330" width="24.25" style="3235" customWidth="1"/>
    <col min="3331" max="3331" width="15.625" style="3235" customWidth="1"/>
    <col min="3332" max="3332" width="15.25" style="3235" customWidth="1"/>
    <col min="3333" max="3333" width="7.625" style="3235" customWidth="1"/>
    <col min="3334" max="3334" width="7.5" style="3235" customWidth="1"/>
    <col min="3335" max="3335" width="3.375" style="3235" customWidth="1"/>
    <col min="3336" max="3336" width="8.25" style="3235" customWidth="1"/>
    <col min="3337" max="3338" width="5.625" style="3235" customWidth="1"/>
    <col min="3339" max="3339" width="15.25" style="3235" customWidth="1"/>
    <col min="3340" max="3340" width="10.375" style="3235" customWidth="1"/>
    <col min="3341" max="3341" width="10" style="3235" customWidth="1"/>
    <col min="3342" max="3342" width="12.875" style="3235" customWidth="1"/>
    <col min="3343" max="3584" width="9" style="3235"/>
    <col min="3585" max="3585" width="3.125" style="3235" customWidth="1"/>
    <col min="3586" max="3586" width="24.25" style="3235" customWidth="1"/>
    <col min="3587" max="3587" width="15.625" style="3235" customWidth="1"/>
    <col min="3588" max="3588" width="15.25" style="3235" customWidth="1"/>
    <col min="3589" max="3589" width="7.625" style="3235" customWidth="1"/>
    <col min="3590" max="3590" width="7.5" style="3235" customWidth="1"/>
    <col min="3591" max="3591" width="3.375" style="3235" customWidth="1"/>
    <col min="3592" max="3592" width="8.25" style="3235" customWidth="1"/>
    <col min="3593" max="3594" width="5.625" style="3235" customWidth="1"/>
    <col min="3595" max="3595" width="15.25" style="3235" customWidth="1"/>
    <col min="3596" max="3596" width="10.375" style="3235" customWidth="1"/>
    <col min="3597" max="3597" width="10" style="3235" customWidth="1"/>
    <col min="3598" max="3598" width="12.875" style="3235" customWidth="1"/>
    <col min="3599" max="3840" width="9" style="3235"/>
    <col min="3841" max="3841" width="3.125" style="3235" customWidth="1"/>
    <col min="3842" max="3842" width="24.25" style="3235" customWidth="1"/>
    <col min="3843" max="3843" width="15.625" style="3235" customWidth="1"/>
    <col min="3844" max="3844" width="15.25" style="3235" customWidth="1"/>
    <col min="3845" max="3845" width="7.625" style="3235" customWidth="1"/>
    <col min="3846" max="3846" width="7.5" style="3235" customWidth="1"/>
    <col min="3847" max="3847" width="3.375" style="3235" customWidth="1"/>
    <col min="3848" max="3848" width="8.25" style="3235" customWidth="1"/>
    <col min="3849" max="3850" width="5.625" style="3235" customWidth="1"/>
    <col min="3851" max="3851" width="15.25" style="3235" customWidth="1"/>
    <col min="3852" max="3852" width="10.375" style="3235" customWidth="1"/>
    <col min="3853" max="3853" width="10" style="3235" customWidth="1"/>
    <col min="3854" max="3854" width="12.875" style="3235" customWidth="1"/>
    <col min="3855" max="4096" width="9" style="3235"/>
    <col min="4097" max="4097" width="3.125" style="3235" customWidth="1"/>
    <col min="4098" max="4098" width="24.25" style="3235" customWidth="1"/>
    <col min="4099" max="4099" width="15.625" style="3235" customWidth="1"/>
    <col min="4100" max="4100" width="15.25" style="3235" customWidth="1"/>
    <col min="4101" max="4101" width="7.625" style="3235" customWidth="1"/>
    <col min="4102" max="4102" width="7.5" style="3235" customWidth="1"/>
    <col min="4103" max="4103" width="3.375" style="3235" customWidth="1"/>
    <col min="4104" max="4104" width="8.25" style="3235" customWidth="1"/>
    <col min="4105" max="4106" width="5.625" style="3235" customWidth="1"/>
    <col min="4107" max="4107" width="15.25" style="3235" customWidth="1"/>
    <col min="4108" max="4108" width="10.375" style="3235" customWidth="1"/>
    <col min="4109" max="4109" width="10" style="3235" customWidth="1"/>
    <col min="4110" max="4110" width="12.875" style="3235" customWidth="1"/>
    <col min="4111" max="4352" width="9" style="3235"/>
    <col min="4353" max="4353" width="3.125" style="3235" customWidth="1"/>
    <col min="4354" max="4354" width="24.25" style="3235" customWidth="1"/>
    <col min="4355" max="4355" width="15.625" style="3235" customWidth="1"/>
    <col min="4356" max="4356" width="15.25" style="3235" customWidth="1"/>
    <col min="4357" max="4357" width="7.625" style="3235" customWidth="1"/>
    <col min="4358" max="4358" width="7.5" style="3235" customWidth="1"/>
    <col min="4359" max="4359" width="3.375" style="3235" customWidth="1"/>
    <col min="4360" max="4360" width="8.25" style="3235" customWidth="1"/>
    <col min="4361" max="4362" width="5.625" style="3235" customWidth="1"/>
    <col min="4363" max="4363" width="15.25" style="3235" customWidth="1"/>
    <col min="4364" max="4364" width="10.375" style="3235" customWidth="1"/>
    <col min="4365" max="4365" width="10" style="3235" customWidth="1"/>
    <col min="4366" max="4366" width="12.875" style="3235" customWidth="1"/>
    <col min="4367" max="4608" width="9" style="3235"/>
    <col min="4609" max="4609" width="3.125" style="3235" customWidth="1"/>
    <col min="4610" max="4610" width="24.25" style="3235" customWidth="1"/>
    <col min="4611" max="4611" width="15.625" style="3235" customWidth="1"/>
    <col min="4612" max="4612" width="15.25" style="3235" customWidth="1"/>
    <col min="4613" max="4613" width="7.625" style="3235" customWidth="1"/>
    <col min="4614" max="4614" width="7.5" style="3235" customWidth="1"/>
    <col min="4615" max="4615" width="3.375" style="3235" customWidth="1"/>
    <col min="4616" max="4616" width="8.25" style="3235" customWidth="1"/>
    <col min="4617" max="4618" width="5.625" style="3235" customWidth="1"/>
    <col min="4619" max="4619" width="15.25" style="3235" customWidth="1"/>
    <col min="4620" max="4620" width="10.375" style="3235" customWidth="1"/>
    <col min="4621" max="4621" width="10" style="3235" customWidth="1"/>
    <col min="4622" max="4622" width="12.875" style="3235" customWidth="1"/>
    <col min="4623" max="4864" width="9" style="3235"/>
    <col min="4865" max="4865" width="3.125" style="3235" customWidth="1"/>
    <col min="4866" max="4866" width="24.25" style="3235" customWidth="1"/>
    <col min="4867" max="4867" width="15.625" style="3235" customWidth="1"/>
    <col min="4868" max="4868" width="15.25" style="3235" customWidth="1"/>
    <col min="4869" max="4869" width="7.625" style="3235" customWidth="1"/>
    <col min="4870" max="4870" width="7.5" style="3235" customWidth="1"/>
    <col min="4871" max="4871" width="3.375" style="3235" customWidth="1"/>
    <col min="4872" max="4872" width="8.25" style="3235" customWidth="1"/>
    <col min="4873" max="4874" width="5.625" style="3235" customWidth="1"/>
    <col min="4875" max="4875" width="15.25" style="3235" customWidth="1"/>
    <col min="4876" max="4876" width="10.375" style="3235" customWidth="1"/>
    <col min="4877" max="4877" width="10" style="3235" customWidth="1"/>
    <col min="4878" max="4878" width="12.875" style="3235" customWidth="1"/>
    <col min="4879" max="5120" width="9" style="3235"/>
    <col min="5121" max="5121" width="3.125" style="3235" customWidth="1"/>
    <col min="5122" max="5122" width="24.25" style="3235" customWidth="1"/>
    <col min="5123" max="5123" width="15.625" style="3235" customWidth="1"/>
    <col min="5124" max="5124" width="15.25" style="3235" customWidth="1"/>
    <col min="5125" max="5125" width="7.625" style="3235" customWidth="1"/>
    <col min="5126" max="5126" width="7.5" style="3235" customWidth="1"/>
    <col min="5127" max="5127" width="3.375" style="3235" customWidth="1"/>
    <col min="5128" max="5128" width="8.25" style="3235" customWidth="1"/>
    <col min="5129" max="5130" width="5.625" style="3235" customWidth="1"/>
    <col min="5131" max="5131" width="15.25" style="3235" customWidth="1"/>
    <col min="5132" max="5132" width="10.375" style="3235" customWidth="1"/>
    <col min="5133" max="5133" width="10" style="3235" customWidth="1"/>
    <col min="5134" max="5134" width="12.875" style="3235" customWidth="1"/>
    <col min="5135" max="5376" width="9" style="3235"/>
    <col min="5377" max="5377" width="3.125" style="3235" customWidth="1"/>
    <col min="5378" max="5378" width="24.25" style="3235" customWidth="1"/>
    <col min="5379" max="5379" width="15.625" style="3235" customWidth="1"/>
    <col min="5380" max="5380" width="15.25" style="3235" customWidth="1"/>
    <col min="5381" max="5381" width="7.625" style="3235" customWidth="1"/>
    <col min="5382" max="5382" width="7.5" style="3235" customWidth="1"/>
    <col min="5383" max="5383" width="3.375" style="3235" customWidth="1"/>
    <col min="5384" max="5384" width="8.25" style="3235" customWidth="1"/>
    <col min="5385" max="5386" width="5.625" style="3235" customWidth="1"/>
    <col min="5387" max="5387" width="15.25" style="3235" customWidth="1"/>
    <col min="5388" max="5388" width="10.375" style="3235" customWidth="1"/>
    <col min="5389" max="5389" width="10" style="3235" customWidth="1"/>
    <col min="5390" max="5390" width="12.875" style="3235" customWidth="1"/>
    <col min="5391" max="5632" width="9" style="3235"/>
    <col min="5633" max="5633" width="3.125" style="3235" customWidth="1"/>
    <col min="5634" max="5634" width="24.25" style="3235" customWidth="1"/>
    <col min="5635" max="5635" width="15.625" style="3235" customWidth="1"/>
    <col min="5636" max="5636" width="15.25" style="3235" customWidth="1"/>
    <col min="5637" max="5637" width="7.625" style="3235" customWidth="1"/>
    <col min="5638" max="5638" width="7.5" style="3235" customWidth="1"/>
    <col min="5639" max="5639" width="3.375" style="3235" customWidth="1"/>
    <col min="5640" max="5640" width="8.25" style="3235" customWidth="1"/>
    <col min="5641" max="5642" width="5.625" style="3235" customWidth="1"/>
    <col min="5643" max="5643" width="15.25" style="3235" customWidth="1"/>
    <col min="5644" max="5644" width="10.375" style="3235" customWidth="1"/>
    <col min="5645" max="5645" width="10" style="3235" customWidth="1"/>
    <col min="5646" max="5646" width="12.875" style="3235" customWidth="1"/>
    <col min="5647" max="5888" width="9" style="3235"/>
    <col min="5889" max="5889" width="3.125" style="3235" customWidth="1"/>
    <col min="5890" max="5890" width="24.25" style="3235" customWidth="1"/>
    <col min="5891" max="5891" width="15.625" style="3235" customWidth="1"/>
    <col min="5892" max="5892" width="15.25" style="3235" customWidth="1"/>
    <col min="5893" max="5893" width="7.625" style="3235" customWidth="1"/>
    <col min="5894" max="5894" width="7.5" style="3235" customWidth="1"/>
    <col min="5895" max="5895" width="3.375" style="3235" customWidth="1"/>
    <col min="5896" max="5896" width="8.25" style="3235" customWidth="1"/>
    <col min="5897" max="5898" width="5.625" style="3235" customWidth="1"/>
    <col min="5899" max="5899" width="15.25" style="3235" customWidth="1"/>
    <col min="5900" max="5900" width="10.375" style="3235" customWidth="1"/>
    <col min="5901" max="5901" width="10" style="3235" customWidth="1"/>
    <col min="5902" max="5902" width="12.875" style="3235" customWidth="1"/>
    <col min="5903" max="6144" width="9" style="3235"/>
    <col min="6145" max="6145" width="3.125" style="3235" customWidth="1"/>
    <col min="6146" max="6146" width="24.25" style="3235" customWidth="1"/>
    <col min="6147" max="6147" width="15.625" style="3235" customWidth="1"/>
    <col min="6148" max="6148" width="15.25" style="3235" customWidth="1"/>
    <col min="6149" max="6149" width="7.625" style="3235" customWidth="1"/>
    <col min="6150" max="6150" width="7.5" style="3235" customWidth="1"/>
    <col min="6151" max="6151" width="3.375" style="3235" customWidth="1"/>
    <col min="6152" max="6152" width="8.25" style="3235" customWidth="1"/>
    <col min="6153" max="6154" width="5.625" style="3235" customWidth="1"/>
    <col min="6155" max="6155" width="15.25" style="3235" customWidth="1"/>
    <col min="6156" max="6156" width="10.375" style="3235" customWidth="1"/>
    <col min="6157" max="6157" width="10" style="3235" customWidth="1"/>
    <col min="6158" max="6158" width="12.875" style="3235" customWidth="1"/>
    <col min="6159" max="6400" width="9" style="3235"/>
    <col min="6401" max="6401" width="3.125" style="3235" customWidth="1"/>
    <col min="6402" max="6402" width="24.25" style="3235" customWidth="1"/>
    <col min="6403" max="6403" width="15.625" style="3235" customWidth="1"/>
    <col min="6404" max="6404" width="15.25" style="3235" customWidth="1"/>
    <col min="6405" max="6405" width="7.625" style="3235" customWidth="1"/>
    <col min="6406" max="6406" width="7.5" style="3235" customWidth="1"/>
    <col min="6407" max="6407" width="3.375" style="3235" customWidth="1"/>
    <col min="6408" max="6408" width="8.25" style="3235" customWidth="1"/>
    <col min="6409" max="6410" width="5.625" style="3235" customWidth="1"/>
    <col min="6411" max="6411" width="15.25" style="3235" customWidth="1"/>
    <col min="6412" max="6412" width="10.375" style="3235" customWidth="1"/>
    <col min="6413" max="6413" width="10" style="3235" customWidth="1"/>
    <col min="6414" max="6414" width="12.875" style="3235" customWidth="1"/>
    <col min="6415" max="6656" width="9" style="3235"/>
    <col min="6657" max="6657" width="3.125" style="3235" customWidth="1"/>
    <col min="6658" max="6658" width="24.25" style="3235" customWidth="1"/>
    <col min="6659" max="6659" width="15.625" style="3235" customWidth="1"/>
    <col min="6660" max="6660" width="15.25" style="3235" customWidth="1"/>
    <col min="6661" max="6661" width="7.625" style="3235" customWidth="1"/>
    <col min="6662" max="6662" width="7.5" style="3235" customWidth="1"/>
    <col min="6663" max="6663" width="3.375" style="3235" customWidth="1"/>
    <col min="6664" max="6664" width="8.25" style="3235" customWidth="1"/>
    <col min="6665" max="6666" width="5.625" style="3235" customWidth="1"/>
    <col min="6667" max="6667" width="15.25" style="3235" customWidth="1"/>
    <col min="6668" max="6668" width="10.375" style="3235" customWidth="1"/>
    <col min="6669" max="6669" width="10" style="3235" customWidth="1"/>
    <col min="6670" max="6670" width="12.875" style="3235" customWidth="1"/>
    <col min="6671" max="6912" width="9" style="3235"/>
    <col min="6913" max="6913" width="3.125" style="3235" customWidth="1"/>
    <col min="6914" max="6914" width="24.25" style="3235" customWidth="1"/>
    <col min="6915" max="6915" width="15.625" style="3235" customWidth="1"/>
    <col min="6916" max="6916" width="15.25" style="3235" customWidth="1"/>
    <col min="6917" max="6917" width="7.625" style="3235" customWidth="1"/>
    <col min="6918" max="6918" width="7.5" style="3235" customWidth="1"/>
    <col min="6919" max="6919" width="3.375" style="3235" customWidth="1"/>
    <col min="6920" max="6920" width="8.25" style="3235" customWidth="1"/>
    <col min="6921" max="6922" width="5.625" style="3235" customWidth="1"/>
    <col min="6923" max="6923" width="15.25" style="3235" customWidth="1"/>
    <col min="6924" max="6924" width="10.375" style="3235" customWidth="1"/>
    <col min="6925" max="6925" width="10" style="3235" customWidth="1"/>
    <col min="6926" max="6926" width="12.875" style="3235" customWidth="1"/>
    <col min="6927" max="7168" width="9" style="3235"/>
    <col min="7169" max="7169" width="3.125" style="3235" customWidth="1"/>
    <col min="7170" max="7170" width="24.25" style="3235" customWidth="1"/>
    <col min="7171" max="7171" width="15.625" style="3235" customWidth="1"/>
    <col min="7172" max="7172" width="15.25" style="3235" customWidth="1"/>
    <col min="7173" max="7173" width="7.625" style="3235" customWidth="1"/>
    <col min="7174" max="7174" width="7.5" style="3235" customWidth="1"/>
    <col min="7175" max="7175" width="3.375" style="3235" customWidth="1"/>
    <col min="7176" max="7176" width="8.25" style="3235" customWidth="1"/>
    <col min="7177" max="7178" width="5.625" style="3235" customWidth="1"/>
    <col min="7179" max="7179" width="15.25" style="3235" customWidth="1"/>
    <col min="7180" max="7180" width="10.375" style="3235" customWidth="1"/>
    <col min="7181" max="7181" width="10" style="3235" customWidth="1"/>
    <col min="7182" max="7182" width="12.875" style="3235" customWidth="1"/>
    <col min="7183" max="7424" width="9" style="3235"/>
    <col min="7425" max="7425" width="3.125" style="3235" customWidth="1"/>
    <col min="7426" max="7426" width="24.25" style="3235" customWidth="1"/>
    <col min="7427" max="7427" width="15.625" style="3235" customWidth="1"/>
    <col min="7428" max="7428" width="15.25" style="3235" customWidth="1"/>
    <col min="7429" max="7429" width="7.625" style="3235" customWidth="1"/>
    <col min="7430" max="7430" width="7.5" style="3235" customWidth="1"/>
    <col min="7431" max="7431" width="3.375" style="3235" customWidth="1"/>
    <col min="7432" max="7432" width="8.25" style="3235" customWidth="1"/>
    <col min="7433" max="7434" width="5.625" style="3235" customWidth="1"/>
    <col min="7435" max="7435" width="15.25" style="3235" customWidth="1"/>
    <col min="7436" max="7436" width="10.375" style="3235" customWidth="1"/>
    <col min="7437" max="7437" width="10" style="3235" customWidth="1"/>
    <col min="7438" max="7438" width="12.875" style="3235" customWidth="1"/>
    <col min="7439" max="7680" width="9" style="3235"/>
    <col min="7681" max="7681" width="3.125" style="3235" customWidth="1"/>
    <col min="7682" max="7682" width="24.25" style="3235" customWidth="1"/>
    <col min="7683" max="7683" width="15.625" style="3235" customWidth="1"/>
    <col min="7684" max="7684" width="15.25" style="3235" customWidth="1"/>
    <col min="7685" max="7685" width="7.625" style="3235" customWidth="1"/>
    <col min="7686" max="7686" width="7.5" style="3235" customWidth="1"/>
    <col min="7687" max="7687" width="3.375" style="3235" customWidth="1"/>
    <col min="7688" max="7688" width="8.25" style="3235" customWidth="1"/>
    <col min="7689" max="7690" width="5.625" style="3235" customWidth="1"/>
    <col min="7691" max="7691" width="15.25" style="3235" customWidth="1"/>
    <col min="7692" max="7692" width="10.375" style="3235" customWidth="1"/>
    <col min="7693" max="7693" width="10" style="3235" customWidth="1"/>
    <col min="7694" max="7694" width="12.875" style="3235" customWidth="1"/>
    <col min="7695" max="7936" width="9" style="3235"/>
    <col min="7937" max="7937" width="3.125" style="3235" customWidth="1"/>
    <col min="7938" max="7938" width="24.25" style="3235" customWidth="1"/>
    <col min="7939" max="7939" width="15.625" style="3235" customWidth="1"/>
    <col min="7940" max="7940" width="15.25" style="3235" customWidth="1"/>
    <col min="7941" max="7941" width="7.625" style="3235" customWidth="1"/>
    <col min="7942" max="7942" width="7.5" style="3235" customWidth="1"/>
    <col min="7943" max="7943" width="3.375" style="3235" customWidth="1"/>
    <col min="7944" max="7944" width="8.25" style="3235" customWidth="1"/>
    <col min="7945" max="7946" width="5.625" style="3235" customWidth="1"/>
    <col min="7947" max="7947" width="15.25" style="3235" customWidth="1"/>
    <col min="7948" max="7948" width="10.375" style="3235" customWidth="1"/>
    <col min="7949" max="7949" width="10" style="3235" customWidth="1"/>
    <col min="7950" max="7950" width="12.875" style="3235" customWidth="1"/>
    <col min="7951" max="8192" width="9" style="3235"/>
    <col min="8193" max="8193" width="3.125" style="3235" customWidth="1"/>
    <col min="8194" max="8194" width="24.25" style="3235" customWidth="1"/>
    <col min="8195" max="8195" width="15.625" style="3235" customWidth="1"/>
    <col min="8196" max="8196" width="15.25" style="3235" customWidth="1"/>
    <col min="8197" max="8197" width="7.625" style="3235" customWidth="1"/>
    <col min="8198" max="8198" width="7.5" style="3235" customWidth="1"/>
    <col min="8199" max="8199" width="3.375" style="3235" customWidth="1"/>
    <col min="8200" max="8200" width="8.25" style="3235" customWidth="1"/>
    <col min="8201" max="8202" width="5.625" style="3235" customWidth="1"/>
    <col min="8203" max="8203" width="15.25" style="3235" customWidth="1"/>
    <col min="8204" max="8204" width="10.375" style="3235" customWidth="1"/>
    <col min="8205" max="8205" width="10" style="3235" customWidth="1"/>
    <col min="8206" max="8206" width="12.875" style="3235" customWidth="1"/>
    <col min="8207" max="8448" width="9" style="3235"/>
    <col min="8449" max="8449" width="3.125" style="3235" customWidth="1"/>
    <col min="8450" max="8450" width="24.25" style="3235" customWidth="1"/>
    <col min="8451" max="8451" width="15.625" style="3235" customWidth="1"/>
    <col min="8452" max="8452" width="15.25" style="3235" customWidth="1"/>
    <col min="8453" max="8453" width="7.625" style="3235" customWidth="1"/>
    <col min="8454" max="8454" width="7.5" style="3235" customWidth="1"/>
    <col min="8455" max="8455" width="3.375" style="3235" customWidth="1"/>
    <col min="8456" max="8456" width="8.25" style="3235" customWidth="1"/>
    <col min="8457" max="8458" width="5.625" style="3235" customWidth="1"/>
    <col min="8459" max="8459" width="15.25" style="3235" customWidth="1"/>
    <col min="8460" max="8460" width="10.375" style="3235" customWidth="1"/>
    <col min="8461" max="8461" width="10" style="3235" customWidth="1"/>
    <col min="8462" max="8462" width="12.875" style="3235" customWidth="1"/>
    <col min="8463" max="8704" width="9" style="3235"/>
    <col min="8705" max="8705" width="3.125" style="3235" customWidth="1"/>
    <col min="8706" max="8706" width="24.25" style="3235" customWidth="1"/>
    <col min="8707" max="8707" width="15.625" style="3235" customWidth="1"/>
    <col min="8708" max="8708" width="15.25" style="3235" customWidth="1"/>
    <col min="8709" max="8709" width="7.625" style="3235" customWidth="1"/>
    <col min="8710" max="8710" width="7.5" style="3235" customWidth="1"/>
    <col min="8711" max="8711" width="3.375" style="3235" customWidth="1"/>
    <col min="8712" max="8712" width="8.25" style="3235" customWidth="1"/>
    <col min="8713" max="8714" width="5.625" style="3235" customWidth="1"/>
    <col min="8715" max="8715" width="15.25" style="3235" customWidth="1"/>
    <col min="8716" max="8716" width="10.375" style="3235" customWidth="1"/>
    <col min="8717" max="8717" width="10" style="3235" customWidth="1"/>
    <col min="8718" max="8718" width="12.875" style="3235" customWidth="1"/>
    <col min="8719" max="8960" width="9" style="3235"/>
    <col min="8961" max="8961" width="3.125" style="3235" customWidth="1"/>
    <col min="8962" max="8962" width="24.25" style="3235" customWidth="1"/>
    <col min="8963" max="8963" width="15.625" style="3235" customWidth="1"/>
    <col min="8964" max="8964" width="15.25" style="3235" customWidth="1"/>
    <col min="8965" max="8965" width="7.625" style="3235" customWidth="1"/>
    <col min="8966" max="8966" width="7.5" style="3235" customWidth="1"/>
    <col min="8967" max="8967" width="3.375" style="3235" customWidth="1"/>
    <col min="8968" max="8968" width="8.25" style="3235" customWidth="1"/>
    <col min="8969" max="8970" width="5.625" style="3235" customWidth="1"/>
    <col min="8971" max="8971" width="15.25" style="3235" customWidth="1"/>
    <col min="8972" max="8972" width="10.375" style="3235" customWidth="1"/>
    <col min="8973" max="8973" width="10" style="3235" customWidth="1"/>
    <col min="8974" max="8974" width="12.875" style="3235" customWidth="1"/>
    <col min="8975" max="9216" width="9" style="3235"/>
    <col min="9217" max="9217" width="3.125" style="3235" customWidth="1"/>
    <col min="9218" max="9218" width="24.25" style="3235" customWidth="1"/>
    <col min="9219" max="9219" width="15.625" style="3235" customWidth="1"/>
    <col min="9220" max="9220" width="15.25" style="3235" customWidth="1"/>
    <col min="9221" max="9221" width="7.625" style="3235" customWidth="1"/>
    <col min="9222" max="9222" width="7.5" style="3235" customWidth="1"/>
    <col min="9223" max="9223" width="3.375" style="3235" customWidth="1"/>
    <col min="9224" max="9224" width="8.25" style="3235" customWidth="1"/>
    <col min="9225" max="9226" width="5.625" style="3235" customWidth="1"/>
    <col min="9227" max="9227" width="15.25" style="3235" customWidth="1"/>
    <col min="9228" max="9228" width="10.375" style="3235" customWidth="1"/>
    <col min="9229" max="9229" width="10" style="3235" customWidth="1"/>
    <col min="9230" max="9230" width="12.875" style="3235" customWidth="1"/>
    <col min="9231" max="9472" width="9" style="3235"/>
    <col min="9473" max="9473" width="3.125" style="3235" customWidth="1"/>
    <col min="9474" max="9474" width="24.25" style="3235" customWidth="1"/>
    <col min="9475" max="9475" width="15.625" style="3235" customWidth="1"/>
    <col min="9476" max="9476" width="15.25" style="3235" customWidth="1"/>
    <col min="9477" max="9477" width="7.625" style="3235" customWidth="1"/>
    <col min="9478" max="9478" width="7.5" style="3235" customWidth="1"/>
    <col min="9479" max="9479" width="3.375" style="3235" customWidth="1"/>
    <col min="9480" max="9480" width="8.25" style="3235" customWidth="1"/>
    <col min="9481" max="9482" width="5.625" style="3235" customWidth="1"/>
    <col min="9483" max="9483" width="15.25" style="3235" customWidth="1"/>
    <col min="9484" max="9484" width="10.375" style="3235" customWidth="1"/>
    <col min="9485" max="9485" width="10" style="3235" customWidth="1"/>
    <col min="9486" max="9486" width="12.875" style="3235" customWidth="1"/>
    <col min="9487" max="9728" width="9" style="3235"/>
    <col min="9729" max="9729" width="3.125" style="3235" customWidth="1"/>
    <col min="9730" max="9730" width="24.25" style="3235" customWidth="1"/>
    <col min="9731" max="9731" width="15.625" style="3235" customWidth="1"/>
    <col min="9732" max="9732" width="15.25" style="3235" customWidth="1"/>
    <col min="9733" max="9733" width="7.625" style="3235" customWidth="1"/>
    <col min="9734" max="9734" width="7.5" style="3235" customWidth="1"/>
    <col min="9735" max="9735" width="3.375" style="3235" customWidth="1"/>
    <col min="9736" max="9736" width="8.25" style="3235" customWidth="1"/>
    <col min="9737" max="9738" width="5.625" style="3235" customWidth="1"/>
    <col min="9739" max="9739" width="15.25" style="3235" customWidth="1"/>
    <col min="9740" max="9740" width="10.375" style="3235" customWidth="1"/>
    <col min="9741" max="9741" width="10" style="3235" customWidth="1"/>
    <col min="9742" max="9742" width="12.875" style="3235" customWidth="1"/>
    <col min="9743" max="9984" width="9" style="3235"/>
    <col min="9985" max="9985" width="3.125" style="3235" customWidth="1"/>
    <col min="9986" max="9986" width="24.25" style="3235" customWidth="1"/>
    <col min="9987" max="9987" width="15.625" style="3235" customWidth="1"/>
    <col min="9988" max="9988" width="15.25" style="3235" customWidth="1"/>
    <col min="9989" max="9989" width="7.625" style="3235" customWidth="1"/>
    <col min="9990" max="9990" width="7.5" style="3235" customWidth="1"/>
    <col min="9991" max="9991" width="3.375" style="3235" customWidth="1"/>
    <col min="9992" max="9992" width="8.25" style="3235" customWidth="1"/>
    <col min="9993" max="9994" width="5.625" style="3235" customWidth="1"/>
    <col min="9995" max="9995" width="15.25" style="3235" customWidth="1"/>
    <col min="9996" max="9996" width="10.375" style="3235" customWidth="1"/>
    <col min="9997" max="9997" width="10" style="3235" customWidth="1"/>
    <col min="9998" max="9998" width="12.875" style="3235" customWidth="1"/>
    <col min="9999" max="10240" width="9" style="3235"/>
    <col min="10241" max="10241" width="3.125" style="3235" customWidth="1"/>
    <col min="10242" max="10242" width="24.25" style="3235" customWidth="1"/>
    <col min="10243" max="10243" width="15.625" style="3235" customWidth="1"/>
    <col min="10244" max="10244" width="15.25" style="3235" customWidth="1"/>
    <col min="10245" max="10245" width="7.625" style="3235" customWidth="1"/>
    <col min="10246" max="10246" width="7.5" style="3235" customWidth="1"/>
    <col min="10247" max="10247" width="3.375" style="3235" customWidth="1"/>
    <col min="10248" max="10248" width="8.25" style="3235" customWidth="1"/>
    <col min="10249" max="10250" width="5.625" style="3235" customWidth="1"/>
    <col min="10251" max="10251" width="15.25" style="3235" customWidth="1"/>
    <col min="10252" max="10252" width="10.375" style="3235" customWidth="1"/>
    <col min="10253" max="10253" width="10" style="3235" customWidth="1"/>
    <col min="10254" max="10254" width="12.875" style="3235" customWidth="1"/>
    <col min="10255" max="10496" width="9" style="3235"/>
    <col min="10497" max="10497" width="3.125" style="3235" customWidth="1"/>
    <col min="10498" max="10498" width="24.25" style="3235" customWidth="1"/>
    <col min="10499" max="10499" width="15.625" style="3235" customWidth="1"/>
    <col min="10500" max="10500" width="15.25" style="3235" customWidth="1"/>
    <col min="10501" max="10501" width="7.625" style="3235" customWidth="1"/>
    <col min="10502" max="10502" width="7.5" style="3235" customWidth="1"/>
    <col min="10503" max="10503" width="3.375" style="3235" customWidth="1"/>
    <col min="10504" max="10504" width="8.25" style="3235" customWidth="1"/>
    <col min="10505" max="10506" width="5.625" style="3235" customWidth="1"/>
    <col min="10507" max="10507" width="15.25" style="3235" customWidth="1"/>
    <col min="10508" max="10508" width="10.375" style="3235" customWidth="1"/>
    <col min="10509" max="10509" width="10" style="3235" customWidth="1"/>
    <col min="10510" max="10510" width="12.875" style="3235" customWidth="1"/>
    <col min="10511" max="10752" width="9" style="3235"/>
    <col min="10753" max="10753" width="3.125" style="3235" customWidth="1"/>
    <col min="10754" max="10754" width="24.25" style="3235" customWidth="1"/>
    <col min="10755" max="10755" width="15.625" style="3235" customWidth="1"/>
    <col min="10756" max="10756" width="15.25" style="3235" customWidth="1"/>
    <col min="10757" max="10757" width="7.625" style="3235" customWidth="1"/>
    <col min="10758" max="10758" width="7.5" style="3235" customWidth="1"/>
    <col min="10759" max="10759" width="3.375" style="3235" customWidth="1"/>
    <col min="10760" max="10760" width="8.25" style="3235" customWidth="1"/>
    <col min="10761" max="10762" width="5.625" style="3235" customWidth="1"/>
    <col min="10763" max="10763" width="15.25" style="3235" customWidth="1"/>
    <col min="10764" max="10764" width="10.375" style="3235" customWidth="1"/>
    <col min="10765" max="10765" width="10" style="3235" customWidth="1"/>
    <col min="10766" max="10766" width="12.875" style="3235" customWidth="1"/>
    <col min="10767" max="11008" width="9" style="3235"/>
    <col min="11009" max="11009" width="3.125" style="3235" customWidth="1"/>
    <col min="11010" max="11010" width="24.25" style="3235" customWidth="1"/>
    <col min="11011" max="11011" width="15.625" style="3235" customWidth="1"/>
    <col min="11012" max="11012" width="15.25" style="3235" customWidth="1"/>
    <col min="11013" max="11013" width="7.625" style="3235" customWidth="1"/>
    <col min="11014" max="11014" width="7.5" style="3235" customWidth="1"/>
    <col min="11015" max="11015" width="3.375" style="3235" customWidth="1"/>
    <col min="11016" max="11016" width="8.25" style="3235" customWidth="1"/>
    <col min="11017" max="11018" width="5.625" style="3235" customWidth="1"/>
    <col min="11019" max="11019" width="15.25" style="3235" customWidth="1"/>
    <col min="11020" max="11020" width="10.375" style="3235" customWidth="1"/>
    <col min="11021" max="11021" width="10" style="3235" customWidth="1"/>
    <col min="11022" max="11022" width="12.875" style="3235" customWidth="1"/>
    <col min="11023" max="11264" width="9" style="3235"/>
    <col min="11265" max="11265" width="3.125" style="3235" customWidth="1"/>
    <col min="11266" max="11266" width="24.25" style="3235" customWidth="1"/>
    <col min="11267" max="11267" width="15.625" style="3235" customWidth="1"/>
    <col min="11268" max="11268" width="15.25" style="3235" customWidth="1"/>
    <col min="11269" max="11269" width="7.625" style="3235" customWidth="1"/>
    <col min="11270" max="11270" width="7.5" style="3235" customWidth="1"/>
    <col min="11271" max="11271" width="3.375" style="3235" customWidth="1"/>
    <col min="11272" max="11272" width="8.25" style="3235" customWidth="1"/>
    <col min="11273" max="11274" width="5.625" style="3235" customWidth="1"/>
    <col min="11275" max="11275" width="15.25" style="3235" customWidth="1"/>
    <col min="11276" max="11276" width="10.375" style="3235" customWidth="1"/>
    <col min="11277" max="11277" width="10" style="3235" customWidth="1"/>
    <col min="11278" max="11278" width="12.875" style="3235" customWidth="1"/>
    <col min="11279" max="11520" width="9" style="3235"/>
    <col min="11521" max="11521" width="3.125" style="3235" customWidth="1"/>
    <col min="11522" max="11522" width="24.25" style="3235" customWidth="1"/>
    <col min="11523" max="11523" width="15.625" style="3235" customWidth="1"/>
    <col min="11524" max="11524" width="15.25" style="3235" customWidth="1"/>
    <col min="11525" max="11525" width="7.625" style="3235" customWidth="1"/>
    <col min="11526" max="11526" width="7.5" style="3235" customWidth="1"/>
    <col min="11527" max="11527" width="3.375" style="3235" customWidth="1"/>
    <col min="11528" max="11528" width="8.25" style="3235" customWidth="1"/>
    <col min="11529" max="11530" width="5.625" style="3235" customWidth="1"/>
    <col min="11531" max="11531" width="15.25" style="3235" customWidth="1"/>
    <col min="11532" max="11532" width="10.375" style="3235" customWidth="1"/>
    <col min="11533" max="11533" width="10" style="3235" customWidth="1"/>
    <col min="11534" max="11534" width="12.875" style="3235" customWidth="1"/>
    <col min="11535" max="11776" width="9" style="3235"/>
    <col min="11777" max="11777" width="3.125" style="3235" customWidth="1"/>
    <col min="11778" max="11778" width="24.25" style="3235" customWidth="1"/>
    <col min="11779" max="11779" width="15.625" style="3235" customWidth="1"/>
    <col min="11780" max="11780" width="15.25" style="3235" customWidth="1"/>
    <col min="11781" max="11781" width="7.625" style="3235" customWidth="1"/>
    <col min="11782" max="11782" width="7.5" style="3235" customWidth="1"/>
    <col min="11783" max="11783" width="3.375" style="3235" customWidth="1"/>
    <col min="11784" max="11784" width="8.25" style="3235" customWidth="1"/>
    <col min="11785" max="11786" width="5.625" style="3235" customWidth="1"/>
    <col min="11787" max="11787" width="15.25" style="3235" customWidth="1"/>
    <col min="11788" max="11788" width="10.375" style="3235" customWidth="1"/>
    <col min="11789" max="11789" width="10" style="3235" customWidth="1"/>
    <col min="11790" max="11790" width="12.875" style="3235" customWidth="1"/>
    <col min="11791" max="12032" width="9" style="3235"/>
    <col min="12033" max="12033" width="3.125" style="3235" customWidth="1"/>
    <col min="12034" max="12034" width="24.25" style="3235" customWidth="1"/>
    <col min="12035" max="12035" width="15.625" style="3235" customWidth="1"/>
    <col min="12036" max="12036" width="15.25" style="3235" customWidth="1"/>
    <col min="12037" max="12037" width="7.625" style="3235" customWidth="1"/>
    <col min="12038" max="12038" width="7.5" style="3235" customWidth="1"/>
    <col min="12039" max="12039" width="3.375" style="3235" customWidth="1"/>
    <col min="12040" max="12040" width="8.25" style="3235" customWidth="1"/>
    <col min="12041" max="12042" width="5.625" style="3235" customWidth="1"/>
    <col min="12043" max="12043" width="15.25" style="3235" customWidth="1"/>
    <col min="12044" max="12044" width="10.375" style="3235" customWidth="1"/>
    <col min="12045" max="12045" width="10" style="3235" customWidth="1"/>
    <col min="12046" max="12046" width="12.875" style="3235" customWidth="1"/>
    <col min="12047" max="12288" width="9" style="3235"/>
    <col min="12289" max="12289" width="3.125" style="3235" customWidth="1"/>
    <col min="12290" max="12290" width="24.25" style="3235" customWidth="1"/>
    <col min="12291" max="12291" width="15.625" style="3235" customWidth="1"/>
    <col min="12292" max="12292" width="15.25" style="3235" customWidth="1"/>
    <col min="12293" max="12293" width="7.625" style="3235" customWidth="1"/>
    <col min="12294" max="12294" width="7.5" style="3235" customWidth="1"/>
    <col min="12295" max="12295" width="3.375" style="3235" customWidth="1"/>
    <col min="12296" max="12296" width="8.25" style="3235" customWidth="1"/>
    <col min="12297" max="12298" width="5.625" style="3235" customWidth="1"/>
    <col min="12299" max="12299" width="15.25" style="3235" customWidth="1"/>
    <col min="12300" max="12300" width="10.375" style="3235" customWidth="1"/>
    <col min="12301" max="12301" width="10" style="3235" customWidth="1"/>
    <col min="12302" max="12302" width="12.875" style="3235" customWidth="1"/>
    <col min="12303" max="12544" width="9" style="3235"/>
    <col min="12545" max="12545" width="3.125" style="3235" customWidth="1"/>
    <col min="12546" max="12546" width="24.25" style="3235" customWidth="1"/>
    <col min="12547" max="12547" width="15.625" style="3235" customWidth="1"/>
    <col min="12548" max="12548" width="15.25" style="3235" customWidth="1"/>
    <col min="12549" max="12549" width="7.625" style="3235" customWidth="1"/>
    <col min="12550" max="12550" width="7.5" style="3235" customWidth="1"/>
    <col min="12551" max="12551" width="3.375" style="3235" customWidth="1"/>
    <col min="12552" max="12552" width="8.25" style="3235" customWidth="1"/>
    <col min="12553" max="12554" width="5.625" style="3235" customWidth="1"/>
    <col min="12555" max="12555" width="15.25" style="3235" customWidth="1"/>
    <col min="12556" max="12556" width="10.375" style="3235" customWidth="1"/>
    <col min="12557" max="12557" width="10" style="3235" customWidth="1"/>
    <col min="12558" max="12558" width="12.875" style="3235" customWidth="1"/>
    <col min="12559" max="12800" width="9" style="3235"/>
    <col min="12801" max="12801" width="3.125" style="3235" customWidth="1"/>
    <col min="12802" max="12802" width="24.25" style="3235" customWidth="1"/>
    <col min="12803" max="12803" width="15.625" style="3235" customWidth="1"/>
    <col min="12804" max="12804" width="15.25" style="3235" customWidth="1"/>
    <col min="12805" max="12805" width="7.625" style="3235" customWidth="1"/>
    <col min="12806" max="12806" width="7.5" style="3235" customWidth="1"/>
    <col min="12807" max="12807" width="3.375" style="3235" customWidth="1"/>
    <col min="12808" max="12808" width="8.25" style="3235" customWidth="1"/>
    <col min="12809" max="12810" width="5.625" style="3235" customWidth="1"/>
    <col min="12811" max="12811" width="15.25" style="3235" customWidth="1"/>
    <col min="12812" max="12812" width="10.375" style="3235" customWidth="1"/>
    <col min="12813" max="12813" width="10" style="3235" customWidth="1"/>
    <col min="12814" max="12814" width="12.875" style="3235" customWidth="1"/>
    <col min="12815" max="13056" width="9" style="3235"/>
    <col min="13057" max="13057" width="3.125" style="3235" customWidth="1"/>
    <col min="13058" max="13058" width="24.25" style="3235" customWidth="1"/>
    <col min="13059" max="13059" width="15.625" style="3235" customWidth="1"/>
    <col min="13060" max="13060" width="15.25" style="3235" customWidth="1"/>
    <col min="13061" max="13061" width="7.625" style="3235" customWidth="1"/>
    <col min="13062" max="13062" width="7.5" style="3235" customWidth="1"/>
    <col min="13063" max="13063" width="3.375" style="3235" customWidth="1"/>
    <col min="13064" max="13064" width="8.25" style="3235" customWidth="1"/>
    <col min="13065" max="13066" width="5.625" style="3235" customWidth="1"/>
    <col min="13067" max="13067" width="15.25" style="3235" customWidth="1"/>
    <col min="13068" max="13068" width="10.375" style="3235" customWidth="1"/>
    <col min="13069" max="13069" width="10" style="3235" customWidth="1"/>
    <col min="13070" max="13070" width="12.875" style="3235" customWidth="1"/>
    <col min="13071" max="13312" width="9" style="3235"/>
    <col min="13313" max="13313" width="3.125" style="3235" customWidth="1"/>
    <col min="13314" max="13314" width="24.25" style="3235" customWidth="1"/>
    <col min="13315" max="13315" width="15.625" style="3235" customWidth="1"/>
    <col min="13316" max="13316" width="15.25" style="3235" customWidth="1"/>
    <col min="13317" max="13317" width="7.625" style="3235" customWidth="1"/>
    <col min="13318" max="13318" width="7.5" style="3235" customWidth="1"/>
    <col min="13319" max="13319" width="3.375" style="3235" customWidth="1"/>
    <col min="13320" max="13320" width="8.25" style="3235" customWidth="1"/>
    <col min="13321" max="13322" width="5.625" style="3235" customWidth="1"/>
    <col min="13323" max="13323" width="15.25" style="3235" customWidth="1"/>
    <col min="13324" max="13324" width="10.375" style="3235" customWidth="1"/>
    <col min="13325" max="13325" width="10" style="3235" customWidth="1"/>
    <col min="13326" max="13326" width="12.875" style="3235" customWidth="1"/>
    <col min="13327" max="13568" width="9" style="3235"/>
    <col min="13569" max="13569" width="3.125" style="3235" customWidth="1"/>
    <col min="13570" max="13570" width="24.25" style="3235" customWidth="1"/>
    <col min="13571" max="13571" width="15.625" style="3235" customWidth="1"/>
    <col min="13572" max="13572" width="15.25" style="3235" customWidth="1"/>
    <col min="13573" max="13573" width="7.625" style="3235" customWidth="1"/>
    <col min="13574" max="13574" width="7.5" style="3235" customWidth="1"/>
    <col min="13575" max="13575" width="3.375" style="3235" customWidth="1"/>
    <col min="13576" max="13576" width="8.25" style="3235" customWidth="1"/>
    <col min="13577" max="13578" width="5.625" style="3235" customWidth="1"/>
    <col min="13579" max="13579" width="15.25" style="3235" customWidth="1"/>
    <col min="13580" max="13580" width="10.375" style="3235" customWidth="1"/>
    <col min="13581" max="13581" width="10" style="3235" customWidth="1"/>
    <col min="13582" max="13582" width="12.875" style="3235" customWidth="1"/>
    <col min="13583" max="13824" width="9" style="3235"/>
    <col min="13825" max="13825" width="3.125" style="3235" customWidth="1"/>
    <col min="13826" max="13826" width="24.25" style="3235" customWidth="1"/>
    <col min="13827" max="13827" width="15.625" style="3235" customWidth="1"/>
    <col min="13828" max="13828" width="15.25" style="3235" customWidth="1"/>
    <col min="13829" max="13829" width="7.625" style="3235" customWidth="1"/>
    <col min="13830" max="13830" width="7.5" style="3235" customWidth="1"/>
    <col min="13831" max="13831" width="3.375" style="3235" customWidth="1"/>
    <col min="13832" max="13832" width="8.25" style="3235" customWidth="1"/>
    <col min="13833" max="13834" width="5.625" style="3235" customWidth="1"/>
    <col min="13835" max="13835" width="15.25" style="3235" customWidth="1"/>
    <col min="13836" max="13836" width="10.375" style="3235" customWidth="1"/>
    <col min="13837" max="13837" width="10" style="3235" customWidth="1"/>
    <col min="13838" max="13838" width="12.875" style="3235" customWidth="1"/>
    <col min="13839" max="14080" width="9" style="3235"/>
    <col min="14081" max="14081" width="3.125" style="3235" customWidth="1"/>
    <col min="14082" max="14082" width="24.25" style="3235" customWidth="1"/>
    <col min="14083" max="14083" width="15.625" style="3235" customWidth="1"/>
    <col min="14084" max="14084" width="15.25" style="3235" customWidth="1"/>
    <col min="14085" max="14085" width="7.625" style="3235" customWidth="1"/>
    <col min="14086" max="14086" width="7.5" style="3235" customWidth="1"/>
    <col min="14087" max="14087" width="3.375" style="3235" customWidth="1"/>
    <col min="14088" max="14088" width="8.25" style="3235" customWidth="1"/>
    <col min="14089" max="14090" width="5.625" style="3235" customWidth="1"/>
    <col min="14091" max="14091" width="15.25" style="3235" customWidth="1"/>
    <col min="14092" max="14092" width="10.375" style="3235" customWidth="1"/>
    <col min="14093" max="14093" width="10" style="3235" customWidth="1"/>
    <col min="14094" max="14094" width="12.875" style="3235" customWidth="1"/>
    <col min="14095" max="14336" width="9" style="3235"/>
    <col min="14337" max="14337" width="3.125" style="3235" customWidth="1"/>
    <col min="14338" max="14338" width="24.25" style="3235" customWidth="1"/>
    <col min="14339" max="14339" width="15.625" style="3235" customWidth="1"/>
    <col min="14340" max="14340" width="15.25" style="3235" customWidth="1"/>
    <col min="14341" max="14341" width="7.625" style="3235" customWidth="1"/>
    <col min="14342" max="14342" width="7.5" style="3235" customWidth="1"/>
    <col min="14343" max="14343" width="3.375" style="3235" customWidth="1"/>
    <col min="14344" max="14344" width="8.25" style="3235" customWidth="1"/>
    <col min="14345" max="14346" width="5.625" style="3235" customWidth="1"/>
    <col min="14347" max="14347" width="15.25" style="3235" customWidth="1"/>
    <col min="14348" max="14348" width="10.375" style="3235" customWidth="1"/>
    <col min="14349" max="14349" width="10" style="3235" customWidth="1"/>
    <col min="14350" max="14350" width="12.875" style="3235" customWidth="1"/>
    <col min="14351" max="14592" width="9" style="3235"/>
    <col min="14593" max="14593" width="3.125" style="3235" customWidth="1"/>
    <col min="14594" max="14594" width="24.25" style="3235" customWidth="1"/>
    <col min="14595" max="14595" width="15.625" style="3235" customWidth="1"/>
    <col min="14596" max="14596" width="15.25" style="3235" customWidth="1"/>
    <col min="14597" max="14597" width="7.625" style="3235" customWidth="1"/>
    <col min="14598" max="14598" width="7.5" style="3235" customWidth="1"/>
    <col min="14599" max="14599" width="3.375" style="3235" customWidth="1"/>
    <col min="14600" max="14600" width="8.25" style="3235" customWidth="1"/>
    <col min="14601" max="14602" width="5.625" style="3235" customWidth="1"/>
    <col min="14603" max="14603" width="15.25" style="3235" customWidth="1"/>
    <col min="14604" max="14604" width="10.375" style="3235" customWidth="1"/>
    <col min="14605" max="14605" width="10" style="3235" customWidth="1"/>
    <col min="14606" max="14606" width="12.875" style="3235" customWidth="1"/>
    <col min="14607" max="14848" width="9" style="3235"/>
    <col min="14849" max="14849" width="3.125" style="3235" customWidth="1"/>
    <col min="14850" max="14850" width="24.25" style="3235" customWidth="1"/>
    <col min="14851" max="14851" width="15.625" style="3235" customWidth="1"/>
    <col min="14852" max="14852" width="15.25" style="3235" customWidth="1"/>
    <col min="14853" max="14853" width="7.625" style="3235" customWidth="1"/>
    <col min="14854" max="14854" width="7.5" style="3235" customWidth="1"/>
    <col min="14855" max="14855" width="3.375" style="3235" customWidth="1"/>
    <col min="14856" max="14856" width="8.25" style="3235" customWidth="1"/>
    <col min="14857" max="14858" width="5.625" style="3235" customWidth="1"/>
    <col min="14859" max="14859" width="15.25" style="3235" customWidth="1"/>
    <col min="14860" max="14860" width="10.375" style="3235" customWidth="1"/>
    <col min="14861" max="14861" width="10" style="3235" customWidth="1"/>
    <col min="14862" max="14862" width="12.875" style="3235" customWidth="1"/>
    <col min="14863" max="15104" width="9" style="3235"/>
    <col min="15105" max="15105" width="3.125" style="3235" customWidth="1"/>
    <col min="15106" max="15106" width="24.25" style="3235" customWidth="1"/>
    <col min="15107" max="15107" width="15.625" style="3235" customWidth="1"/>
    <col min="15108" max="15108" width="15.25" style="3235" customWidth="1"/>
    <col min="15109" max="15109" width="7.625" style="3235" customWidth="1"/>
    <col min="15110" max="15110" width="7.5" style="3235" customWidth="1"/>
    <col min="15111" max="15111" width="3.375" style="3235" customWidth="1"/>
    <col min="15112" max="15112" width="8.25" style="3235" customWidth="1"/>
    <col min="15113" max="15114" width="5.625" style="3235" customWidth="1"/>
    <col min="15115" max="15115" width="15.25" style="3235" customWidth="1"/>
    <col min="15116" max="15116" width="10.375" style="3235" customWidth="1"/>
    <col min="15117" max="15117" width="10" style="3235" customWidth="1"/>
    <col min="15118" max="15118" width="12.875" style="3235" customWidth="1"/>
    <col min="15119" max="15360" width="9" style="3235"/>
    <col min="15361" max="15361" width="3.125" style="3235" customWidth="1"/>
    <col min="15362" max="15362" width="24.25" style="3235" customWidth="1"/>
    <col min="15363" max="15363" width="15.625" style="3235" customWidth="1"/>
    <col min="15364" max="15364" width="15.25" style="3235" customWidth="1"/>
    <col min="15365" max="15365" width="7.625" style="3235" customWidth="1"/>
    <col min="15366" max="15366" width="7.5" style="3235" customWidth="1"/>
    <col min="15367" max="15367" width="3.375" style="3235" customWidth="1"/>
    <col min="15368" max="15368" width="8.25" style="3235" customWidth="1"/>
    <col min="15369" max="15370" width="5.625" style="3235" customWidth="1"/>
    <col min="15371" max="15371" width="15.25" style="3235" customWidth="1"/>
    <col min="15372" max="15372" width="10.375" style="3235" customWidth="1"/>
    <col min="15373" max="15373" width="10" style="3235" customWidth="1"/>
    <col min="15374" max="15374" width="12.875" style="3235" customWidth="1"/>
    <col min="15375" max="15616" width="9" style="3235"/>
    <col min="15617" max="15617" width="3.125" style="3235" customWidth="1"/>
    <col min="15618" max="15618" width="24.25" style="3235" customWidth="1"/>
    <col min="15619" max="15619" width="15.625" style="3235" customWidth="1"/>
    <col min="15620" max="15620" width="15.25" style="3235" customWidth="1"/>
    <col min="15621" max="15621" width="7.625" style="3235" customWidth="1"/>
    <col min="15622" max="15622" width="7.5" style="3235" customWidth="1"/>
    <col min="15623" max="15623" width="3.375" style="3235" customWidth="1"/>
    <col min="15624" max="15624" width="8.25" style="3235" customWidth="1"/>
    <col min="15625" max="15626" width="5.625" style="3235" customWidth="1"/>
    <col min="15627" max="15627" width="15.25" style="3235" customWidth="1"/>
    <col min="15628" max="15628" width="10.375" style="3235" customWidth="1"/>
    <col min="15629" max="15629" width="10" style="3235" customWidth="1"/>
    <col min="15630" max="15630" width="12.875" style="3235" customWidth="1"/>
    <col min="15631" max="15872" width="9" style="3235"/>
    <col min="15873" max="15873" width="3.125" style="3235" customWidth="1"/>
    <col min="15874" max="15874" width="24.25" style="3235" customWidth="1"/>
    <col min="15875" max="15875" width="15.625" style="3235" customWidth="1"/>
    <col min="15876" max="15876" width="15.25" style="3235" customWidth="1"/>
    <col min="15877" max="15877" width="7.625" style="3235" customWidth="1"/>
    <col min="15878" max="15878" width="7.5" style="3235" customWidth="1"/>
    <col min="15879" max="15879" width="3.375" style="3235" customWidth="1"/>
    <col min="15880" max="15880" width="8.25" style="3235" customWidth="1"/>
    <col min="15881" max="15882" width="5.625" style="3235" customWidth="1"/>
    <col min="15883" max="15883" width="15.25" style="3235" customWidth="1"/>
    <col min="15884" max="15884" width="10.375" style="3235" customWidth="1"/>
    <col min="15885" max="15885" width="10" style="3235" customWidth="1"/>
    <col min="15886" max="15886" width="12.875" style="3235" customWidth="1"/>
    <col min="15887" max="16128" width="9" style="3235"/>
    <col min="16129" max="16129" width="3.125" style="3235" customWidth="1"/>
    <col min="16130" max="16130" width="24.25" style="3235" customWidth="1"/>
    <col min="16131" max="16131" width="15.625" style="3235" customWidth="1"/>
    <col min="16132" max="16132" width="15.25" style="3235" customWidth="1"/>
    <col min="16133" max="16133" width="7.625" style="3235" customWidth="1"/>
    <col min="16134" max="16134" width="7.5" style="3235" customWidth="1"/>
    <col min="16135" max="16135" width="3.375" style="3235" customWidth="1"/>
    <col min="16136" max="16136" width="8.25" style="3235" customWidth="1"/>
    <col min="16137" max="16138" width="5.625" style="3235" customWidth="1"/>
    <col min="16139" max="16139" width="15.25" style="3235" customWidth="1"/>
    <col min="16140" max="16140" width="10.375" style="3235" customWidth="1"/>
    <col min="16141" max="16141" width="10" style="3235" customWidth="1"/>
    <col min="16142" max="16142" width="12.875" style="3235" customWidth="1"/>
    <col min="16143" max="16384" width="9" style="3235"/>
  </cols>
  <sheetData>
    <row r="1" spans="1:237" s="3246" customFormat="1" ht="21.95" customHeight="1">
      <c r="A1" s="4227" t="s">
        <v>3112</v>
      </c>
      <c r="B1" s="4228"/>
      <c r="C1" s="4228"/>
      <c r="D1" s="4228"/>
      <c r="E1" s="4228"/>
      <c r="F1" s="4228"/>
      <c r="G1" s="4228"/>
      <c r="H1" s="4228"/>
      <c r="I1" s="4229"/>
      <c r="J1" s="4229"/>
      <c r="K1" s="4228"/>
      <c r="L1" s="4228"/>
      <c r="M1" s="4228"/>
    </row>
    <row r="2" spans="1:237" ht="12" customHeight="1">
      <c r="A2" s="3247"/>
      <c r="B2" s="3248"/>
      <c r="C2" s="3248"/>
      <c r="D2" s="3249"/>
      <c r="E2" s="3249"/>
      <c r="F2" s="3316"/>
      <c r="G2" s="3250"/>
      <c r="H2" s="3250"/>
      <c r="I2" s="3316"/>
      <c r="J2" s="3249"/>
      <c r="K2" s="3251"/>
      <c r="L2" s="4230" t="s">
        <v>3113</v>
      </c>
      <c r="M2" s="4230"/>
      <c r="N2" s="3249"/>
      <c r="O2" s="3249"/>
      <c r="P2" s="3249"/>
      <c r="Q2" s="3249"/>
      <c r="R2" s="3249"/>
      <c r="S2" s="3249"/>
      <c r="T2" s="3249"/>
      <c r="U2" s="3249"/>
      <c r="V2" s="3249"/>
      <c r="W2" s="3249"/>
      <c r="X2" s="3249"/>
      <c r="Y2" s="3249"/>
      <c r="Z2" s="3249"/>
      <c r="AA2" s="3249"/>
      <c r="AB2" s="3249"/>
      <c r="AC2" s="3249"/>
      <c r="AD2" s="3249"/>
      <c r="AE2" s="3249"/>
      <c r="AF2" s="3249"/>
      <c r="AG2" s="3249"/>
      <c r="AH2" s="3249"/>
      <c r="AI2" s="3249"/>
      <c r="AJ2" s="3249"/>
      <c r="AK2" s="3249"/>
      <c r="AL2" s="3249"/>
      <c r="AM2" s="3249"/>
      <c r="AN2" s="3249"/>
      <c r="AO2" s="3249"/>
      <c r="AP2" s="3249"/>
      <c r="AQ2" s="3249"/>
      <c r="AR2" s="3249"/>
      <c r="AS2" s="3249"/>
      <c r="AT2" s="3249"/>
      <c r="AU2" s="3249"/>
      <c r="AV2" s="3249"/>
      <c r="AW2" s="3249"/>
      <c r="AX2" s="3249"/>
      <c r="AY2" s="3249"/>
      <c r="AZ2" s="3249"/>
      <c r="BA2" s="3249"/>
      <c r="BB2" s="3249"/>
      <c r="BC2" s="3249"/>
      <c r="BD2" s="3249"/>
      <c r="BE2" s="3249"/>
      <c r="BF2" s="3249"/>
      <c r="BG2" s="3249"/>
      <c r="BH2" s="3249"/>
      <c r="BI2" s="3249"/>
      <c r="BJ2" s="3249"/>
      <c r="BK2" s="3249"/>
      <c r="BL2" s="3249"/>
      <c r="BM2" s="3249"/>
      <c r="BN2" s="3249"/>
      <c r="BO2" s="3249"/>
      <c r="BP2" s="3249"/>
      <c r="BQ2" s="3249"/>
      <c r="BR2" s="3249"/>
      <c r="BS2" s="3249"/>
      <c r="BT2" s="3249"/>
      <c r="BU2" s="3249"/>
      <c r="BV2" s="3249"/>
      <c r="BW2" s="3249"/>
      <c r="BX2" s="3249"/>
      <c r="BY2" s="3249"/>
      <c r="BZ2" s="3249"/>
      <c r="CA2" s="3249"/>
      <c r="CB2" s="3249"/>
      <c r="CC2" s="3249"/>
      <c r="CD2" s="3249"/>
      <c r="CE2" s="3249"/>
      <c r="CF2" s="3249"/>
      <c r="CG2" s="3249"/>
      <c r="CH2" s="3249"/>
      <c r="CI2" s="3249"/>
      <c r="CJ2" s="3249"/>
      <c r="CK2" s="3249"/>
      <c r="CL2" s="3249"/>
      <c r="CM2" s="3249"/>
      <c r="CN2" s="3249"/>
      <c r="CO2" s="3249"/>
      <c r="CP2" s="3249"/>
      <c r="CQ2" s="3249"/>
      <c r="CR2" s="3249"/>
      <c r="CS2" s="3249"/>
      <c r="CT2" s="3249"/>
      <c r="CU2" s="3249"/>
      <c r="CV2" s="3249"/>
      <c r="CW2" s="3249"/>
      <c r="CX2" s="3249"/>
      <c r="CY2" s="3249"/>
      <c r="CZ2" s="3249"/>
      <c r="DA2" s="3249"/>
      <c r="DB2" s="3249"/>
      <c r="DC2" s="3249"/>
      <c r="DD2" s="3249"/>
      <c r="DE2" s="3249"/>
      <c r="DF2" s="3249"/>
      <c r="DG2" s="3249"/>
      <c r="DH2" s="3249"/>
      <c r="DI2" s="3249"/>
      <c r="DJ2" s="3249"/>
      <c r="DK2" s="3249"/>
      <c r="DL2" s="3249"/>
      <c r="DM2" s="3249"/>
      <c r="DN2" s="3249"/>
      <c r="DO2" s="3249"/>
      <c r="DP2" s="3249"/>
      <c r="DQ2" s="3249"/>
      <c r="DR2" s="3249"/>
      <c r="DS2" s="3249"/>
      <c r="DT2" s="3249"/>
      <c r="DU2" s="3249"/>
      <c r="DV2" s="3249"/>
      <c r="DW2" s="3249"/>
      <c r="DX2" s="3249"/>
      <c r="DY2" s="3249"/>
      <c r="DZ2" s="3249"/>
      <c r="EA2" s="3249"/>
      <c r="EB2" s="3249"/>
      <c r="EC2" s="3249"/>
      <c r="ED2" s="3249"/>
      <c r="EE2" s="3249"/>
      <c r="EF2" s="3249"/>
      <c r="EG2" s="3249"/>
      <c r="EH2" s="3249"/>
      <c r="EI2" s="3249"/>
      <c r="EJ2" s="3249"/>
      <c r="EK2" s="3249"/>
      <c r="EL2" s="3249"/>
      <c r="EM2" s="3249"/>
      <c r="EN2" s="3249"/>
      <c r="EO2" s="3249"/>
      <c r="EP2" s="3249"/>
      <c r="EQ2" s="3249"/>
      <c r="ER2" s="3249"/>
      <c r="ES2" s="3249"/>
      <c r="ET2" s="3249"/>
      <c r="EU2" s="3249"/>
      <c r="EV2" s="3249"/>
      <c r="EW2" s="3249"/>
      <c r="EX2" s="3249"/>
      <c r="EY2" s="3249"/>
      <c r="EZ2" s="3249"/>
      <c r="FA2" s="3249"/>
      <c r="FB2" s="3249"/>
      <c r="FC2" s="3249"/>
      <c r="FD2" s="3249"/>
      <c r="FE2" s="3249"/>
      <c r="FF2" s="3249"/>
      <c r="FG2" s="3249"/>
      <c r="FH2" s="3249"/>
      <c r="FI2" s="3249"/>
      <c r="FJ2" s="3249"/>
      <c r="FK2" s="3249"/>
      <c r="FL2" s="3249"/>
      <c r="FM2" s="3249"/>
      <c r="FN2" s="3249"/>
      <c r="FO2" s="3249"/>
      <c r="FP2" s="3249"/>
      <c r="FQ2" s="3249"/>
      <c r="FR2" s="3249"/>
      <c r="FS2" s="3249"/>
      <c r="FT2" s="3249"/>
      <c r="FU2" s="3249"/>
      <c r="FV2" s="3249"/>
      <c r="FW2" s="3249"/>
      <c r="FX2" s="3249"/>
      <c r="FY2" s="3249"/>
      <c r="FZ2" s="3249"/>
      <c r="GA2" s="3249"/>
      <c r="GB2" s="3249"/>
      <c r="GC2" s="3249"/>
      <c r="GD2" s="3249"/>
      <c r="GE2" s="3249"/>
      <c r="GF2" s="3249"/>
      <c r="GG2" s="3249"/>
      <c r="GH2" s="3249"/>
      <c r="GI2" s="3249"/>
      <c r="GJ2" s="3249"/>
      <c r="GK2" s="3249"/>
      <c r="GL2" s="3249"/>
      <c r="GM2" s="3249"/>
      <c r="GN2" s="3249"/>
      <c r="GO2" s="3249"/>
      <c r="GP2" s="3249"/>
      <c r="GQ2" s="3249"/>
      <c r="GR2" s="3249"/>
      <c r="GS2" s="3249"/>
      <c r="GT2" s="3249"/>
      <c r="GU2" s="3249"/>
      <c r="GV2" s="3249"/>
      <c r="GW2" s="3249"/>
      <c r="GX2" s="3249"/>
      <c r="GY2" s="3249"/>
      <c r="GZ2" s="3249"/>
      <c r="HA2" s="3249"/>
      <c r="HB2" s="3249"/>
      <c r="HC2" s="3249"/>
      <c r="HD2" s="3249"/>
      <c r="HE2" s="3249"/>
      <c r="HF2" s="3249"/>
      <c r="HG2" s="3249"/>
      <c r="HH2" s="3249"/>
      <c r="HI2" s="3249"/>
      <c r="HJ2" s="3249"/>
      <c r="HK2" s="3249"/>
      <c r="HL2" s="3249"/>
      <c r="HM2" s="3249"/>
      <c r="HN2" s="3249"/>
      <c r="HO2" s="3249"/>
      <c r="HP2" s="3249"/>
      <c r="HQ2" s="3249"/>
      <c r="HR2" s="3249"/>
      <c r="HS2" s="3249"/>
      <c r="HT2" s="3249"/>
      <c r="HU2" s="3249"/>
      <c r="HV2" s="3249"/>
      <c r="HW2" s="3249"/>
      <c r="HX2" s="3249"/>
      <c r="HY2" s="3249"/>
      <c r="HZ2" s="3249"/>
      <c r="IA2" s="3249"/>
      <c r="IB2" s="3249"/>
      <c r="IC2" s="3249"/>
    </row>
    <row r="3" spans="1:237" s="3252" customFormat="1" ht="18" customHeight="1">
      <c r="A3" s="4231" t="s">
        <v>3114</v>
      </c>
      <c r="B3" s="4232"/>
      <c r="C3" s="4235" t="s">
        <v>3115</v>
      </c>
      <c r="D3" s="4236" t="s">
        <v>3116</v>
      </c>
      <c r="E3" s="4238" t="s">
        <v>3117</v>
      </c>
      <c r="F3" s="4240" t="s">
        <v>3249</v>
      </c>
      <c r="G3" s="4242" t="s">
        <v>3118</v>
      </c>
      <c r="H3" s="4243"/>
      <c r="I3" s="4240" t="s">
        <v>3250</v>
      </c>
      <c r="J3" s="4190" t="s">
        <v>3119</v>
      </c>
      <c r="K3" s="4246" t="s">
        <v>3120</v>
      </c>
      <c r="L3" s="4243" t="s">
        <v>3121</v>
      </c>
      <c r="M3" s="4238" t="s">
        <v>3122</v>
      </c>
    </row>
    <row r="4" spans="1:237" s="3252" customFormat="1" ht="18" customHeight="1">
      <c r="A4" s="4233"/>
      <c r="B4" s="4234"/>
      <c r="C4" s="4235"/>
      <c r="D4" s="4237"/>
      <c r="E4" s="4239"/>
      <c r="F4" s="4241"/>
      <c r="G4" s="4244"/>
      <c r="H4" s="4245"/>
      <c r="I4" s="4240"/>
      <c r="J4" s="4190"/>
      <c r="K4" s="4247"/>
      <c r="L4" s="4245"/>
      <c r="M4" s="4239"/>
    </row>
    <row r="5" spans="1:237" s="3252" customFormat="1" ht="17.100000000000001" customHeight="1">
      <c r="A5" s="4190" t="s">
        <v>3123</v>
      </c>
      <c r="B5" s="3253" t="s">
        <v>3124</v>
      </c>
      <c r="C5" s="3254" t="s">
        <v>3125</v>
      </c>
      <c r="D5" s="3255" t="s">
        <v>3126</v>
      </c>
      <c r="E5" s="3256">
        <v>426</v>
      </c>
      <c r="F5" s="3317">
        <f>81.72+96.03+58</f>
        <v>235.75</v>
      </c>
      <c r="G5" s="3257" t="s">
        <v>3127</v>
      </c>
      <c r="H5" s="3257" t="s">
        <v>3128</v>
      </c>
      <c r="I5" s="3332">
        <v>11.438000000000001</v>
      </c>
      <c r="J5" s="3258"/>
      <c r="K5" s="3259" t="s">
        <v>3129</v>
      </c>
      <c r="L5" s="3260">
        <v>1956314.4920000001</v>
      </c>
      <c r="M5" s="3261"/>
    </row>
    <row r="6" spans="1:237" s="3266" customFormat="1" ht="17.100000000000001" customHeight="1">
      <c r="A6" s="4191"/>
      <c r="B6" s="4193" t="s">
        <v>54</v>
      </c>
      <c r="C6" s="4193"/>
      <c r="D6" s="4248"/>
      <c r="E6" s="3262">
        <f>SUM(E5:E5)</f>
        <v>426</v>
      </c>
      <c r="F6" s="3318">
        <f>SUM(F5:F5)</f>
        <v>235.75</v>
      </c>
      <c r="G6" s="3263" t="s">
        <v>563</v>
      </c>
      <c r="H6" s="3263" t="s">
        <v>563</v>
      </c>
      <c r="I6" s="3333" t="s">
        <v>563</v>
      </c>
      <c r="J6" s="3263" t="s">
        <v>563</v>
      </c>
      <c r="K6" s="3263" t="s">
        <v>563</v>
      </c>
      <c r="L6" s="3264">
        <v>1956314.4920000001</v>
      </c>
      <c r="M6" s="3265"/>
    </row>
    <row r="7" spans="1:237" s="3272" customFormat="1" ht="26.1" customHeight="1">
      <c r="A7" s="4199" t="s">
        <v>3130</v>
      </c>
      <c r="B7" s="3254" t="s">
        <v>3131</v>
      </c>
      <c r="C7" s="3254" t="s">
        <v>3125</v>
      </c>
      <c r="D7" s="3267" t="s">
        <v>3132</v>
      </c>
      <c r="E7" s="3268">
        <v>699.8</v>
      </c>
      <c r="F7" s="3319">
        <f>38.03+96.03+96.03+96.03+96.03+78.97+79.76+76.04</f>
        <v>656.92</v>
      </c>
      <c r="G7" s="3257" t="s">
        <v>3133</v>
      </c>
      <c r="H7" s="3257" t="s">
        <v>3134</v>
      </c>
      <c r="I7" s="3332">
        <v>3.75</v>
      </c>
      <c r="J7" s="3269">
        <f>(3.85-3.75)/3.75</f>
        <v>2.6666666666666689E-2</v>
      </c>
      <c r="K7" s="3270" t="s">
        <v>3135</v>
      </c>
      <c r="L7" s="3260">
        <v>964149.45</v>
      </c>
      <c r="M7" s="3271"/>
    </row>
    <row r="8" spans="1:237" s="3272" customFormat="1">
      <c r="A8" s="4190"/>
      <c r="B8" s="3273" t="s">
        <v>3136</v>
      </c>
      <c r="C8" s="3273"/>
      <c r="D8" s="3255" t="s">
        <v>3137</v>
      </c>
      <c r="E8" s="3274">
        <v>9.2899999999999991</v>
      </c>
      <c r="F8" s="3320"/>
      <c r="G8" s="3257" t="s">
        <v>3133</v>
      </c>
      <c r="H8" s="3257" t="s">
        <v>3138</v>
      </c>
      <c r="I8" s="3334"/>
      <c r="J8" s="3258"/>
      <c r="K8" s="3259"/>
      <c r="L8" s="3260">
        <v>0</v>
      </c>
      <c r="M8" s="3271"/>
    </row>
    <row r="9" spans="1:237" s="3272" customFormat="1">
      <c r="A9" s="4190"/>
      <c r="B9" s="3273" t="s">
        <v>3139</v>
      </c>
      <c r="C9" s="3273"/>
      <c r="D9" s="3255" t="s">
        <v>3140</v>
      </c>
      <c r="E9" s="3274">
        <v>9.2899999999999991</v>
      </c>
      <c r="F9" s="3320"/>
      <c r="G9" s="3257" t="s">
        <v>3133</v>
      </c>
      <c r="H9" s="3257" t="s">
        <v>3138</v>
      </c>
      <c r="I9" s="3334"/>
      <c r="J9" s="3258"/>
      <c r="K9" s="3259"/>
      <c r="L9" s="3260">
        <v>17801.962499999998</v>
      </c>
      <c r="M9" s="3271"/>
    </row>
    <row r="10" spans="1:237" s="3272" customFormat="1">
      <c r="A10" s="4190"/>
      <c r="B10" s="3253" t="s">
        <v>3131</v>
      </c>
      <c r="C10" s="3254" t="s">
        <v>3125</v>
      </c>
      <c r="D10" s="3276">
        <v>227</v>
      </c>
      <c r="E10" s="3277">
        <v>85.7</v>
      </c>
      <c r="F10" s="3320">
        <v>79.760000000000005</v>
      </c>
      <c r="G10" s="3257" t="s">
        <v>3133</v>
      </c>
      <c r="H10" s="3257" t="s">
        <v>3134</v>
      </c>
      <c r="I10" s="3334">
        <v>3.75</v>
      </c>
      <c r="J10" s="3269">
        <f>(3.85-3.75)/3.75</f>
        <v>2.6666666666666689E-2</v>
      </c>
      <c r="K10" s="3259" t="s">
        <v>3141</v>
      </c>
      <c r="L10" s="3260">
        <v>118075</v>
      </c>
      <c r="M10" s="3271"/>
    </row>
    <row r="11" spans="1:237" s="3272" customFormat="1">
      <c r="A11" s="4190"/>
      <c r="B11" s="3253" t="s">
        <v>3131</v>
      </c>
      <c r="C11" s="3254" t="s">
        <v>3125</v>
      </c>
      <c r="D11" s="3278" t="s">
        <v>3142</v>
      </c>
      <c r="E11" s="3277">
        <v>229.13</v>
      </c>
      <c r="F11" s="3320">
        <f>85.65+96.89+46.54</f>
        <v>229.08</v>
      </c>
      <c r="G11" s="3257" t="s">
        <v>3133</v>
      </c>
      <c r="H11" s="3257" t="s">
        <v>3134</v>
      </c>
      <c r="I11" s="3334">
        <v>3.75</v>
      </c>
      <c r="J11" s="3269">
        <f>(3.85-3.75)/3.75</f>
        <v>2.6666666666666689E-2</v>
      </c>
      <c r="K11" s="3259" t="s">
        <v>3143</v>
      </c>
      <c r="L11" s="3260">
        <v>311513.96000000002</v>
      </c>
      <c r="M11" s="3279"/>
    </row>
    <row r="12" spans="1:237" s="3283" customFormat="1">
      <c r="A12" s="4191"/>
      <c r="B12" s="4193" t="s">
        <v>54</v>
      </c>
      <c r="C12" s="4193"/>
      <c r="D12" s="4193"/>
      <c r="E12" s="3280">
        <f>SUM(E7:E11)</f>
        <v>1033.21</v>
      </c>
      <c r="F12" s="3318">
        <f>SUM(F7:F11)</f>
        <v>965.76</v>
      </c>
      <c r="G12" s="3263" t="s">
        <v>563</v>
      </c>
      <c r="H12" s="3263" t="s">
        <v>563</v>
      </c>
      <c r="I12" s="3333" t="s">
        <v>563</v>
      </c>
      <c r="J12" s="3263" t="s">
        <v>563</v>
      </c>
      <c r="K12" s="3263" t="s">
        <v>563</v>
      </c>
      <c r="L12" s="3281">
        <v>1411540.3725000001</v>
      </c>
      <c r="M12" s="3282"/>
    </row>
    <row r="13" spans="1:237" s="3272" customFormat="1" ht="24">
      <c r="A13" s="4190" t="s">
        <v>3144</v>
      </c>
      <c r="B13" s="3253" t="s">
        <v>3131</v>
      </c>
      <c r="C13" s="3254" t="s">
        <v>3145</v>
      </c>
      <c r="D13" s="3284" t="s">
        <v>3146</v>
      </c>
      <c r="E13" s="3274">
        <f>88.45+58.16+96.89+96.89+80.88</f>
        <v>421.27</v>
      </c>
      <c r="F13" s="3320">
        <f>66.59+58.16+96.89+96.89+80.88</f>
        <v>399.40999999999997</v>
      </c>
      <c r="G13" s="3257" t="s">
        <v>3133</v>
      </c>
      <c r="H13" s="3257" t="s">
        <v>3134</v>
      </c>
      <c r="I13" s="3334">
        <v>3.75</v>
      </c>
      <c r="J13" s="3269">
        <f>(3.85-3.75)/3.75</f>
        <v>2.6666666666666689E-2</v>
      </c>
      <c r="K13" s="3270" t="s">
        <v>3135</v>
      </c>
      <c r="L13" s="3260">
        <v>580404.1</v>
      </c>
      <c r="M13" s="3271"/>
    </row>
    <row r="14" spans="1:237" s="3272" customFormat="1">
      <c r="A14" s="4190"/>
      <c r="B14" s="3285" t="s">
        <v>3147</v>
      </c>
      <c r="C14" s="3254" t="s">
        <v>3125</v>
      </c>
      <c r="D14" s="3255" t="s">
        <v>3148</v>
      </c>
      <c r="E14" s="3274">
        <v>176.9</v>
      </c>
      <c r="F14" s="3320">
        <f>88.45+88.45</f>
        <v>176.9</v>
      </c>
      <c r="G14" s="3257" t="s">
        <v>3133</v>
      </c>
      <c r="H14" s="3257" t="s">
        <v>3149</v>
      </c>
      <c r="I14" s="3334">
        <v>4.75</v>
      </c>
      <c r="J14" s="3275"/>
      <c r="K14" s="3259" t="s">
        <v>3150</v>
      </c>
      <c r="L14" s="3260">
        <v>414609.82500000001</v>
      </c>
      <c r="M14" s="3279"/>
    </row>
    <row r="15" spans="1:237" s="3272" customFormat="1">
      <c r="A15" s="4190"/>
      <c r="B15" s="3285" t="s">
        <v>3151</v>
      </c>
      <c r="C15" s="3254" t="s">
        <v>3125</v>
      </c>
      <c r="D15" s="3255">
        <v>304</v>
      </c>
      <c r="E15" s="3274">
        <v>38</v>
      </c>
      <c r="F15" s="3320">
        <v>58.44</v>
      </c>
      <c r="G15" s="3257" t="s">
        <v>3133</v>
      </c>
      <c r="H15" s="3257" t="s">
        <v>3134</v>
      </c>
      <c r="I15" s="3334">
        <v>4.75</v>
      </c>
      <c r="J15" s="3275"/>
      <c r="K15" s="3259" t="s">
        <v>3152</v>
      </c>
      <c r="L15" s="3260">
        <v>70974.5</v>
      </c>
      <c r="M15" s="3271"/>
    </row>
    <row r="16" spans="1:237" s="3272" customFormat="1">
      <c r="A16" s="4190"/>
      <c r="B16" s="3273" t="s">
        <v>3131</v>
      </c>
      <c r="C16" s="3254" t="s">
        <v>3125</v>
      </c>
      <c r="D16" s="3255">
        <v>307</v>
      </c>
      <c r="E16" s="3274">
        <v>73.45</v>
      </c>
      <c r="F16" s="3320">
        <v>73.45</v>
      </c>
      <c r="G16" s="3257" t="s">
        <v>3133</v>
      </c>
      <c r="H16" s="3257" t="s">
        <v>3134</v>
      </c>
      <c r="I16" s="3334">
        <v>3.75</v>
      </c>
      <c r="J16" s="3269">
        <f>(3.85-3.75)/3.75</f>
        <v>2.6666666666666689E-2</v>
      </c>
      <c r="K16" s="3259" t="s">
        <v>3153</v>
      </c>
      <c r="L16" s="3260">
        <v>101137.48</v>
      </c>
      <c r="M16" s="3271"/>
    </row>
    <row r="17" spans="1:13">
      <c r="A17" s="4190"/>
      <c r="B17" s="3273" t="s">
        <v>3154</v>
      </c>
      <c r="C17" s="3254"/>
      <c r="D17" s="3255" t="s">
        <v>3155</v>
      </c>
      <c r="E17" s="3274">
        <v>13</v>
      </c>
      <c r="F17" s="3320"/>
      <c r="G17" s="3257" t="s">
        <v>3127</v>
      </c>
      <c r="H17" s="3257" t="s">
        <v>3156</v>
      </c>
      <c r="I17" s="3334">
        <v>5.25</v>
      </c>
      <c r="J17" s="3275"/>
      <c r="K17" s="3259" t="s">
        <v>3157</v>
      </c>
      <c r="L17" s="3260">
        <v>27283.75</v>
      </c>
      <c r="M17" s="3271"/>
    </row>
    <row r="18" spans="1:13">
      <c r="A18" s="4190"/>
      <c r="B18" s="3273" t="s">
        <v>3131</v>
      </c>
      <c r="C18" s="3254" t="s">
        <v>3125</v>
      </c>
      <c r="D18" s="3276" t="s">
        <v>3158</v>
      </c>
      <c r="E18" s="3277">
        <v>387.56</v>
      </c>
      <c r="F18" s="3320">
        <f>96.89*4</f>
        <v>387.56</v>
      </c>
      <c r="G18" s="3257" t="s">
        <v>3133</v>
      </c>
      <c r="H18" s="3257" t="s">
        <v>3134</v>
      </c>
      <c r="I18" s="3334">
        <v>3.75</v>
      </c>
      <c r="J18" s="3269">
        <f>(3.85-3.75)/3.75</f>
        <v>2.6666666666666689E-2</v>
      </c>
      <c r="K18" s="3259" t="s">
        <v>3159</v>
      </c>
      <c r="L18" s="3260">
        <v>533689.82999999996</v>
      </c>
      <c r="M18" s="3271"/>
    </row>
    <row r="19" spans="1:13">
      <c r="A19" s="4190"/>
      <c r="B19" s="3273" t="s">
        <v>3131</v>
      </c>
      <c r="C19" s="3254" t="s">
        <v>3125</v>
      </c>
      <c r="D19" s="3255">
        <v>321</v>
      </c>
      <c r="E19" s="3274">
        <v>89.51</v>
      </c>
      <c r="F19" s="3320">
        <v>76.17</v>
      </c>
      <c r="G19" s="3257" t="s">
        <v>3133</v>
      </c>
      <c r="H19" s="3257" t="s">
        <v>3134</v>
      </c>
      <c r="I19" s="3334">
        <v>3.75</v>
      </c>
      <c r="J19" s="3269">
        <f>(3.85-3.75)/3.75</f>
        <v>2.6666666666666689E-2</v>
      </c>
      <c r="K19" s="3259" t="s">
        <v>3160</v>
      </c>
      <c r="L19" s="3260">
        <v>120860.15</v>
      </c>
      <c r="M19" s="3271"/>
    </row>
    <row r="20" spans="1:13">
      <c r="A20" s="4190"/>
      <c r="B20" s="3285" t="s">
        <v>3161</v>
      </c>
      <c r="C20" s="3254" t="s">
        <v>3125</v>
      </c>
      <c r="D20" s="3255">
        <v>323</v>
      </c>
      <c r="E20" s="3274">
        <v>74.31</v>
      </c>
      <c r="F20" s="3320">
        <v>74.31</v>
      </c>
      <c r="G20" s="3257" t="s">
        <v>3133</v>
      </c>
      <c r="H20" s="3257" t="s">
        <v>3134</v>
      </c>
      <c r="I20" s="3334">
        <v>4.55</v>
      </c>
      <c r="J20" s="3275"/>
      <c r="K20" s="3286"/>
      <c r="L20" s="3260">
        <v>235376.78750000001</v>
      </c>
      <c r="M20" s="3279"/>
    </row>
    <row r="21" spans="1:13" ht="24.75" customHeight="1">
      <c r="A21" s="4190"/>
      <c r="B21" s="3287" t="s">
        <v>3147</v>
      </c>
      <c r="C21" s="3287" t="s">
        <v>3162</v>
      </c>
      <c r="D21" s="3255">
        <v>326</v>
      </c>
      <c r="E21" s="3274">
        <v>58</v>
      </c>
      <c r="F21" s="3320">
        <v>57.32</v>
      </c>
      <c r="G21" s="3257" t="s">
        <v>3133</v>
      </c>
      <c r="H21" s="3257" t="s">
        <v>3163</v>
      </c>
      <c r="I21" s="3334">
        <v>4.6500000000000004</v>
      </c>
      <c r="J21" s="3275"/>
      <c r="K21" s="3259" t="s">
        <v>3164</v>
      </c>
      <c r="L21" s="3260">
        <v>104217.3</v>
      </c>
      <c r="M21" s="3271"/>
    </row>
    <row r="22" spans="1:13" ht="22.5" customHeight="1">
      <c r="A22" s="4190"/>
      <c r="B22" s="3273" t="s">
        <v>3165</v>
      </c>
      <c r="C22" s="3287" t="s">
        <v>3166</v>
      </c>
      <c r="D22" s="3255">
        <v>329</v>
      </c>
      <c r="E22" s="3274">
        <v>80.88</v>
      </c>
      <c r="F22" s="3320">
        <v>80.900000000000006</v>
      </c>
      <c r="G22" s="3257" t="s">
        <v>3133</v>
      </c>
      <c r="H22" s="3257" t="s">
        <v>3138</v>
      </c>
      <c r="I22" s="3334">
        <v>4.75</v>
      </c>
      <c r="J22" s="3275"/>
      <c r="K22" s="3259" t="s">
        <v>3167</v>
      </c>
      <c r="L22" s="3260">
        <v>336278.82</v>
      </c>
      <c r="M22" s="3271"/>
    </row>
    <row r="23" spans="1:13" s="3283" customFormat="1">
      <c r="A23" s="4191"/>
      <c r="B23" s="4193" t="s">
        <v>54</v>
      </c>
      <c r="C23" s="4193"/>
      <c r="D23" s="4193"/>
      <c r="E23" s="3262">
        <f>SUM(E13:E22)</f>
        <v>1412.88</v>
      </c>
      <c r="F23" s="3318">
        <f>SUM(F13:F22)</f>
        <v>1384.46</v>
      </c>
      <c r="G23" s="3263" t="s">
        <v>563</v>
      </c>
      <c r="H23" s="3263" t="s">
        <v>563</v>
      </c>
      <c r="I23" s="3333" t="s">
        <v>563</v>
      </c>
      <c r="J23" s="3263" t="s">
        <v>563</v>
      </c>
      <c r="K23" s="3263" t="s">
        <v>563</v>
      </c>
      <c r="L23" s="3281">
        <v>2524832.5424999995</v>
      </c>
      <c r="M23" s="3282"/>
    </row>
    <row r="24" spans="1:13">
      <c r="A24" s="4214" t="s">
        <v>3168</v>
      </c>
      <c r="B24" s="3273" t="s">
        <v>3169</v>
      </c>
      <c r="C24" s="3254" t="s">
        <v>3125</v>
      </c>
      <c r="D24" s="3255">
        <v>401</v>
      </c>
      <c r="E24" s="3274">
        <v>66.59</v>
      </c>
      <c r="F24" s="3320">
        <v>66.59</v>
      </c>
      <c r="G24" s="3257" t="s">
        <v>3133</v>
      </c>
      <c r="H24" s="3257" t="s">
        <v>3163</v>
      </c>
      <c r="I24" s="3334">
        <v>3.65</v>
      </c>
      <c r="J24" s="3275"/>
      <c r="K24" s="3259" t="s">
        <v>3170</v>
      </c>
      <c r="L24" s="3260">
        <v>108317.99</v>
      </c>
      <c r="M24" s="3271"/>
    </row>
    <row r="25" spans="1:13" ht="17.100000000000001" customHeight="1">
      <c r="A25" s="4215"/>
      <c r="B25" s="3273" t="s">
        <v>3131</v>
      </c>
      <c r="C25" s="3285" t="s">
        <v>3171</v>
      </c>
      <c r="D25" s="3284" t="s">
        <v>3172</v>
      </c>
      <c r="E25" s="3274">
        <v>413.87</v>
      </c>
      <c r="F25" s="3320">
        <f>58.16+26.82+142.6+92.89+92.89+2.59</f>
        <v>415.94999999999993</v>
      </c>
      <c r="G25" s="3257" t="s">
        <v>3133</v>
      </c>
      <c r="H25" s="3257" t="s">
        <v>3134</v>
      </c>
      <c r="I25" s="3334">
        <v>3.75</v>
      </c>
      <c r="J25" s="3269">
        <f>(3.85-3.75)/3.75</f>
        <v>2.6666666666666689E-2</v>
      </c>
      <c r="K25" s="3259" t="s">
        <v>3173</v>
      </c>
      <c r="L25" s="3260">
        <v>570084.57999999996</v>
      </c>
      <c r="M25" s="3279"/>
    </row>
    <row r="26" spans="1:13">
      <c r="A26" s="4215"/>
      <c r="B26" s="3285" t="s">
        <v>3174</v>
      </c>
      <c r="C26" s="3254" t="s">
        <v>3125</v>
      </c>
      <c r="D26" s="3255">
        <v>404</v>
      </c>
      <c r="E26" s="3274">
        <v>58.44</v>
      </c>
      <c r="F26" s="3320">
        <v>58.44</v>
      </c>
      <c r="G26" s="3257" t="s">
        <v>3175</v>
      </c>
      <c r="H26" s="3257" t="s">
        <v>3138</v>
      </c>
      <c r="I26" s="3334">
        <v>4.8499999999999996</v>
      </c>
      <c r="J26" s="3275"/>
      <c r="K26" s="3259" t="s">
        <v>3150</v>
      </c>
      <c r="L26" s="3260">
        <v>111985.65</v>
      </c>
      <c r="M26" s="3271"/>
    </row>
    <row r="27" spans="1:13" ht="15">
      <c r="A27" s="4215"/>
      <c r="B27" s="3273" t="s">
        <v>3176</v>
      </c>
      <c r="C27" s="3254" t="s">
        <v>3125</v>
      </c>
      <c r="D27" s="3255">
        <v>409</v>
      </c>
      <c r="E27" s="3274">
        <v>96.89</v>
      </c>
      <c r="F27" s="3321">
        <v>96.89</v>
      </c>
      <c r="G27" s="3257" t="s">
        <v>3133</v>
      </c>
      <c r="H27" s="3257" t="s">
        <v>3138</v>
      </c>
      <c r="I27" s="3334">
        <v>4.75</v>
      </c>
      <c r="J27" s="3275"/>
      <c r="K27" s="3259" t="s">
        <v>3177</v>
      </c>
      <c r="L27" s="3260">
        <v>185665.46249999999</v>
      </c>
      <c r="M27" s="3271"/>
    </row>
    <row r="28" spans="1:13">
      <c r="A28" s="4215"/>
      <c r="B28" s="4216" t="s">
        <v>3131</v>
      </c>
      <c r="C28" s="4217" t="s">
        <v>3178</v>
      </c>
      <c r="D28" s="4219" t="s">
        <v>3179</v>
      </c>
      <c r="E28" s="4220">
        <v>116.37</v>
      </c>
      <c r="F28" s="3343">
        <f>19.48</f>
        <v>19.48</v>
      </c>
      <c r="G28" s="3344" t="s">
        <v>3133</v>
      </c>
      <c r="H28" s="3344" t="s">
        <v>3134</v>
      </c>
      <c r="I28" s="4221">
        <v>3.75</v>
      </c>
      <c r="J28" s="4222">
        <v>2.6666666666666689E-2</v>
      </c>
      <c r="K28" s="4224" t="s">
        <v>3180</v>
      </c>
      <c r="L28" s="4226">
        <v>160329.04999999999</v>
      </c>
      <c r="M28" s="4200"/>
    </row>
    <row r="29" spans="1:13">
      <c r="A29" s="4215"/>
      <c r="B29" s="4216"/>
      <c r="C29" s="4218"/>
      <c r="D29" s="4219"/>
      <c r="E29" s="4220"/>
      <c r="F29" s="3343">
        <f>96.89</f>
        <v>96.89</v>
      </c>
      <c r="G29" s="3344" t="s">
        <v>3133</v>
      </c>
      <c r="H29" s="3344" t="s">
        <v>3134</v>
      </c>
      <c r="I29" s="4221"/>
      <c r="J29" s="4223"/>
      <c r="K29" s="4225"/>
      <c r="L29" s="4226"/>
      <c r="M29" s="4201"/>
    </row>
    <row r="30" spans="1:13" ht="14.25" customHeight="1">
      <c r="A30" s="4215"/>
      <c r="B30" s="3448" t="s">
        <v>3181</v>
      </c>
      <c r="C30" s="3449" t="s">
        <v>3178</v>
      </c>
      <c r="D30" s="3450" t="s">
        <v>3251</v>
      </c>
      <c r="E30" s="3343">
        <f>96.89+50.35</f>
        <v>147.24</v>
      </c>
      <c r="F30" s="3343">
        <f>96.89+50.35</f>
        <v>147.24</v>
      </c>
      <c r="G30" s="3451" t="s">
        <v>3133</v>
      </c>
      <c r="H30" s="3451" t="s">
        <v>3138</v>
      </c>
      <c r="I30" s="3452">
        <v>4.75</v>
      </c>
      <c r="J30" s="3453">
        <f>(5.05-4.75)/4.75</f>
        <v>6.3157894736842066E-2</v>
      </c>
      <c r="K30" s="3454" t="s">
        <v>3182</v>
      </c>
      <c r="L30" s="3260">
        <v>267379.93</v>
      </c>
      <c r="M30" s="3271"/>
    </row>
    <row r="31" spans="1:13">
      <c r="A31" s="4215"/>
      <c r="B31" s="3352" t="s">
        <v>3147</v>
      </c>
      <c r="C31" s="3348" t="s">
        <v>3178</v>
      </c>
      <c r="D31" s="3353">
        <v>419</v>
      </c>
      <c r="E31" s="3320">
        <v>96.89</v>
      </c>
      <c r="F31" s="3320">
        <v>96.89</v>
      </c>
      <c r="G31" s="3349" t="s">
        <v>3175</v>
      </c>
      <c r="H31" s="3349" t="s">
        <v>3149</v>
      </c>
      <c r="I31" s="3334">
        <v>4.3499999999999996</v>
      </c>
      <c r="J31" s="3350">
        <f>(4.45-4.35)/4.35</f>
        <v>2.2988505747126561E-2</v>
      </c>
      <c r="K31" s="3351" t="s">
        <v>3183</v>
      </c>
      <c r="L31" s="3260">
        <v>152596.23000000001</v>
      </c>
      <c r="M31" s="3279"/>
    </row>
    <row r="32" spans="1:13">
      <c r="A32" s="4215"/>
      <c r="B32" s="3354" t="s">
        <v>3184</v>
      </c>
      <c r="C32" s="3348" t="s">
        <v>3178</v>
      </c>
      <c r="D32" s="3355">
        <v>421</v>
      </c>
      <c r="E32" s="3320">
        <f>85.39-9.22+8.85</f>
        <v>85.02</v>
      </c>
      <c r="F32" s="3320">
        <v>76.17</v>
      </c>
      <c r="G32" s="3349" t="s">
        <v>3133</v>
      </c>
      <c r="H32" s="3349" t="s">
        <v>3163</v>
      </c>
      <c r="I32" s="3334">
        <v>4.75</v>
      </c>
      <c r="J32" s="3334"/>
      <c r="K32" s="3351" t="s">
        <v>3185</v>
      </c>
      <c r="L32" s="3260">
        <v>159264.14499999999</v>
      </c>
      <c r="M32" s="3253"/>
    </row>
    <row r="33" spans="1:13">
      <c r="A33" s="4215"/>
      <c r="B33" s="3354" t="s">
        <v>3186</v>
      </c>
      <c r="C33" s="3354" t="s">
        <v>3187</v>
      </c>
      <c r="D33" s="3355">
        <v>423</v>
      </c>
      <c r="E33" s="3320">
        <v>74.31</v>
      </c>
      <c r="F33" s="3320">
        <v>74.31</v>
      </c>
      <c r="G33" s="3349" t="s">
        <v>3133</v>
      </c>
      <c r="H33" s="3349" t="s">
        <v>3138</v>
      </c>
      <c r="I33" s="3334">
        <v>4.75</v>
      </c>
      <c r="J33" s="3334"/>
      <c r="K33" s="3351" t="s">
        <v>3188</v>
      </c>
      <c r="L33" s="3260">
        <v>138978.04749999999</v>
      </c>
      <c r="M33" s="3279"/>
    </row>
    <row r="34" spans="1:13" ht="15">
      <c r="A34" s="4215"/>
      <c r="B34" s="3356" t="s">
        <v>3169</v>
      </c>
      <c r="C34" s="3348" t="s">
        <v>3178</v>
      </c>
      <c r="D34" s="3357" t="s">
        <v>3252</v>
      </c>
      <c r="E34" s="3358">
        <f>63.6+87.18</f>
        <v>150.78</v>
      </c>
      <c r="F34" s="3321">
        <f>57.3+80.88</f>
        <v>138.18</v>
      </c>
      <c r="G34" s="3359" t="s">
        <v>3189</v>
      </c>
      <c r="H34" s="3359" t="s">
        <v>3190</v>
      </c>
      <c r="I34" s="3334">
        <v>3.65</v>
      </c>
      <c r="J34" s="3334"/>
      <c r="K34" s="3351" t="s">
        <v>3191</v>
      </c>
      <c r="L34" s="3260">
        <v>288932.17499999999</v>
      </c>
      <c r="M34" s="3292"/>
    </row>
    <row r="35" spans="1:13" s="3283" customFormat="1">
      <c r="A35" s="4199"/>
      <c r="B35" s="4193" t="s">
        <v>54</v>
      </c>
      <c r="C35" s="4193"/>
      <c r="D35" s="4193"/>
      <c r="E35" s="3293">
        <f>SUM(E24:E34)</f>
        <v>1306.4000000000001</v>
      </c>
      <c r="F35" s="3322">
        <f>SUM(F24:F34)</f>
        <v>1287.03</v>
      </c>
      <c r="G35" s="3263" t="s">
        <v>563</v>
      </c>
      <c r="H35" s="3263" t="s">
        <v>563</v>
      </c>
      <c r="I35" s="3333" t="s">
        <v>563</v>
      </c>
      <c r="J35" s="3263" t="s">
        <v>563</v>
      </c>
      <c r="K35" s="3263" t="s">
        <v>563</v>
      </c>
      <c r="L35" s="3281">
        <v>2143533.2599999998</v>
      </c>
      <c r="M35" s="3282"/>
    </row>
    <row r="36" spans="1:13">
      <c r="A36" s="4190"/>
      <c r="B36" s="3285" t="s">
        <v>3192</v>
      </c>
      <c r="C36" s="3288" t="s">
        <v>3178</v>
      </c>
      <c r="D36" s="3255">
        <v>509</v>
      </c>
      <c r="E36" s="3274">
        <v>96.89</v>
      </c>
      <c r="F36" s="3320">
        <v>96.62</v>
      </c>
      <c r="G36" s="3294" t="s">
        <v>3175</v>
      </c>
      <c r="H36" s="3294" t="s">
        <v>3163</v>
      </c>
      <c r="I36" s="3334">
        <v>4.6500000000000004</v>
      </c>
      <c r="J36" s="3275"/>
      <c r="K36" s="3286" t="s">
        <v>3193</v>
      </c>
      <c r="L36" s="3260">
        <v>174155.22750000001</v>
      </c>
      <c r="M36" s="3279"/>
    </row>
    <row r="37" spans="1:13">
      <c r="A37" s="4190"/>
      <c r="B37" s="3273" t="s">
        <v>3131</v>
      </c>
      <c r="C37" s="3288" t="s">
        <v>3178</v>
      </c>
      <c r="D37" s="3255" t="s">
        <v>3194</v>
      </c>
      <c r="E37" s="3274">
        <v>84.68</v>
      </c>
      <c r="F37" s="3320">
        <f>46.17+36.57</f>
        <v>82.740000000000009</v>
      </c>
      <c r="G37" s="3257" t="s">
        <v>3133</v>
      </c>
      <c r="H37" s="3257" t="s">
        <v>3134</v>
      </c>
      <c r="I37" s="3334">
        <v>3.75</v>
      </c>
      <c r="J37" s="3269">
        <f>(3.85-3.75)/3.75</f>
        <v>2.6666666666666689E-2</v>
      </c>
      <c r="K37" s="3270" t="s">
        <v>3195</v>
      </c>
      <c r="L37" s="3260">
        <v>116668.05</v>
      </c>
      <c r="M37" s="3271"/>
    </row>
    <row r="38" spans="1:13">
      <c r="A38" s="4190"/>
      <c r="B38" s="3339" t="s">
        <v>3196</v>
      </c>
      <c r="C38" s="3340" t="s">
        <v>3178</v>
      </c>
      <c r="D38" s="3341">
        <v>512</v>
      </c>
      <c r="E38" s="3342">
        <v>105.65</v>
      </c>
      <c r="F38" s="3343">
        <f>142.22-36.57</f>
        <v>105.65</v>
      </c>
      <c r="G38" s="3294" t="s">
        <v>3175</v>
      </c>
      <c r="H38" s="3344" t="s">
        <v>3163</v>
      </c>
      <c r="I38" s="3345">
        <v>4.8499999999999996</v>
      </c>
      <c r="J38" s="3346"/>
      <c r="K38" s="3347" t="s">
        <v>3193</v>
      </c>
      <c r="L38" s="3260">
        <v>194083.83749999997</v>
      </c>
      <c r="M38" s="3271"/>
    </row>
    <row r="39" spans="1:13" ht="14.25" customHeight="1">
      <c r="A39" s="4190"/>
      <c r="B39" s="3273" t="s">
        <v>3197</v>
      </c>
      <c r="C39" s="3288" t="s">
        <v>3178</v>
      </c>
      <c r="D39" s="3284" t="s">
        <v>3198</v>
      </c>
      <c r="E39" s="3291">
        <v>66.62</v>
      </c>
      <c r="F39" s="4202">
        <v>96.62</v>
      </c>
      <c r="G39" s="3294" t="s">
        <v>3175</v>
      </c>
      <c r="H39" s="3294" t="s">
        <v>3199</v>
      </c>
      <c r="I39" s="3334">
        <v>4.3499999999999996</v>
      </c>
      <c r="J39" s="3275"/>
      <c r="K39" s="3259" t="s">
        <v>3200</v>
      </c>
      <c r="L39" s="3260">
        <v>117288.36</v>
      </c>
      <c r="M39" s="3279"/>
    </row>
    <row r="40" spans="1:13" ht="14.25" customHeight="1">
      <c r="A40" s="4190"/>
      <c r="B40" s="3273" t="s">
        <v>3201</v>
      </c>
      <c r="C40" s="3288" t="s">
        <v>3178</v>
      </c>
      <c r="D40" s="3284" t="s">
        <v>3202</v>
      </c>
      <c r="E40" s="3291">
        <v>30</v>
      </c>
      <c r="F40" s="4202"/>
      <c r="G40" s="3294" t="s">
        <v>3175</v>
      </c>
      <c r="H40" s="3294" t="s">
        <v>3199</v>
      </c>
      <c r="I40" s="3334">
        <v>4.3499999999999996</v>
      </c>
      <c r="J40" s="3275"/>
      <c r="K40" s="3259" t="s">
        <v>3200</v>
      </c>
      <c r="L40" s="3260">
        <v>52816.5</v>
      </c>
      <c r="M40" s="3279"/>
    </row>
    <row r="41" spans="1:13">
      <c r="A41" s="4190"/>
      <c r="B41" s="4203" t="s">
        <v>3203</v>
      </c>
      <c r="C41" s="4204" t="s">
        <v>3178</v>
      </c>
      <c r="D41" s="4206" t="s">
        <v>3204</v>
      </c>
      <c r="E41" s="3455">
        <v>96.62</v>
      </c>
      <c r="F41" s="3456">
        <v>96.62</v>
      </c>
      <c r="G41" s="4207" t="s">
        <v>3133</v>
      </c>
      <c r="H41" s="4207" t="s">
        <v>3134</v>
      </c>
      <c r="I41" s="4209">
        <v>4.8499999999999996</v>
      </c>
      <c r="J41" s="4210"/>
      <c r="K41" s="4212" t="s">
        <v>3205</v>
      </c>
      <c r="L41" s="4213">
        <v>555444.22500000009</v>
      </c>
      <c r="M41" s="4200"/>
    </row>
    <row r="42" spans="1:13">
      <c r="A42" s="4190"/>
      <c r="B42" s="4203"/>
      <c r="C42" s="4205"/>
      <c r="D42" s="4206"/>
      <c r="E42" s="3338">
        <v>193.24</v>
      </c>
      <c r="F42" s="3338">
        <f>96.62+96.62</f>
        <v>193.24</v>
      </c>
      <c r="G42" s="4208"/>
      <c r="H42" s="4208"/>
      <c r="I42" s="4209"/>
      <c r="J42" s="4211"/>
      <c r="K42" s="4212"/>
      <c r="L42" s="4213"/>
      <c r="M42" s="4201"/>
    </row>
    <row r="43" spans="1:13" s="3283" customFormat="1">
      <c r="A43" s="4191"/>
      <c r="B43" s="4193" t="s">
        <v>54</v>
      </c>
      <c r="C43" s="4193"/>
      <c r="D43" s="4193"/>
      <c r="E43" s="3262">
        <f>SUM(E36:E42)</f>
        <v>673.7</v>
      </c>
      <c r="F43" s="3318">
        <f>SUM(F36:F42)</f>
        <v>671.49</v>
      </c>
      <c r="G43" s="3263" t="s">
        <v>563</v>
      </c>
      <c r="H43" s="3263" t="s">
        <v>563</v>
      </c>
      <c r="I43" s="3333" t="s">
        <v>563</v>
      </c>
      <c r="J43" s="3263" t="s">
        <v>563</v>
      </c>
      <c r="K43" s="3263" t="s">
        <v>563</v>
      </c>
      <c r="L43" s="3281">
        <v>1210456.2</v>
      </c>
      <c r="M43" s="3282"/>
    </row>
    <row r="44" spans="1:13">
      <c r="A44" s="4190" t="s">
        <v>3206</v>
      </c>
      <c r="B44" s="4192" t="s">
        <v>3147</v>
      </c>
      <c r="C44" s="3290"/>
      <c r="D44" s="3278" t="s">
        <v>3207</v>
      </c>
      <c r="E44" s="3277">
        <v>156.66999999999999</v>
      </c>
      <c r="F44" s="3320"/>
      <c r="G44" s="3294" t="s">
        <v>3175</v>
      </c>
      <c r="H44" s="3294" t="s">
        <v>3149</v>
      </c>
      <c r="I44" s="3334">
        <v>4.5</v>
      </c>
      <c r="J44" s="3289">
        <f>(4.6-4.5)/4.5</f>
        <v>2.2222222222222143E-2</v>
      </c>
      <c r="K44" s="3259" t="s">
        <v>3208</v>
      </c>
      <c r="L44" s="3260">
        <v>256548.8</v>
      </c>
      <c r="M44" s="3253"/>
    </row>
    <row r="45" spans="1:13">
      <c r="A45" s="4190"/>
      <c r="B45" s="4192"/>
      <c r="C45" s="3290"/>
      <c r="D45" s="3278">
        <v>3702</v>
      </c>
      <c r="E45" s="3277">
        <v>50</v>
      </c>
      <c r="F45" s="3320"/>
      <c r="G45" s="3294" t="s">
        <v>3175</v>
      </c>
      <c r="H45" s="3294" t="s">
        <v>3149</v>
      </c>
      <c r="I45" s="3334">
        <v>4.5</v>
      </c>
      <c r="J45" s="3289">
        <f t="shared" ref="J45:J67" si="0">(4.6-4.5)/4.5</f>
        <v>2.2222222222222143E-2</v>
      </c>
      <c r="K45" s="3259" t="s">
        <v>3209</v>
      </c>
      <c r="L45" s="3260">
        <v>81795</v>
      </c>
      <c r="M45" s="3253"/>
    </row>
    <row r="46" spans="1:13">
      <c r="A46" s="4190"/>
      <c r="B46" s="4192"/>
      <c r="C46" s="3290"/>
      <c r="D46" s="3278">
        <v>3703</v>
      </c>
      <c r="E46" s="3277">
        <v>68</v>
      </c>
      <c r="F46" s="3320"/>
      <c r="G46" s="3294" t="s">
        <v>3175</v>
      </c>
      <c r="H46" s="3294" t="s">
        <v>3149</v>
      </c>
      <c r="I46" s="3334">
        <v>4.5</v>
      </c>
      <c r="J46" s="3289">
        <f t="shared" si="0"/>
        <v>2.2222222222222143E-2</v>
      </c>
      <c r="K46" s="3259" t="s">
        <v>3210</v>
      </c>
      <c r="L46" s="3260">
        <v>112111.6</v>
      </c>
      <c r="M46" s="3271"/>
    </row>
    <row r="47" spans="1:13">
      <c r="A47" s="4190"/>
      <c r="B47" s="4192"/>
      <c r="C47" s="3290"/>
      <c r="D47" s="3278">
        <v>3705</v>
      </c>
      <c r="E47" s="3277">
        <v>65</v>
      </c>
      <c r="F47" s="3320"/>
      <c r="G47" s="3294" t="s">
        <v>3175</v>
      </c>
      <c r="H47" s="3294" t="s">
        <v>3149</v>
      </c>
      <c r="I47" s="3334">
        <v>4.5</v>
      </c>
      <c r="J47" s="3289">
        <f t="shared" si="0"/>
        <v>2.2222222222222143E-2</v>
      </c>
      <c r="K47" s="3259" t="s">
        <v>3211</v>
      </c>
      <c r="L47" s="3260">
        <v>107328</v>
      </c>
      <c r="M47" s="3271"/>
    </row>
    <row r="48" spans="1:13">
      <c r="A48" s="4190"/>
      <c r="B48" s="4192"/>
      <c r="C48" s="3290"/>
      <c r="D48" s="3278">
        <v>3707</v>
      </c>
      <c r="E48" s="3277">
        <v>40</v>
      </c>
      <c r="F48" s="3320"/>
      <c r="G48" s="3257" t="s">
        <v>3175</v>
      </c>
      <c r="H48" s="3257" t="s">
        <v>3149</v>
      </c>
      <c r="I48" s="3334">
        <v>4.5</v>
      </c>
      <c r="J48" s="3289">
        <f t="shared" si="0"/>
        <v>2.2222222222222143E-2</v>
      </c>
      <c r="K48" s="3259" t="s">
        <v>3212</v>
      </c>
      <c r="L48" s="3260">
        <v>65280</v>
      </c>
      <c r="M48" s="3279"/>
    </row>
    <row r="49" spans="1:13">
      <c r="A49" s="4190"/>
      <c r="B49" s="4192"/>
      <c r="C49" s="3290"/>
      <c r="D49" s="3278">
        <v>3708</v>
      </c>
      <c r="E49" s="3277">
        <v>94.29</v>
      </c>
      <c r="F49" s="3320"/>
      <c r="G49" s="3257" t="s">
        <v>3175</v>
      </c>
      <c r="H49" s="3257" t="s">
        <v>3149</v>
      </c>
      <c r="I49" s="3334">
        <v>4.5</v>
      </c>
      <c r="J49" s="3289">
        <f t="shared" si="0"/>
        <v>2.2222222222222143E-2</v>
      </c>
      <c r="K49" s="3259" t="s">
        <v>3213</v>
      </c>
      <c r="L49" s="3260">
        <v>155193.43</v>
      </c>
      <c r="M49" s="3271"/>
    </row>
    <row r="50" spans="1:13">
      <c r="A50" s="4190"/>
      <c r="B50" s="3290" t="s">
        <v>3147</v>
      </c>
      <c r="C50" s="3290"/>
      <c r="D50" s="3278">
        <v>3709</v>
      </c>
      <c r="E50" s="3277">
        <v>82.03</v>
      </c>
      <c r="F50" s="3320"/>
      <c r="G50" s="3257" t="s">
        <v>3175</v>
      </c>
      <c r="H50" s="3257" t="s">
        <v>3149</v>
      </c>
      <c r="I50" s="3334">
        <v>4.5</v>
      </c>
      <c r="J50" s="3289">
        <f t="shared" si="0"/>
        <v>2.2222222222222143E-2</v>
      </c>
      <c r="K50" s="3259" t="s">
        <v>3214</v>
      </c>
      <c r="L50" s="3260">
        <v>133323.98000000001</v>
      </c>
      <c r="M50" s="3253"/>
    </row>
    <row r="51" spans="1:13">
      <c r="A51" s="4190"/>
      <c r="B51" s="3290" t="s">
        <v>3147</v>
      </c>
      <c r="C51" s="3290"/>
      <c r="D51" s="3278">
        <v>3710</v>
      </c>
      <c r="E51" s="3277">
        <v>92</v>
      </c>
      <c r="F51" s="3320"/>
      <c r="G51" s="3257" t="s">
        <v>3175</v>
      </c>
      <c r="H51" s="3257" t="s">
        <v>3149</v>
      </c>
      <c r="I51" s="3334">
        <v>4.5</v>
      </c>
      <c r="J51" s="3289">
        <f t="shared" si="0"/>
        <v>2.2222222222222143E-2</v>
      </c>
      <c r="K51" s="3259" t="s">
        <v>3215</v>
      </c>
      <c r="L51" s="3260">
        <v>150006</v>
      </c>
      <c r="M51" s="3253"/>
    </row>
    <row r="52" spans="1:13">
      <c r="A52" s="4190"/>
      <c r="B52" s="3290" t="s">
        <v>3216</v>
      </c>
      <c r="C52" s="3290"/>
      <c r="D52" s="3278">
        <v>3711</v>
      </c>
      <c r="E52" s="3277">
        <v>85.36</v>
      </c>
      <c r="F52" s="3320"/>
      <c r="G52" s="3257" t="s">
        <v>3175</v>
      </c>
      <c r="H52" s="3257" t="s">
        <v>3149</v>
      </c>
      <c r="I52" s="3334">
        <v>4.5</v>
      </c>
      <c r="J52" s="3289">
        <f t="shared" si="0"/>
        <v>2.2222222222222143E-2</v>
      </c>
      <c r="K52" s="3259" t="s">
        <v>3217</v>
      </c>
      <c r="L52" s="3260">
        <v>139819.5</v>
      </c>
      <c r="M52" s="3253"/>
    </row>
    <row r="53" spans="1:13">
      <c r="A53" s="4190"/>
      <c r="B53" s="3290" t="s">
        <v>3216</v>
      </c>
      <c r="C53" s="3290"/>
      <c r="D53" s="3278">
        <v>3713</v>
      </c>
      <c r="E53" s="3277">
        <v>90</v>
      </c>
      <c r="F53" s="3320"/>
      <c r="G53" s="3257" t="s">
        <v>3175</v>
      </c>
      <c r="H53" s="3257" t="s">
        <v>3149</v>
      </c>
      <c r="I53" s="3334">
        <v>4.5</v>
      </c>
      <c r="J53" s="3289">
        <f t="shared" si="0"/>
        <v>2.2222222222222143E-2</v>
      </c>
      <c r="K53" s="3259" t="s">
        <v>3218</v>
      </c>
      <c r="L53" s="3260">
        <v>146295</v>
      </c>
      <c r="M53" s="3253"/>
    </row>
    <row r="54" spans="1:13">
      <c r="A54" s="4190"/>
      <c r="B54" s="3290" t="s">
        <v>3216</v>
      </c>
      <c r="C54" s="3290"/>
      <c r="D54" s="3278">
        <v>3715</v>
      </c>
      <c r="E54" s="3277">
        <v>90</v>
      </c>
      <c r="F54" s="3320"/>
      <c r="G54" s="3257" t="s">
        <v>3175</v>
      </c>
      <c r="H54" s="3257" t="s">
        <v>3149</v>
      </c>
      <c r="I54" s="3334">
        <v>4.5</v>
      </c>
      <c r="J54" s="3289">
        <f t="shared" si="0"/>
        <v>2.2222222222222143E-2</v>
      </c>
      <c r="K54" s="3259" t="s">
        <v>3219</v>
      </c>
      <c r="L54" s="3260">
        <v>147105</v>
      </c>
      <c r="M54" s="3253"/>
    </row>
    <row r="55" spans="1:13">
      <c r="A55" s="4190"/>
      <c r="B55" s="3290" t="s">
        <v>3147</v>
      </c>
      <c r="C55" s="3290"/>
      <c r="D55" s="3278">
        <v>3716</v>
      </c>
      <c r="E55" s="3277">
        <v>91.41</v>
      </c>
      <c r="F55" s="3320"/>
      <c r="G55" s="3257" t="s">
        <v>3175</v>
      </c>
      <c r="H55" s="3257" t="s">
        <v>3149</v>
      </c>
      <c r="I55" s="3334">
        <v>4.5</v>
      </c>
      <c r="J55" s="3289">
        <f t="shared" si="0"/>
        <v>2.2222222222222143E-2</v>
      </c>
      <c r="K55" s="3259" t="s">
        <v>3220</v>
      </c>
      <c r="L55" s="3260">
        <v>149392.45000000001</v>
      </c>
      <c r="M55" s="3253"/>
    </row>
    <row r="56" spans="1:13">
      <c r="A56" s="4190"/>
      <c r="B56" s="3290" t="s">
        <v>3216</v>
      </c>
      <c r="C56" s="3290"/>
      <c r="D56" s="3278">
        <v>3717</v>
      </c>
      <c r="E56" s="3277">
        <v>85</v>
      </c>
      <c r="F56" s="3320"/>
      <c r="G56" s="3257" t="s">
        <v>3175</v>
      </c>
      <c r="H56" s="3257" t="s">
        <v>3149</v>
      </c>
      <c r="I56" s="3334">
        <v>4.5</v>
      </c>
      <c r="J56" s="3289">
        <f t="shared" si="0"/>
        <v>2.2222222222222143E-2</v>
      </c>
      <c r="K56" s="3259" t="s">
        <v>3221</v>
      </c>
      <c r="L56" s="3260">
        <v>139281</v>
      </c>
      <c r="M56" s="3253"/>
    </row>
    <row r="57" spans="1:13">
      <c r="A57" s="4190"/>
      <c r="B57" s="3290" t="s">
        <v>3147</v>
      </c>
      <c r="C57" s="3290"/>
      <c r="D57" s="3295">
        <v>3718</v>
      </c>
      <c r="E57" s="3274">
        <v>38</v>
      </c>
      <c r="F57" s="3320"/>
      <c r="G57" s="3257" t="s">
        <v>3175</v>
      </c>
      <c r="H57" s="3257" t="s">
        <v>3149</v>
      </c>
      <c r="I57" s="3334">
        <v>4.5</v>
      </c>
      <c r="J57" s="3289">
        <f t="shared" si="0"/>
        <v>2.2222222222222143E-2</v>
      </c>
      <c r="K57" s="3259" t="s">
        <v>3143</v>
      </c>
      <c r="L57" s="3260">
        <v>57114</v>
      </c>
      <c r="M57" s="3271"/>
    </row>
    <row r="58" spans="1:13">
      <c r="A58" s="4190"/>
      <c r="B58" s="3290" t="s">
        <v>3216</v>
      </c>
      <c r="C58" s="3290"/>
      <c r="D58" s="3278">
        <v>3719</v>
      </c>
      <c r="E58" s="3277">
        <v>81.45</v>
      </c>
      <c r="F58" s="3320"/>
      <c r="G58" s="3257" t="s">
        <v>3175</v>
      </c>
      <c r="H58" s="3257" t="s">
        <v>3149</v>
      </c>
      <c r="I58" s="3334">
        <v>4.5</v>
      </c>
      <c r="J58" s="3289">
        <f t="shared" si="0"/>
        <v>2.2222222222222143E-2</v>
      </c>
      <c r="K58" s="3259" t="s">
        <v>3222</v>
      </c>
      <c r="L58" s="3260">
        <v>144167.88</v>
      </c>
      <c r="M58" s="3279"/>
    </row>
    <row r="59" spans="1:13">
      <c r="A59" s="4190"/>
      <c r="B59" s="3290" t="s">
        <v>3147</v>
      </c>
      <c r="C59" s="3290"/>
      <c r="D59" s="3278">
        <v>3721</v>
      </c>
      <c r="E59" s="3277">
        <v>71.069999999999993</v>
      </c>
      <c r="F59" s="3320"/>
      <c r="G59" s="3257" t="s">
        <v>3175</v>
      </c>
      <c r="H59" s="3257" t="s">
        <v>3149</v>
      </c>
      <c r="I59" s="3334">
        <v>4.5</v>
      </c>
      <c r="J59" s="3289">
        <f t="shared" si="0"/>
        <v>2.2222222222222143E-2</v>
      </c>
      <c r="K59" s="3259" t="s">
        <v>3222</v>
      </c>
      <c r="L59" s="3260">
        <v>117529.5</v>
      </c>
      <c r="M59" s="3271"/>
    </row>
    <row r="60" spans="1:13">
      <c r="A60" s="4190"/>
      <c r="B60" s="3290" t="s">
        <v>3216</v>
      </c>
      <c r="C60" s="3290"/>
      <c r="D60" s="3278">
        <v>3723</v>
      </c>
      <c r="E60" s="3277">
        <v>74</v>
      </c>
      <c r="F60" s="3320"/>
      <c r="G60" s="3257" t="s">
        <v>3175</v>
      </c>
      <c r="H60" s="3257" t="s">
        <v>3149</v>
      </c>
      <c r="I60" s="3334">
        <v>4.5</v>
      </c>
      <c r="J60" s="3289">
        <f t="shared" si="0"/>
        <v>2.2222222222222143E-2</v>
      </c>
      <c r="K60" s="3259" t="s">
        <v>3223</v>
      </c>
      <c r="L60" s="3260">
        <v>120420.2</v>
      </c>
      <c r="M60" s="3279"/>
    </row>
    <row r="61" spans="1:13" ht="12.95" customHeight="1">
      <c r="A61" s="4190"/>
      <c r="B61" s="4192" t="s">
        <v>3147</v>
      </c>
      <c r="C61" s="3290"/>
      <c r="D61" s="3278" t="s">
        <v>3224</v>
      </c>
      <c r="E61" s="3277">
        <v>143</v>
      </c>
      <c r="F61" s="3320"/>
      <c r="G61" s="3257" t="s">
        <v>3175</v>
      </c>
      <c r="H61" s="3257" t="s">
        <v>3149</v>
      </c>
      <c r="I61" s="3334">
        <v>4.5999999999999996</v>
      </c>
      <c r="J61" s="3289">
        <f t="shared" si="0"/>
        <v>2.2222222222222143E-2</v>
      </c>
      <c r="K61" s="3259" t="s">
        <v>3225</v>
      </c>
      <c r="L61" s="3260">
        <v>237065.4</v>
      </c>
      <c r="M61" s="3271"/>
    </row>
    <row r="62" spans="1:13">
      <c r="A62" s="4190"/>
      <c r="B62" s="4192"/>
      <c r="C62" s="3290"/>
      <c r="D62" s="3278">
        <v>3726</v>
      </c>
      <c r="E62" s="3277">
        <v>54</v>
      </c>
      <c r="F62" s="3320"/>
      <c r="G62" s="3257" t="s">
        <v>3175</v>
      </c>
      <c r="H62" s="3257" t="s">
        <v>3149</v>
      </c>
      <c r="I62" s="3334">
        <v>4.5</v>
      </c>
      <c r="J62" s="3289">
        <f t="shared" si="0"/>
        <v>2.2222222222222143E-2</v>
      </c>
      <c r="K62" s="3259" t="s">
        <v>3226</v>
      </c>
      <c r="L62" s="3260">
        <v>88295.4</v>
      </c>
      <c r="M62" s="3253"/>
    </row>
    <row r="63" spans="1:13">
      <c r="A63" s="4190"/>
      <c r="B63" s="4192"/>
      <c r="C63" s="3290"/>
      <c r="D63" s="3278">
        <v>3728</v>
      </c>
      <c r="E63" s="3277">
        <v>55</v>
      </c>
      <c r="F63" s="3320"/>
      <c r="G63" s="3257" t="s">
        <v>3175</v>
      </c>
      <c r="H63" s="3257" t="s">
        <v>3149</v>
      </c>
      <c r="I63" s="3334">
        <v>4.5</v>
      </c>
      <c r="J63" s="3289">
        <f t="shared" si="0"/>
        <v>2.2222222222222143E-2</v>
      </c>
      <c r="K63" s="3259" t="s">
        <v>3227</v>
      </c>
      <c r="L63" s="3260">
        <v>82621</v>
      </c>
      <c r="M63" s="3253"/>
    </row>
    <row r="64" spans="1:13" s="3283" customFormat="1">
      <c r="A64" s="4191"/>
      <c r="B64" s="4193" t="s">
        <v>54</v>
      </c>
      <c r="C64" s="4193"/>
      <c r="D64" s="4193"/>
      <c r="E64" s="3280">
        <f>SUM(E44:E63)</f>
        <v>1606.28</v>
      </c>
      <c r="F64" s="3318">
        <f>SUM(F44:F63)</f>
        <v>0</v>
      </c>
      <c r="G64" s="3263" t="s">
        <v>563</v>
      </c>
      <c r="H64" s="3263" t="s">
        <v>563</v>
      </c>
      <c r="I64" s="3333" t="s">
        <v>563</v>
      </c>
      <c r="J64" s="3263" t="s">
        <v>563</v>
      </c>
      <c r="K64" s="3263" t="s">
        <v>563</v>
      </c>
      <c r="L64" s="3281">
        <v>2630693.14</v>
      </c>
      <c r="M64" s="3282"/>
    </row>
    <row r="65" spans="1:238" s="3272" customFormat="1" ht="15" customHeight="1">
      <c r="A65" s="4190" t="s">
        <v>3228</v>
      </c>
      <c r="B65" s="4192" t="s">
        <v>3147</v>
      </c>
      <c r="C65" s="3290"/>
      <c r="D65" s="3296" t="s">
        <v>3229</v>
      </c>
      <c r="E65" s="3297">
        <v>344</v>
      </c>
      <c r="F65" s="3323"/>
      <c r="G65" s="3257" t="s">
        <v>3175</v>
      </c>
      <c r="H65" s="3257" t="s">
        <v>3149</v>
      </c>
      <c r="I65" s="3335">
        <v>4.5</v>
      </c>
      <c r="J65" s="3289">
        <f t="shared" si="0"/>
        <v>2.2222222222222143E-2</v>
      </c>
      <c r="K65" s="3259" t="s">
        <v>3230</v>
      </c>
      <c r="L65" s="3260">
        <v>613592.80000000005</v>
      </c>
      <c r="M65" s="3271"/>
    </row>
    <row r="66" spans="1:238" s="3272" customFormat="1" ht="33.950000000000003" customHeight="1">
      <c r="A66" s="4190"/>
      <c r="B66" s="4192"/>
      <c r="C66" s="3290"/>
      <c r="D66" s="3284" t="s">
        <v>3231</v>
      </c>
      <c r="E66" s="3298">
        <v>1170.46</v>
      </c>
      <c r="F66" s="3323"/>
      <c r="G66" s="3257" t="s">
        <v>3175</v>
      </c>
      <c r="H66" s="3257" t="s">
        <v>3149</v>
      </c>
      <c r="I66" s="3334">
        <v>4.5</v>
      </c>
      <c r="J66" s="3289">
        <f t="shared" si="0"/>
        <v>2.2222222222222143E-2</v>
      </c>
      <c r="K66" s="3259" t="s">
        <v>3232</v>
      </c>
      <c r="L66" s="3260">
        <v>1904923.05</v>
      </c>
      <c r="M66" s="3253"/>
    </row>
    <row r="67" spans="1:238" s="3272" customFormat="1">
      <c r="A67" s="4190"/>
      <c r="B67" s="4192"/>
      <c r="C67" s="3290"/>
      <c r="D67" s="3299" t="s">
        <v>3233</v>
      </c>
      <c r="E67" s="3260">
        <v>170</v>
      </c>
      <c r="F67" s="3324"/>
      <c r="G67" s="3257" t="s">
        <v>3175</v>
      </c>
      <c r="H67" s="3257" t="s">
        <v>3149</v>
      </c>
      <c r="I67" s="3334">
        <v>4.5</v>
      </c>
      <c r="J67" s="3289">
        <f t="shared" si="0"/>
        <v>2.2222222222222143E-2</v>
      </c>
      <c r="K67" s="3259" t="s">
        <v>3234</v>
      </c>
      <c r="L67" s="3260">
        <v>278664</v>
      </c>
      <c r="M67" s="3253"/>
    </row>
    <row r="68" spans="1:238" s="3283" customFormat="1" ht="15" customHeight="1">
      <c r="A68" s="4191"/>
      <c r="B68" s="4193" t="s">
        <v>54</v>
      </c>
      <c r="C68" s="4193"/>
      <c r="D68" s="4193"/>
      <c r="E68" s="3300">
        <f>SUM(E65:E67)</f>
        <v>1684.46</v>
      </c>
      <c r="F68" s="3325">
        <f>SUM(F65:F67)</f>
        <v>0</v>
      </c>
      <c r="G68" s="3263" t="s">
        <v>563</v>
      </c>
      <c r="H68" s="3263" t="s">
        <v>563</v>
      </c>
      <c r="I68" s="3333" t="s">
        <v>563</v>
      </c>
      <c r="J68" s="3263" t="s">
        <v>563</v>
      </c>
      <c r="K68" s="3263" t="s">
        <v>563</v>
      </c>
      <c r="L68" s="3281">
        <v>2797179.85</v>
      </c>
      <c r="M68" s="3301"/>
    </row>
    <row r="69" spans="1:238" s="3283" customFormat="1">
      <c r="A69" s="4191" t="s">
        <v>3235</v>
      </c>
      <c r="B69" s="4194"/>
      <c r="C69" s="4194"/>
      <c r="D69" s="4191"/>
      <c r="E69" s="3300">
        <f>E6+E12+E23+E35+E43+E64+E68</f>
        <v>8142.9299999999994</v>
      </c>
      <c r="F69" s="3325">
        <f>F6+F12+F23+F35+F43+F64+F68</f>
        <v>4544.49</v>
      </c>
      <c r="G69" s="3263" t="s">
        <v>563</v>
      </c>
      <c r="H69" s="3263" t="s">
        <v>563</v>
      </c>
      <c r="I69" s="3333" t="s">
        <v>563</v>
      </c>
      <c r="J69" s="3263" t="s">
        <v>563</v>
      </c>
      <c r="K69" s="3263" t="s">
        <v>563</v>
      </c>
      <c r="L69" s="3281">
        <v>14674549.857000001</v>
      </c>
      <c r="M69" s="3282"/>
    </row>
    <row r="70" spans="1:238" s="3272" customFormat="1" ht="15" customHeight="1">
      <c r="A70" s="4195" t="s">
        <v>2942</v>
      </c>
      <c r="B70" s="3302" t="s">
        <v>3236</v>
      </c>
      <c r="C70" s="3302"/>
      <c r="D70" s="3303" t="s">
        <v>3237</v>
      </c>
      <c r="E70" s="3304">
        <f>349.81-83.98</f>
        <v>265.83</v>
      </c>
      <c r="F70" s="3326"/>
      <c r="G70" s="3305"/>
      <c r="H70" s="3306" t="s">
        <v>3138</v>
      </c>
      <c r="I70" s="3336">
        <v>4.18</v>
      </c>
      <c r="J70" s="3307"/>
      <c r="K70" s="3308" t="s">
        <v>3238</v>
      </c>
      <c r="L70" s="3260">
        <v>405577.05</v>
      </c>
      <c r="M70" s="3271"/>
    </row>
    <row r="71" spans="1:238" s="3272" customFormat="1" ht="15" customHeight="1">
      <c r="A71" s="4196"/>
      <c r="B71" s="3302" t="s">
        <v>3239</v>
      </c>
      <c r="D71" s="3303" t="s">
        <v>3240</v>
      </c>
      <c r="E71" s="3304">
        <v>1328</v>
      </c>
      <c r="F71" s="3327"/>
      <c r="G71" s="3306" t="s">
        <v>3175</v>
      </c>
      <c r="H71" s="3306"/>
      <c r="I71" s="3336"/>
      <c r="J71" s="3309">
        <f>(3.676-3.501)/3.501</f>
        <v>4.9985718366181167E-2</v>
      </c>
      <c r="K71" s="3308" t="s">
        <v>3241</v>
      </c>
      <c r="L71" s="3260">
        <v>1697004.72</v>
      </c>
      <c r="M71" s="3271"/>
    </row>
    <row r="72" spans="1:238" s="3272" customFormat="1" ht="15" customHeight="1">
      <c r="A72" s="4196"/>
      <c r="B72" s="3302" t="s">
        <v>3239</v>
      </c>
      <c r="C72" s="3288" t="s">
        <v>3178</v>
      </c>
      <c r="D72" s="3303" t="s">
        <v>3242</v>
      </c>
      <c r="E72" s="3304">
        <v>1573.02</v>
      </c>
      <c r="F72" s="3327">
        <f>466.26+1011.34+55.65+55.93</f>
        <v>1589.18</v>
      </c>
      <c r="G72" s="3306" t="s">
        <v>3175</v>
      </c>
      <c r="H72" s="3306"/>
      <c r="I72" s="3336"/>
      <c r="J72" s="3309">
        <f>(3.342-3.183)/3.183</f>
        <v>4.9952874646559932E-2</v>
      </c>
      <c r="K72" s="3308" t="s">
        <v>3241</v>
      </c>
      <c r="L72" s="3260">
        <v>1879769.88</v>
      </c>
      <c r="M72" s="3271"/>
    </row>
    <row r="73" spans="1:238" s="3272" customFormat="1">
      <c r="A73" s="4197"/>
      <c r="B73" s="3253" t="s">
        <v>3243</v>
      </c>
      <c r="C73" s="3288" t="s">
        <v>3125</v>
      </c>
      <c r="D73" s="3302" t="s">
        <v>3244</v>
      </c>
      <c r="E73" s="3304">
        <v>2480</v>
      </c>
      <c r="F73" s="3327">
        <f>210.5+216.11</f>
        <v>426.61</v>
      </c>
      <c r="G73" s="3305"/>
      <c r="H73" s="3306" t="s">
        <v>3163</v>
      </c>
      <c r="I73" s="3336">
        <v>2.06</v>
      </c>
      <c r="J73" s="3307"/>
      <c r="K73" s="3310" t="s">
        <v>3245</v>
      </c>
      <c r="L73" s="3260">
        <v>1919024</v>
      </c>
      <c r="M73" s="3271"/>
      <c r="ID73" s="3235"/>
    </row>
    <row r="74" spans="1:238" s="3283" customFormat="1" ht="15" customHeight="1">
      <c r="A74" s="4198"/>
      <c r="B74" s="4193" t="s">
        <v>3246</v>
      </c>
      <c r="C74" s="4193"/>
      <c r="D74" s="4193"/>
      <c r="E74" s="3311">
        <f>SUM(E70:E73)</f>
        <v>5646.85</v>
      </c>
      <c r="F74" s="3328">
        <f>SUM(F70:F73)</f>
        <v>2015.79</v>
      </c>
      <c r="G74" s="3263" t="s">
        <v>563</v>
      </c>
      <c r="H74" s="3263" t="s">
        <v>563</v>
      </c>
      <c r="I74" s="3333" t="s">
        <v>563</v>
      </c>
      <c r="J74" s="3263" t="s">
        <v>563</v>
      </c>
      <c r="K74" s="3263" t="s">
        <v>563</v>
      </c>
      <c r="L74" s="3311">
        <v>5901375.6500000004</v>
      </c>
      <c r="M74" s="3282"/>
    </row>
    <row r="75" spans="1:238" s="3283" customFormat="1">
      <c r="A75" s="4191" t="s">
        <v>3247</v>
      </c>
      <c r="B75" s="4191"/>
      <c r="C75" s="4191"/>
      <c r="D75" s="4191"/>
      <c r="E75" s="3281">
        <f>E69+E74</f>
        <v>13789.779999999999</v>
      </c>
      <c r="F75" s="3329">
        <f>F69+F74</f>
        <v>6560.28</v>
      </c>
      <c r="G75" s="3263" t="s">
        <v>563</v>
      </c>
      <c r="H75" s="3263" t="s">
        <v>563</v>
      </c>
      <c r="I75" s="3333" t="s">
        <v>563</v>
      </c>
      <c r="J75" s="3263" t="s">
        <v>563</v>
      </c>
      <c r="K75" s="3263" t="s">
        <v>563</v>
      </c>
      <c r="L75" s="3281">
        <v>20575925.506999999</v>
      </c>
      <c r="M75" s="3282"/>
      <c r="N75" s="3312"/>
    </row>
    <row r="77" spans="1:238">
      <c r="K77" s="4189" t="s">
        <v>3248</v>
      </c>
      <c r="L77" s="4189"/>
    </row>
    <row r="78" spans="1:238">
      <c r="K78" s="4188">
        <v>42674</v>
      </c>
      <c r="L78" s="4189"/>
    </row>
    <row r="79" spans="1:238">
      <c r="F79" s="3331"/>
    </row>
    <row r="80" spans="1:238">
      <c r="F80" s="3331"/>
    </row>
    <row r="81" spans="6:6">
      <c r="F81" s="3331"/>
    </row>
  </sheetData>
  <mergeCells count="56">
    <mergeCell ref="A5:A6"/>
    <mergeCell ref="A1:M1"/>
    <mergeCell ref="L2:M2"/>
    <mergeCell ref="A3:B4"/>
    <mergeCell ref="C3:C4"/>
    <mergeCell ref="D3:D4"/>
    <mergeCell ref="E3:E4"/>
    <mergeCell ref="F3:F4"/>
    <mergeCell ref="G3:H4"/>
    <mergeCell ref="I3:I4"/>
    <mergeCell ref="J3:J4"/>
    <mergeCell ref="K3:K4"/>
    <mergeCell ref="L3:L4"/>
    <mergeCell ref="M3:M4"/>
    <mergeCell ref="B6:D6"/>
    <mergeCell ref="E28:E29"/>
    <mergeCell ref="I28:I29"/>
    <mergeCell ref="J28:J29"/>
    <mergeCell ref="K28:K29"/>
    <mergeCell ref="L28:L29"/>
    <mergeCell ref="A13:A23"/>
    <mergeCell ref="B23:D23"/>
    <mergeCell ref="A24:A35"/>
    <mergeCell ref="B28:B29"/>
    <mergeCell ref="C28:C29"/>
    <mergeCell ref="D28:D29"/>
    <mergeCell ref="B35:D35"/>
    <mergeCell ref="A7:A12"/>
    <mergeCell ref="B12:D12"/>
    <mergeCell ref="M41:M42"/>
    <mergeCell ref="A36:A43"/>
    <mergeCell ref="F39:F40"/>
    <mergeCell ref="B41:B42"/>
    <mergeCell ref="C41:C42"/>
    <mergeCell ref="D41:D42"/>
    <mergeCell ref="G41:G42"/>
    <mergeCell ref="B43:D43"/>
    <mergeCell ref="H41:H42"/>
    <mergeCell ref="I41:I42"/>
    <mergeCell ref="J41:J42"/>
    <mergeCell ref="K41:K42"/>
    <mergeCell ref="L41:L42"/>
    <mergeCell ref="M28:M29"/>
    <mergeCell ref="K78:L78"/>
    <mergeCell ref="A44:A64"/>
    <mergeCell ref="B44:B49"/>
    <mergeCell ref="B61:B63"/>
    <mergeCell ref="B64:D64"/>
    <mergeCell ref="A65:A68"/>
    <mergeCell ref="B65:B67"/>
    <mergeCell ref="B68:D68"/>
    <mergeCell ref="A69:D69"/>
    <mergeCell ref="A70:A74"/>
    <mergeCell ref="B74:D74"/>
    <mergeCell ref="A75:D75"/>
    <mergeCell ref="K77:L77"/>
  </mergeCells>
  <phoneticPr fontId="148" type="noConversion"/>
  <pageMargins left="0.16" right="0.16" top="0.3" bottom="0.28000000000000003" header="0.22" footer="0.16"/>
  <pageSetup paperSize="9" orientation="landscape" verticalDpi="0"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7D72-706F-43AC-A6A8-D2641D4297F2}">
  <sheetPr codeName="Sheet43">
    <pageSetUpPr fitToPage="1"/>
  </sheetPr>
  <dimension ref="A1:IE15"/>
  <sheetViews>
    <sheetView topLeftCell="A6" workbookViewId="0">
      <selection activeCell="L13" sqref="L13"/>
    </sheetView>
  </sheetViews>
  <sheetFormatPr defaultRowHeight="13.5"/>
  <cols>
    <col min="1" max="1" width="6.875" style="3425" customWidth="1"/>
    <col min="2" max="2" width="9" style="3425"/>
    <col min="3" max="3" width="11.5" style="3425" customWidth="1"/>
    <col min="4" max="8" width="9" style="3425"/>
    <col min="9" max="9" width="16.75" style="3425" customWidth="1"/>
    <col min="10" max="11" width="9" style="3425"/>
    <col min="12" max="12" width="69.375" style="3425" customWidth="1"/>
    <col min="13" max="18" width="9" style="3425"/>
    <col min="19" max="19" width="10.875" style="3425" customWidth="1"/>
    <col min="20" max="24" width="9" style="3425"/>
    <col min="25" max="43" width="15.625" style="3425" customWidth="1"/>
    <col min="44" max="16384" width="9" style="3425"/>
  </cols>
  <sheetData>
    <row r="1" spans="1:239" s="3370" customFormat="1" ht="33.950000000000003" customHeight="1" thickBot="1">
      <c r="A1" s="4249" t="s">
        <v>3263</v>
      </c>
      <c r="B1" s="4250"/>
      <c r="C1" s="4250"/>
      <c r="D1" s="4250"/>
      <c r="E1" s="4250"/>
      <c r="F1" s="4250"/>
      <c r="G1" s="4250"/>
      <c r="H1" s="4250"/>
      <c r="I1" s="4250"/>
      <c r="J1" s="4250"/>
      <c r="K1" s="4250"/>
      <c r="L1" s="3369"/>
      <c r="R1" s="3371"/>
      <c r="S1" s="3372"/>
      <c r="Y1" s="3373"/>
      <c r="Z1" s="3373"/>
      <c r="AA1" s="3373"/>
      <c r="AB1" s="3374"/>
      <c r="AC1" s="3373"/>
      <c r="AD1" s="3373"/>
      <c r="AE1" s="3373"/>
      <c r="AF1" s="3374"/>
      <c r="AG1" s="3374"/>
      <c r="AH1" s="3373"/>
      <c r="AI1" s="3373"/>
      <c r="AJ1" s="3373"/>
      <c r="AK1" s="3374"/>
      <c r="AL1" s="3374"/>
      <c r="AM1" s="3373"/>
      <c r="AN1" s="3373"/>
      <c r="AO1" s="3373"/>
      <c r="AP1" s="3374"/>
      <c r="AQ1" s="3374"/>
    </row>
    <row r="2" spans="1:239" s="3376" customFormat="1" ht="27" customHeight="1">
      <c r="A2" s="3375" t="s">
        <v>3264</v>
      </c>
      <c r="B2" s="4251"/>
      <c r="C2" s="4251"/>
      <c r="D2" s="4251"/>
      <c r="E2" s="4251"/>
      <c r="F2" s="4251"/>
      <c r="G2" s="4251"/>
      <c r="H2" s="4251"/>
      <c r="I2" s="4251"/>
      <c r="J2" s="4251"/>
      <c r="K2" s="4251"/>
      <c r="L2" s="4251"/>
      <c r="M2" s="4252" t="s">
        <v>3265</v>
      </c>
      <c r="N2" s="4253"/>
      <c r="O2" s="4253"/>
      <c r="P2" s="4253"/>
      <c r="Q2" s="4253"/>
      <c r="R2" s="4253"/>
      <c r="S2" s="4253"/>
      <c r="T2" s="4253"/>
      <c r="U2" s="4253"/>
      <c r="V2" s="4253"/>
      <c r="W2" s="4253"/>
      <c r="X2" s="4253"/>
      <c r="Y2" s="4254" t="s">
        <v>3266</v>
      </c>
      <c r="Z2" s="4255"/>
      <c r="AA2" s="4255"/>
      <c r="AB2" s="4255"/>
      <c r="AC2" s="4255"/>
      <c r="AD2" s="4255"/>
      <c r="AE2" s="4255"/>
      <c r="AF2" s="4255"/>
      <c r="AG2" s="4255"/>
      <c r="AH2" s="4255"/>
      <c r="AI2" s="4255"/>
      <c r="AJ2" s="4255"/>
      <c r="AK2" s="4255"/>
      <c r="AL2" s="4255"/>
      <c r="AM2" s="4255"/>
      <c r="AN2" s="4255"/>
      <c r="AO2" s="4255"/>
      <c r="AP2" s="4255"/>
      <c r="AQ2" s="4256"/>
    </row>
    <row r="3" spans="1:239" s="3376" customFormat="1" ht="30" customHeight="1">
      <c r="A3" s="3377" t="s">
        <v>2748</v>
      </c>
      <c r="B3" s="3378" t="s">
        <v>3267</v>
      </c>
      <c r="C3" s="3378" t="s">
        <v>3268</v>
      </c>
      <c r="D3" s="3378" t="s">
        <v>3269</v>
      </c>
      <c r="E3" s="3379" t="s">
        <v>3270</v>
      </c>
      <c r="F3" s="3378" t="s">
        <v>3271</v>
      </c>
      <c r="G3" s="3378" t="s">
        <v>3272</v>
      </c>
      <c r="H3" s="3378" t="s">
        <v>3273</v>
      </c>
      <c r="I3" s="3380" t="s">
        <v>3274</v>
      </c>
      <c r="J3" s="3381" t="s">
        <v>3275</v>
      </c>
      <c r="K3" s="3381" t="s">
        <v>3276</v>
      </c>
      <c r="L3" s="3382" t="s">
        <v>3122</v>
      </c>
      <c r="M3" s="3383" t="s">
        <v>3277</v>
      </c>
      <c r="N3" s="3380" t="s">
        <v>3278</v>
      </c>
      <c r="O3" s="3380" t="s">
        <v>3279</v>
      </c>
      <c r="P3" s="3380" t="s">
        <v>3280</v>
      </c>
      <c r="Q3" s="3378" t="s">
        <v>3122</v>
      </c>
      <c r="R3" s="3380" t="s">
        <v>3281</v>
      </c>
      <c r="S3" s="3384" t="s">
        <v>3282</v>
      </c>
      <c r="T3" s="3380" t="s">
        <v>3122</v>
      </c>
      <c r="U3" s="3380" t="s">
        <v>3283</v>
      </c>
      <c r="V3" s="3380" t="s">
        <v>3284</v>
      </c>
      <c r="W3" s="3380" t="s">
        <v>3285</v>
      </c>
      <c r="X3" s="3378" t="s">
        <v>3286</v>
      </c>
      <c r="Y3" s="3381" t="s">
        <v>3287</v>
      </c>
      <c r="Z3" s="3381" t="s">
        <v>3288</v>
      </c>
      <c r="AA3" s="3381" t="s">
        <v>3289</v>
      </c>
      <c r="AB3" s="3385" t="s">
        <v>54</v>
      </c>
      <c r="AC3" s="3381" t="s">
        <v>3290</v>
      </c>
      <c r="AD3" s="3381" t="s">
        <v>3291</v>
      </c>
      <c r="AE3" s="3381" t="s">
        <v>3292</v>
      </c>
      <c r="AF3" s="3385" t="s">
        <v>54</v>
      </c>
      <c r="AG3" s="3385" t="s">
        <v>3293</v>
      </c>
      <c r="AH3" s="3381" t="s">
        <v>3294</v>
      </c>
      <c r="AI3" s="3381" t="s">
        <v>3295</v>
      </c>
      <c r="AJ3" s="3381" t="s">
        <v>3296</v>
      </c>
      <c r="AK3" s="3385" t="s">
        <v>54</v>
      </c>
      <c r="AL3" s="3385" t="s">
        <v>3293</v>
      </c>
      <c r="AM3" s="3381" t="s">
        <v>3297</v>
      </c>
      <c r="AN3" s="3381" t="s">
        <v>3298</v>
      </c>
      <c r="AO3" s="3381" t="s">
        <v>3299</v>
      </c>
      <c r="AP3" s="3386" t="s">
        <v>54</v>
      </c>
      <c r="AQ3" s="3387" t="s">
        <v>3293</v>
      </c>
    </row>
    <row r="4" spans="1:239" s="3370" customFormat="1" ht="63.75" customHeight="1">
      <c r="A4" s="3426">
        <v>1</v>
      </c>
      <c r="B4" s="3427" t="s">
        <v>3300</v>
      </c>
      <c r="C4" s="3427" t="s">
        <v>3301</v>
      </c>
      <c r="D4" s="3428" t="s">
        <v>3302</v>
      </c>
      <c r="E4" s="3428">
        <v>375</v>
      </c>
      <c r="F4" s="3428" t="s">
        <v>3303</v>
      </c>
      <c r="G4" s="3428" t="s">
        <v>3304</v>
      </c>
      <c r="H4" s="3428" t="s">
        <v>3305</v>
      </c>
      <c r="I4" s="3429">
        <v>862313</v>
      </c>
      <c r="J4" s="3429">
        <f>I4/365/E4</f>
        <v>6.3000036529680363</v>
      </c>
      <c r="K4" s="3390" t="s">
        <v>3306</v>
      </c>
      <c r="L4" s="3392" t="s">
        <v>3373</v>
      </c>
      <c r="M4" s="3393">
        <v>0.2</v>
      </c>
      <c r="N4" s="3394">
        <f>M4*E4*365</f>
        <v>27375</v>
      </c>
      <c r="O4" s="3394">
        <f>N4/12*6</f>
        <v>13687.5</v>
      </c>
      <c r="P4" s="3394">
        <v>2281</v>
      </c>
      <c r="Q4" s="3394"/>
      <c r="R4" s="3390">
        <v>47</v>
      </c>
      <c r="S4" s="3395">
        <f>R4*E4</f>
        <v>17625</v>
      </c>
      <c r="T4" s="3390" t="s">
        <v>3307</v>
      </c>
      <c r="U4" s="3390" t="s">
        <v>3308</v>
      </c>
      <c r="V4" s="3390" t="s">
        <v>3309</v>
      </c>
      <c r="W4" s="3394">
        <v>100</v>
      </c>
      <c r="X4" s="3394"/>
      <c r="Y4" s="3396">
        <v>0</v>
      </c>
      <c r="Z4" s="3391">
        <f>I4/2</f>
        <v>431156.5</v>
      </c>
      <c r="AA4" s="3391">
        <v>0</v>
      </c>
      <c r="AB4" s="3397">
        <f t="shared" ref="AB4:AB13" si="0">SUM(Y4:AA4)</f>
        <v>431156.5</v>
      </c>
      <c r="AC4" s="3391">
        <v>0</v>
      </c>
      <c r="AD4" s="3391">
        <v>0</v>
      </c>
      <c r="AE4" s="3391">
        <v>0</v>
      </c>
      <c r="AF4" s="3397">
        <f t="shared" ref="AF4:AF13" si="1">SUM(AC4:AE4)</f>
        <v>0</v>
      </c>
      <c r="AG4" s="3397">
        <f t="shared" ref="AG4:AG13" si="2">AB4+AF4</f>
        <v>431156.5</v>
      </c>
      <c r="AH4" s="3391">
        <v>0</v>
      </c>
      <c r="AI4" s="3398">
        <f>I4/2</f>
        <v>431156.5</v>
      </c>
      <c r="AJ4" s="3391">
        <v>0</v>
      </c>
      <c r="AK4" s="3397">
        <f t="shared" ref="AK4:AK13" si="3">SUM(AH4:AJ4)</f>
        <v>431156.5</v>
      </c>
      <c r="AL4" s="3397">
        <f t="shared" ref="AL4:AL13" si="4">AG4+AK4</f>
        <v>862313</v>
      </c>
      <c r="AM4" s="3391">
        <v>0</v>
      </c>
      <c r="AN4" s="3391">
        <v>0</v>
      </c>
      <c r="AO4" s="3391">
        <v>0</v>
      </c>
      <c r="AP4" s="3399">
        <f t="shared" ref="AP4:AP13" si="5">SUM(AM4:AO4)</f>
        <v>0</v>
      </c>
      <c r="AQ4" s="3400">
        <f t="shared" ref="AQ4:AQ13" si="6">AL4+AP4</f>
        <v>862313</v>
      </c>
    </row>
    <row r="5" spans="1:239" s="3370" customFormat="1" ht="63.75" customHeight="1">
      <c r="A5" s="3430">
        <v>2</v>
      </c>
      <c r="B5" s="3431" t="s">
        <v>3310</v>
      </c>
      <c r="C5" s="3431" t="s">
        <v>3311</v>
      </c>
      <c r="D5" s="3432" t="s">
        <v>3312</v>
      </c>
      <c r="E5" s="3432">
        <v>550</v>
      </c>
      <c r="F5" s="3432" t="s">
        <v>3313</v>
      </c>
      <c r="G5" s="3432" t="s">
        <v>3314</v>
      </c>
      <c r="H5" s="3432" t="s">
        <v>3315</v>
      </c>
      <c r="I5" s="3433">
        <v>1304875</v>
      </c>
      <c r="J5" s="3433">
        <f>I5/365/E5</f>
        <v>6.5</v>
      </c>
      <c r="K5" s="3390" t="s">
        <v>3306</v>
      </c>
      <c r="L5" s="3392" t="s">
        <v>3547</v>
      </c>
      <c r="M5" s="3393">
        <v>0.2</v>
      </c>
      <c r="N5" s="3394">
        <f>M5*E5*365</f>
        <v>40150</v>
      </c>
      <c r="O5" s="3394">
        <f>N5/12*6</f>
        <v>20075</v>
      </c>
      <c r="P5" s="3394">
        <v>3346</v>
      </c>
      <c r="Q5" s="3394"/>
      <c r="R5" s="3390">
        <v>47</v>
      </c>
      <c r="S5" s="3395">
        <f>R5*E5</f>
        <v>25850</v>
      </c>
      <c r="T5" s="3390"/>
      <c r="U5" s="3390">
        <v>8.44</v>
      </c>
      <c r="V5" s="3390">
        <v>1.3</v>
      </c>
      <c r="W5" s="3394"/>
      <c r="X5" s="3394"/>
      <c r="Y5" s="3396"/>
      <c r="Z5" s="3391"/>
      <c r="AA5" s="3391"/>
      <c r="AB5" s="3397">
        <f t="shared" si="0"/>
        <v>0</v>
      </c>
      <c r="AC5" s="3391"/>
      <c r="AD5" s="3391"/>
      <c r="AE5" s="3391">
        <f>I5/2</f>
        <v>652437.5</v>
      </c>
      <c r="AF5" s="3397">
        <f t="shared" si="1"/>
        <v>652437.5</v>
      </c>
      <c r="AG5" s="3397">
        <f t="shared" si="2"/>
        <v>652437.5</v>
      </c>
      <c r="AH5" s="3391"/>
      <c r="AI5" s="3398"/>
      <c r="AJ5" s="3391"/>
      <c r="AK5" s="3397">
        <f t="shared" si="3"/>
        <v>0</v>
      </c>
      <c r="AL5" s="3397">
        <f t="shared" si="4"/>
        <v>652437.5</v>
      </c>
      <c r="AM5" s="3391"/>
      <c r="AN5" s="3391"/>
      <c r="AO5" s="3391">
        <f>I5/2</f>
        <v>652437.5</v>
      </c>
      <c r="AP5" s="3397">
        <f t="shared" si="5"/>
        <v>652437.5</v>
      </c>
      <c r="AQ5" s="3401">
        <f t="shared" si="6"/>
        <v>1304875</v>
      </c>
    </row>
    <row r="6" spans="1:239" s="3370" customFormat="1" ht="63.75" customHeight="1">
      <c r="A6" s="3388">
        <v>3</v>
      </c>
      <c r="B6" s="3389" t="s">
        <v>3310</v>
      </c>
      <c r="C6" s="3389" t="s">
        <v>3316</v>
      </c>
      <c r="D6" s="3390" t="s">
        <v>3317</v>
      </c>
      <c r="E6" s="3390"/>
      <c r="F6" s="3390" t="s">
        <v>3313</v>
      </c>
      <c r="G6" s="3390" t="s">
        <v>3314</v>
      </c>
      <c r="H6" s="3390" t="s">
        <v>3315</v>
      </c>
      <c r="I6" s="3391">
        <v>300000</v>
      </c>
      <c r="J6" s="3391"/>
      <c r="K6" s="3390" t="s">
        <v>3306</v>
      </c>
      <c r="L6" s="3392"/>
      <c r="M6" s="3393"/>
      <c r="N6" s="3394"/>
      <c r="O6" s="3394"/>
      <c r="P6" s="3394"/>
      <c r="Q6" s="3394"/>
      <c r="R6" s="3390"/>
      <c r="S6" s="3395"/>
      <c r="T6" s="3390"/>
      <c r="U6" s="3390"/>
      <c r="V6" s="3390"/>
      <c r="W6" s="3394"/>
      <c r="X6" s="3394"/>
      <c r="Y6" s="3396"/>
      <c r="Z6" s="3391"/>
      <c r="AA6" s="3391">
        <f>I6/2</f>
        <v>150000</v>
      </c>
      <c r="AB6" s="3397">
        <f t="shared" si="0"/>
        <v>150000</v>
      </c>
      <c r="AC6" s="3391"/>
      <c r="AD6" s="3391"/>
      <c r="AE6" s="3391">
        <f>I6/2</f>
        <v>150000</v>
      </c>
      <c r="AF6" s="3397">
        <f t="shared" si="1"/>
        <v>150000</v>
      </c>
      <c r="AG6" s="3397">
        <f t="shared" si="2"/>
        <v>300000</v>
      </c>
      <c r="AH6" s="3391"/>
      <c r="AI6" s="3398"/>
      <c r="AJ6" s="3391"/>
      <c r="AK6" s="3397">
        <f t="shared" si="3"/>
        <v>0</v>
      </c>
      <c r="AL6" s="3397">
        <f t="shared" si="4"/>
        <v>300000</v>
      </c>
      <c r="AM6" s="3391"/>
      <c r="AN6" s="3391"/>
      <c r="AO6" s="3391">
        <f>I6/2</f>
        <v>150000</v>
      </c>
      <c r="AP6" s="3397">
        <f t="shared" si="5"/>
        <v>150000</v>
      </c>
      <c r="AQ6" s="3401">
        <f t="shared" si="6"/>
        <v>450000</v>
      </c>
    </row>
    <row r="7" spans="1:239" s="3370" customFormat="1" ht="63.75" customHeight="1">
      <c r="A7" s="3388">
        <v>4</v>
      </c>
      <c r="B7" s="3389" t="s">
        <v>3318</v>
      </c>
      <c r="C7" s="3389" t="s">
        <v>3319</v>
      </c>
      <c r="D7" s="3390" t="s">
        <v>3320</v>
      </c>
      <c r="E7" s="3390">
        <v>425</v>
      </c>
      <c r="F7" s="3390" t="s">
        <v>3321</v>
      </c>
      <c r="G7" s="3390" t="s">
        <v>3322</v>
      </c>
      <c r="H7" s="3390" t="s">
        <v>3323</v>
      </c>
      <c r="I7" s="3391">
        <v>3500000</v>
      </c>
      <c r="J7" s="3391">
        <f>I7/365/E7</f>
        <v>22.5624496373892</v>
      </c>
      <c r="K7" s="3390" t="s">
        <v>3306</v>
      </c>
      <c r="L7" s="3392" t="s">
        <v>3324</v>
      </c>
      <c r="M7" s="3393" t="s">
        <v>3325</v>
      </c>
      <c r="N7" s="3394" t="s">
        <v>3325</v>
      </c>
      <c r="O7" s="3394" t="s">
        <v>3325</v>
      </c>
      <c r="P7" s="3394" t="s">
        <v>3325</v>
      </c>
      <c r="Q7" s="3394"/>
      <c r="R7" s="3390">
        <v>47</v>
      </c>
      <c r="S7" s="3395">
        <f>R7*E7</f>
        <v>19975</v>
      </c>
      <c r="T7" s="3390"/>
      <c r="U7" s="3390" t="s">
        <v>3326</v>
      </c>
      <c r="V7" s="3390" t="s">
        <v>3327</v>
      </c>
      <c r="W7" s="3394"/>
      <c r="X7" s="3394"/>
      <c r="Y7" s="3402">
        <v>0</v>
      </c>
      <c r="Z7" s="3391">
        <v>0</v>
      </c>
      <c r="AA7" s="3391">
        <f>I7/2</f>
        <v>1750000</v>
      </c>
      <c r="AB7" s="3397">
        <f t="shared" si="0"/>
        <v>1750000</v>
      </c>
      <c r="AC7" s="3391">
        <v>0</v>
      </c>
      <c r="AD7" s="3391">
        <v>0</v>
      </c>
      <c r="AE7" s="3391">
        <v>0</v>
      </c>
      <c r="AF7" s="3397">
        <f t="shared" si="1"/>
        <v>0</v>
      </c>
      <c r="AG7" s="3397">
        <f t="shared" si="2"/>
        <v>1750000</v>
      </c>
      <c r="AH7" s="3391">
        <v>0</v>
      </c>
      <c r="AI7" s="3391">
        <v>0</v>
      </c>
      <c r="AJ7" s="3391">
        <v>1750000</v>
      </c>
      <c r="AK7" s="3397">
        <f t="shared" si="3"/>
        <v>1750000</v>
      </c>
      <c r="AL7" s="3397">
        <f t="shared" si="4"/>
        <v>3500000</v>
      </c>
      <c r="AM7" s="3391">
        <v>0</v>
      </c>
      <c r="AN7" s="3391">
        <v>0</v>
      </c>
      <c r="AO7" s="3391">
        <v>0</v>
      </c>
      <c r="AP7" s="3397">
        <f t="shared" si="5"/>
        <v>0</v>
      </c>
      <c r="AQ7" s="3401">
        <f t="shared" si="6"/>
        <v>3500000</v>
      </c>
      <c r="HG7" s="3376"/>
      <c r="HH7" s="3376"/>
      <c r="HI7" s="3376"/>
      <c r="HJ7" s="3376"/>
      <c r="HK7" s="3376"/>
      <c r="HL7" s="3376"/>
      <c r="HM7" s="3376"/>
      <c r="HN7" s="3376"/>
      <c r="HO7" s="3376"/>
      <c r="HP7" s="3376"/>
      <c r="HQ7" s="3376"/>
      <c r="HR7" s="3376"/>
      <c r="HS7" s="3376"/>
      <c r="HT7" s="3376"/>
      <c r="HU7" s="3376"/>
      <c r="HV7" s="3376"/>
      <c r="HW7" s="3376"/>
      <c r="HX7" s="3376"/>
      <c r="HY7" s="3376"/>
      <c r="HZ7" s="3376"/>
      <c r="IA7" s="3376"/>
      <c r="IB7" s="3376"/>
      <c r="IC7" s="3376"/>
      <c r="ID7" s="3376"/>
      <c r="IE7" s="3376"/>
    </row>
    <row r="8" spans="1:239" s="3370" customFormat="1" ht="63.75" customHeight="1">
      <c r="A8" s="3388">
        <v>5</v>
      </c>
      <c r="B8" s="3389" t="s">
        <v>3300</v>
      </c>
      <c r="C8" s="3389" t="s">
        <v>3328</v>
      </c>
      <c r="D8" s="3390" t="s">
        <v>3302</v>
      </c>
      <c r="E8" s="3390">
        <v>212</v>
      </c>
      <c r="F8" s="3390" t="s">
        <v>3329</v>
      </c>
      <c r="G8" s="3390" t="s">
        <v>3330</v>
      </c>
      <c r="H8" s="3390" t="s">
        <v>3331</v>
      </c>
      <c r="I8" s="3391">
        <v>200000</v>
      </c>
      <c r="J8" s="3391">
        <f>I8/365/E8</f>
        <v>2.5846471956577926</v>
      </c>
      <c r="K8" s="3390" t="s">
        <v>3332</v>
      </c>
      <c r="L8" s="3392"/>
      <c r="M8" s="3393" t="s">
        <v>3325</v>
      </c>
      <c r="N8" s="3394" t="s">
        <v>3325</v>
      </c>
      <c r="O8" s="3394" t="s">
        <v>3325</v>
      </c>
      <c r="P8" s="3394" t="s">
        <v>3325</v>
      </c>
      <c r="Q8" s="3390" t="s">
        <v>3333</v>
      </c>
      <c r="R8" s="3390">
        <v>47</v>
      </c>
      <c r="S8" s="3395">
        <f>R8*E8</f>
        <v>9964</v>
      </c>
      <c r="T8" s="3390" t="s">
        <v>3307</v>
      </c>
      <c r="U8" s="3390" t="s">
        <v>3333</v>
      </c>
      <c r="V8" s="3390" t="s">
        <v>3334</v>
      </c>
      <c r="W8" s="3394" t="s">
        <v>3325</v>
      </c>
      <c r="X8" s="3394"/>
      <c r="Y8" s="3402">
        <v>0</v>
      </c>
      <c r="Z8" s="3391">
        <f>I8/4</f>
        <v>50000</v>
      </c>
      <c r="AA8" s="3391">
        <v>0</v>
      </c>
      <c r="AB8" s="3397">
        <f t="shared" si="0"/>
        <v>50000</v>
      </c>
      <c r="AC8" s="3391">
        <v>0</v>
      </c>
      <c r="AD8" s="3391">
        <f>I8/4</f>
        <v>50000</v>
      </c>
      <c r="AE8" s="3391">
        <v>0</v>
      </c>
      <c r="AF8" s="3397">
        <f t="shared" si="1"/>
        <v>50000</v>
      </c>
      <c r="AG8" s="3397">
        <f t="shared" si="2"/>
        <v>100000</v>
      </c>
      <c r="AH8" s="3391">
        <v>0</v>
      </c>
      <c r="AI8" s="3391">
        <f>I8/4</f>
        <v>50000</v>
      </c>
      <c r="AJ8" s="3391">
        <v>0</v>
      </c>
      <c r="AK8" s="3397">
        <f t="shared" si="3"/>
        <v>50000</v>
      </c>
      <c r="AL8" s="3397">
        <f t="shared" si="4"/>
        <v>150000</v>
      </c>
      <c r="AM8" s="3391">
        <v>0</v>
      </c>
      <c r="AN8" s="3391">
        <f>I8/4</f>
        <v>50000</v>
      </c>
      <c r="AO8" s="3391">
        <v>0</v>
      </c>
      <c r="AP8" s="3399">
        <f t="shared" si="5"/>
        <v>50000</v>
      </c>
      <c r="AQ8" s="3400">
        <f t="shared" si="6"/>
        <v>200000</v>
      </c>
    </row>
    <row r="9" spans="1:239" s="3403" customFormat="1" ht="63.75" customHeight="1">
      <c r="A9" s="3388">
        <v>6</v>
      </c>
      <c r="B9" s="3389" t="s">
        <v>3335</v>
      </c>
      <c r="C9" s="3389" t="s">
        <v>3336</v>
      </c>
      <c r="D9" s="3390" t="s">
        <v>2941</v>
      </c>
      <c r="E9" s="3390">
        <v>212</v>
      </c>
      <c r="F9" s="3390" t="s">
        <v>3337</v>
      </c>
      <c r="G9" s="3390" t="s">
        <v>3338</v>
      </c>
      <c r="H9" s="3390" t="s">
        <v>3331</v>
      </c>
      <c r="I9" s="3391">
        <v>270000</v>
      </c>
      <c r="J9" s="3391">
        <f>I9/365/E9</f>
        <v>3.4892737141380201</v>
      </c>
      <c r="K9" s="3390" t="s">
        <v>3332</v>
      </c>
      <c r="L9" s="3392" t="s">
        <v>3339</v>
      </c>
      <c r="M9" s="3393" t="s">
        <v>3325</v>
      </c>
      <c r="N9" s="3394" t="s">
        <v>3325</v>
      </c>
      <c r="O9" s="3394" t="s">
        <v>3325</v>
      </c>
      <c r="P9" s="3394" t="s">
        <v>3325</v>
      </c>
      <c r="Q9" s="3390" t="s">
        <v>3333</v>
      </c>
      <c r="R9" s="3390">
        <v>47</v>
      </c>
      <c r="S9" s="3395">
        <f>R9*E9</f>
        <v>9964</v>
      </c>
      <c r="T9" s="3390" t="s">
        <v>3307</v>
      </c>
      <c r="U9" s="3390" t="s">
        <v>3333</v>
      </c>
      <c r="V9" s="3390" t="s">
        <v>3334</v>
      </c>
      <c r="W9" s="3394" t="s">
        <v>3325</v>
      </c>
      <c r="X9" s="3394"/>
      <c r="Y9" s="3402">
        <v>0</v>
      </c>
      <c r="Z9" s="3391">
        <f>I9/4</f>
        <v>67500</v>
      </c>
      <c r="AA9" s="3391">
        <v>0</v>
      </c>
      <c r="AB9" s="3397">
        <f t="shared" si="0"/>
        <v>67500</v>
      </c>
      <c r="AC9" s="3391">
        <v>0</v>
      </c>
      <c r="AD9" s="3391">
        <f>I9/4</f>
        <v>67500</v>
      </c>
      <c r="AE9" s="3391">
        <v>0</v>
      </c>
      <c r="AF9" s="3397">
        <f t="shared" si="1"/>
        <v>67500</v>
      </c>
      <c r="AG9" s="3397">
        <f t="shared" si="2"/>
        <v>135000</v>
      </c>
      <c r="AH9" s="3391">
        <v>0</v>
      </c>
      <c r="AI9" s="3391">
        <f>I9/4</f>
        <v>67500</v>
      </c>
      <c r="AJ9" s="3391">
        <v>0</v>
      </c>
      <c r="AK9" s="3397">
        <f t="shared" si="3"/>
        <v>67500</v>
      </c>
      <c r="AL9" s="3397">
        <f t="shared" si="4"/>
        <v>202500</v>
      </c>
      <c r="AM9" s="3391">
        <v>0</v>
      </c>
      <c r="AN9" s="3391">
        <f>I9/4</f>
        <v>67500</v>
      </c>
      <c r="AO9" s="3391">
        <v>0</v>
      </c>
      <c r="AP9" s="3397">
        <f t="shared" si="5"/>
        <v>67500</v>
      </c>
      <c r="AQ9" s="3401">
        <f t="shared" si="6"/>
        <v>270000</v>
      </c>
      <c r="AR9" s="3370"/>
      <c r="AS9" s="3370"/>
      <c r="AT9" s="3370"/>
      <c r="AU9" s="3370"/>
      <c r="AV9" s="3370"/>
      <c r="AW9" s="3370"/>
      <c r="AX9" s="3370"/>
      <c r="AY9" s="3370"/>
      <c r="AZ9" s="3370"/>
      <c r="BA9" s="3370"/>
      <c r="BB9" s="3370"/>
      <c r="BC9" s="3370"/>
      <c r="BD9" s="3370"/>
      <c r="BE9" s="3370"/>
      <c r="BF9" s="3370"/>
      <c r="BG9" s="3370"/>
      <c r="BH9" s="3370"/>
      <c r="BI9" s="3370"/>
      <c r="BJ9" s="3370"/>
      <c r="BK9" s="3370"/>
      <c r="BL9" s="3370"/>
      <c r="BM9" s="3370"/>
      <c r="BN9" s="3370"/>
      <c r="BO9" s="3370"/>
      <c r="BP9" s="3370"/>
      <c r="BQ9" s="3370"/>
      <c r="BR9" s="3370"/>
      <c r="BS9" s="3370"/>
      <c r="BT9" s="3370"/>
      <c r="BU9" s="3370"/>
      <c r="BV9" s="3370"/>
      <c r="BW9" s="3370"/>
      <c r="BX9" s="3370"/>
      <c r="BY9" s="3370"/>
      <c r="BZ9" s="3370"/>
      <c r="CA9" s="3370"/>
      <c r="CB9" s="3370"/>
      <c r="CC9" s="3370"/>
      <c r="CD9" s="3370"/>
      <c r="CE9" s="3370"/>
      <c r="CF9" s="3370"/>
      <c r="CG9" s="3370"/>
      <c r="CH9" s="3370"/>
      <c r="CI9" s="3370"/>
      <c r="CJ9" s="3370"/>
      <c r="CK9" s="3370"/>
      <c r="CL9" s="3370"/>
      <c r="CM9" s="3370"/>
      <c r="CN9" s="3370"/>
      <c r="CO9" s="3370"/>
      <c r="CP9" s="3370"/>
      <c r="CQ9" s="3370"/>
      <c r="CR9" s="3370"/>
      <c r="CS9" s="3370"/>
      <c r="CT9" s="3370"/>
      <c r="CU9" s="3370"/>
      <c r="CV9" s="3370"/>
      <c r="CW9" s="3370"/>
      <c r="CX9" s="3370"/>
      <c r="CY9" s="3370"/>
      <c r="CZ9" s="3370"/>
      <c r="DA9" s="3370"/>
      <c r="DB9" s="3370"/>
      <c r="DC9" s="3370"/>
      <c r="DD9" s="3370"/>
      <c r="DE9" s="3370"/>
      <c r="DF9" s="3370"/>
      <c r="DG9" s="3370"/>
      <c r="DH9" s="3370"/>
      <c r="DI9" s="3370"/>
      <c r="DJ9" s="3370"/>
      <c r="DK9" s="3370"/>
      <c r="DL9" s="3370"/>
      <c r="DM9" s="3370"/>
      <c r="DN9" s="3370"/>
      <c r="DO9" s="3370"/>
      <c r="DP9" s="3370"/>
      <c r="DQ9" s="3370"/>
      <c r="DR9" s="3370"/>
      <c r="DS9" s="3370"/>
      <c r="DT9" s="3370"/>
      <c r="DU9" s="3370"/>
      <c r="DV9" s="3370"/>
      <c r="DW9" s="3370"/>
      <c r="DX9" s="3370"/>
      <c r="DY9" s="3370"/>
      <c r="DZ9" s="3370"/>
      <c r="EA9" s="3370"/>
      <c r="EB9" s="3370"/>
      <c r="EC9" s="3370"/>
      <c r="ED9" s="3370"/>
      <c r="EE9" s="3370"/>
      <c r="EF9" s="3370"/>
      <c r="EG9" s="3370"/>
      <c r="EH9" s="3370"/>
      <c r="EI9" s="3370"/>
      <c r="EJ9" s="3370"/>
      <c r="EK9" s="3370"/>
      <c r="EL9" s="3370"/>
      <c r="EM9" s="3370"/>
      <c r="EN9" s="3370"/>
      <c r="EO9" s="3370"/>
      <c r="EP9" s="3370"/>
      <c r="EQ9" s="3370"/>
      <c r="ER9" s="3370"/>
      <c r="ES9" s="3370"/>
      <c r="ET9" s="3370"/>
      <c r="EU9" s="3370"/>
      <c r="EV9" s="3370"/>
      <c r="EW9" s="3370"/>
      <c r="EX9" s="3370"/>
      <c r="EY9" s="3370"/>
      <c r="EZ9" s="3370"/>
      <c r="FA9" s="3370"/>
      <c r="FB9" s="3370"/>
      <c r="FC9" s="3370"/>
      <c r="FD9" s="3370"/>
      <c r="FE9" s="3370"/>
      <c r="FF9" s="3370"/>
      <c r="FG9" s="3370"/>
      <c r="FH9" s="3370"/>
      <c r="FI9" s="3370"/>
      <c r="FJ9" s="3370"/>
      <c r="FK9" s="3370"/>
      <c r="FL9" s="3370"/>
      <c r="FM9" s="3370"/>
      <c r="FN9" s="3370"/>
      <c r="FO9" s="3370"/>
      <c r="FP9" s="3370"/>
      <c r="FQ9" s="3370"/>
      <c r="FR9" s="3370"/>
      <c r="FS9" s="3370"/>
      <c r="FT9" s="3370"/>
      <c r="FU9" s="3370"/>
      <c r="FV9" s="3370"/>
      <c r="FW9" s="3370"/>
      <c r="FX9" s="3370"/>
      <c r="FY9" s="3370"/>
      <c r="FZ9" s="3370"/>
      <c r="GA9" s="3370"/>
      <c r="GB9" s="3370"/>
      <c r="GC9" s="3370"/>
      <c r="GD9" s="3370"/>
      <c r="GE9" s="3370"/>
      <c r="GF9" s="3370"/>
      <c r="GG9" s="3370"/>
      <c r="GH9" s="3370"/>
      <c r="GI9" s="3370"/>
      <c r="GJ9" s="3370"/>
      <c r="GK9" s="3370"/>
      <c r="GL9" s="3370"/>
      <c r="GM9" s="3370"/>
      <c r="GN9" s="3370"/>
      <c r="GO9" s="3370"/>
      <c r="GP9" s="3370"/>
      <c r="GQ9" s="3370"/>
      <c r="GR9" s="3370"/>
      <c r="GS9" s="3370"/>
      <c r="GT9" s="3370"/>
      <c r="GU9" s="3370"/>
      <c r="GV9" s="3370"/>
      <c r="GW9" s="3370"/>
      <c r="GX9" s="3370"/>
      <c r="GY9" s="3370"/>
      <c r="GZ9" s="3370"/>
      <c r="HA9" s="3370"/>
      <c r="HB9" s="3370"/>
      <c r="HC9" s="3370"/>
      <c r="HD9" s="3370"/>
      <c r="HE9" s="3370"/>
      <c r="HF9" s="3370"/>
    </row>
    <row r="10" spans="1:239" s="3376" customFormat="1" ht="63.75" customHeight="1">
      <c r="A10" s="3388">
        <v>7</v>
      </c>
      <c r="B10" s="3389" t="s">
        <v>3335</v>
      </c>
      <c r="C10" s="3389" t="s">
        <v>3340</v>
      </c>
      <c r="D10" s="3390" t="s">
        <v>3341</v>
      </c>
      <c r="E10" s="3390"/>
      <c r="F10" s="3390" t="s">
        <v>3342</v>
      </c>
      <c r="G10" s="3390" t="s">
        <v>3343</v>
      </c>
      <c r="H10" s="3390" t="s">
        <v>3344</v>
      </c>
      <c r="I10" s="3391">
        <v>800000</v>
      </c>
      <c r="J10" s="3391"/>
      <c r="K10" s="3390" t="s">
        <v>3332</v>
      </c>
      <c r="L10" s="3392" t="s">
        <v>3345</v>
      </c>
      <c r="M10" s="3393" t="s">
        <v>3325</v>
      </c>
      <c r="N10" s="3394" t="s">
        <v>3325</v>
      </c>
      <c r="O10" s="3394" t="s">
        <v>3325</v>
      </c>
      <c r="P10" s="3394" t="s">
        <v>3325</v>
      </c>
      <c r="Q10" s="3394"/>
      <c r="R10" s="3394" t="s">
        <v>3325</v>
      </c>
      <c r="S10" s="3394" t="s">
        <v>3325</v>
      </c>
      <c r="T10" s="3394"/>
      <c r="U10" s="3394" t="s">
        <v>3325</v>
      </c>
      <c r="V10" s="3390" t="s">
        <v>3346</v>
      </c>
      <c r="W10" s="3394" t="s">
        <v>3325</v>
      </c>
      <c r="X10" s="3394"/>
      <c r="Y10" s="3402">
        <v>0</v>
      </c>
      <c r="Z10" s="3391">
        <v>0</v>
      </c>
      <c r="AA10" s="3391">
        <f>I10/4</f>
        <v>200000</v>
      </c>
      <c r="AB10" s="3397">
        <f t="shared" si="0"/>
        <v>200000</v>
      </c>
      <c r="AC10" s="3391">
        <v>0</v>
      </c>
      <c r="AD10" s="3391"/>
      <c r="AE10" s="3391">
        <f>I10/4</f>
        <v>200000</v>
      </c>
      <c r="AF10" s="3397">
        <f t="shared" si="1"/>
        <v>200000</v>
      </c>
      <c r="AG10" s="3397">
        <f t="shared" si="2"/>
        <v>400000</v>
      </c>
      <c r="AH10" s="3391">
        <v>0</v>
      </c>
      <c r="AI10" s="3391">
        <v>0</v>
      </c>
      <c r="AJ10" s="3391">
        <f>I10/4</f>
        <v>200000</v>
      </c>
      <c r="AK10" s="3397">
        <f t="shared" si="3"/>
        <v>200000</v>
      </c>
      <c r="AL10" s="3397">
        <f t="shared" si="4"/>
        <v>600000</v>
      </c>
      <c r="AM10" s="3391">
        <v>0</v>
      </c>
      <c r="AN10" s="3391">
        <v>0</v>
      </c>
      <c r="AO10" s="3391">
        <f>I10/4</f>
        <v>200000</v>
      </c>
      <c r="AP10" s="3397">
        <f t="shared" si="5"/>
        <v>200000</v>
      </c>
      <c r="AQ10" s="3401">
        <f t="shared" si="6"/>
        <v>800000</v>
      </c>
      <c r="AR10" s="3370"/>
      <c r="AS10" s="3370"/>
      <c r="AT10" s="3370"/>
      <c r="AU10" s="3370"/>
      <c r="AV10" s="3370"/>
      <c r="AW10" s="3370"/>
      <c r="AX10" s="3370"/>
      <c r="AY10" s="3370"/>
      <c r="AZ10" s="3370"/>
      <c r="BA10" s="3370"/>
      <c r="BB10" s="3370"/>
      <c r="BC10" s="3370"/>
      <c r="BD10" s="3370"/>
      <c r="BE10" s="3370"/>
      <c r="BF10" s="3370"/>
      <c r="BG10" s="3370"/>
      <c r="BH10" s="3370"/>
      <c r="BI10" s="3370"/>
      <c r="BJ10" s="3370"/>
      <c r="BK10" s="3370"/>
      <c r="BL10" s="3370"/>
      <c r="BM10" s="3370"/>
      <c r="BN10" s="3370"/>
      <c r="BO10" s="3370"/>
      <c r="BP10" s="3370"/>
      <c r="BQ10" s="3370"/>
      <c r="BR10" s="3370"/>
      <c r="BS10" s="3370"/>
      <c r="BT10" s="3370"/>
      <c r="BU10" s="3370"/>
      <c r="BV10" s="3370"/>
      <c r="BW10" s="3370"/>
      <c r="BX10" s="3370"/>
      <c r="BY10" s="3370"/>
      <c r="BZ10" s="3370"/>
      <c r="CA10" s="3370"/>
      <c r="CB10" s="3370"/>
      <c r="CC10" s="3370"/>
      <c r="CD10" s="3370"/>
      <c r="CE10" s="3370"/>
      <c r="CF10" s="3370"/>
      <c r="CG10" s="3370"/>
      <c r="CH10" s="3370"/>
      <c r="CI10" s="3370"/>
      <c r="CJ10" s="3370"/>
      <c r="CK10" s="3370"/>
      <c r="CL10" s="3370"/>
      <c r="CM10" s="3370"/>
      <c r="CN10" s="3370"/>
      <c r="CO10" s="3370"/>
      <c r="CP10" s="3370"/>
      <c r="CQ10" s="3370"/>
      <c r="CR10" s="3370"/>
      <c r="CS10" s="3370"/>
      <c r="CT10" s="3370"/>
      <c r="CU10" s="3370"/>
      <c r="CV10" s="3370"/>
      <c r="CW10" s="3370"/>
      <c r="CX10" s="3370"/>
      <c r="CY10" s="3370"/>
      <c r="CZ10" s="3370"/>
      <c r="DA10" s="3370"/>
      <c r="DB10" s="3370"/>
      <c r="DC10" s="3370"/>
      <c r="DD10" s="3370"/>
      <c r="DE10" s="3370"/>
      <c r="DF10" s="3370"/>
      <c r="DG10" s="3370"/>
      <c r="DH10" s="3370"/>
      <c r="DI10" s="3370"/>
      <c r="DJ10" s="3370"/>
      <c r="DK10" s="3370"/>
      <c r="DL10" s="3370"/>
      <c r="DM10" s="3370"/>
      <c r="DN10" s="3370"/>
      <c r="DO10" s="3370"/>
      <c r="DP10" s="3370"/>
      <c r="DQ10" s="3370"/>
      <c r="DR10" s="3370"/>
      <c r="DS10" s="3370"/>
      <c r="DT10" s="3370"/>
      <c r="DU10" s="3370"/>
      <c r="DV10" s="3370"/>
      <c r="DW10" s="3370"/>
      <c r="DX10" s="3370"/>
      <c r="DY10" s="3370"/>
      <c r="DZ10" s="3370"/>
      <c r="EA10" s="3370"/>
      <c r="EB10" s="3370"/>
      <c r="EC10" s="3370"/>
      <c r="ED10" s="3370"/>
      <c r="EE10" s="3370"/>
      <c r="EF10" s="3370"/>
      <c r="EG10" s="3370"/>
      <c r="EH10" s="3370"/>
      <c r="EI10" s="3370"/>
      <c r="EJ10" s="3370"/>
      <c r="EK10" s="3370"/>
      <c r="EL10" s="3370"/>
      <c r="EM10" s="3370"/>
      <c r="EN10" s="3370"/>
      <c r="EO10" s="3370"/>
      <c r="EP10" s="3370"/>
      <c r="EQ10" s="3370"/>
      <c r="ER10" s="3370"/>
      <c r="ES10" s="3370"/>
      <c r="ET10" s="3370"/>
      <c r="EU10" s="3370"/>
      <c r="EV10" s="3370"/>
      <c r="EW10" s="3370"/>
      <c r="EX10" s="3370"/>
      <c r="EY10" s="3370"/>
      <c r="EZ10" s="3370"/>
      <c r="FA10" s="3370"/>
      <c r="FB10" s="3370"/>
      <c r="FC10" s="3370"/>
      <c r="FD10" s="3370"/>
      <c r="FE10" s="3370"/>
      <c r="FF10" s="3370"/>
      <c r="FG10" s="3370"/>
      <c r="FH10" s="3370"/>
      <c r="FI10" s="3370"/>
      <c r="FJ10" s="3370"/>
      <c r="FK10" s="3370"/>
      <c r="FL10" s="3370"/>
      <c r="FM10" s="3370"/>
      <c r="FN10" s="3370"/>
      <c r="FO10" s="3370"/>
      <c r="FP10" s="3370"/>
      <c r="FQ10" s="3370"/>
      <c r="FR10" s="3370"/>
      <c r="FS10" s="3370"/>
      <c r="FT10" s="3370"/>
      <c r="FU10" s="3370"/>
      <c r="FV10" s="3370"/>
      <c r="FW10" s="3370"/>
      <c r="FX10" s="3370"/>
      <c r="FY10" s="3370"/>
      <c r="FZ10" s="3370"/>
      <c r="GA10" s="3370"/>
      <c r="GB10" s="3370"/>
      <c r="GC10" s="3370"/>
      <c r="GD10" s="3370"/>
      <c r="GE10" s="3370"/>
      <c r="GF10" s="3370"/>
      <c r="GG10" s="3370"/>
      <c r="GH10" s="3370"/>
      <c r="GI10" s="3370"/>
      <c r="GJ10" s="3370"/>
      <c r="GK10" s="3370"/>
      <c r="GL10" s="3370"/>
      <c r="GM10" s="3370"/>
      <c r="GN10" s="3370"/>
      <c r="GO10" s="3370"/>
      <c r="GP10" s="3370"/>
      <c r="GQ10" s="3370"/>
      <c r="GR10" s="3370"/>
      <c r="GS10" s="3370"/>
      <c r="GT10" s="3370"/>
      <c r="GU10" s="3370"/>
      <c r="GV10" s="3370"/>
      <c r="GW10" s="3370"/>
      <c r="GX10" s="3370"/>
      <c r="GY10" s="3370"/>
      <c r="GZ10" s="3370"/>
      <c r="HA10" s="3370"/>
      <c r="HB10" s="3370"/>
      <c r="HC10" s="3370"/>
      <c r="HD10" s="3370"/>
      <c r="HE10" s="3370"/>
      <c r="HF10" s="3370"/>
    </row>
    <row r="11" spans="1:239" s="3376" customFormat="1" ht="63.75" customHeight="1">
      <c r="A11" s="3388">
        <v>8</v>
      </c>
      <c r="B11" s="3389" t="s">
        <v>3347</v>
      </c>
      <c r="C11" s="3389" t="s">
        <v>3348</v>
      </c>
      <c r="D11" s="3390" t="s">
        <v>3349</v>
      </c>
      <c r="E11" s="3390">
        <v>417</v>
      </c>
      <c r="F11" s="3390" t="s">
        <v>3350</v>
      </c>
      <c r="G11" s="3390" t="s">
        <v>3351</v>
      </c>
      <c r="H11" s="3390" t="s">
        <v>3352</v>
      </c>
      <c r="I11" s="3391">
        <v>1600000</v>
      </c>
      <c r="J11" s="3391">
        <f>I11/365/E11</f>
        <v>10.512138234617785</v>
      </c>
      <c r="K11" s="3390" t="s">
        <v>3332</v>
      </c>
      <c r="L11" s="3392" t="s">
        <v>3353</v>
      </c>
      <c r="M11" s="3393" t="s">
        <v>3325</v>
      </c>
      <c r="N11" s="3394" t="s">
        <v>3325</v>
      </c>
      <c r="O11" s="3394" t="s">
        <v>3325</v>
      </c>
      <c r="P11" s="3394" t="s">
        <v>3325</v>
      </c>
      <c r="Q11" s="3394"/>
      <c r="R11" s="3390">
        <v>47</v>
      </c>
      <c r="S11" s="3395">
        <f>R11*E11</f>
        <v>19599</v>
      </c>
      <c r="T11" s="3390" t="s">
        <v>3307</v>
      </c>
      <c r="U11" s="3390" t="s">
        <v>3354</v>
      </c>
      <c r="V11" s="3390" t="s">
        <v>3355</v>
      </c>
      <c r="W11" s="3390" t="s">
        <v>3356</v>
      </c>
      <c r="X11" s="3394"/>
      <c r="Y11" s="3402"/>
      <c r="Z11" s="3391">
        <v>0</v>
      </c>
      <c r="AA11" s="3391">
        <f>I11/4</f>
        <v>400000</v>
      </c>
      <c r="AB11" s="3397">
        <f t="shared" si="0"/>
        <v>400000</v>
      </c>
      <c r="AC11" s="3391"/>
      <c r="AD11" s="3391">
        <v>0</v>
      </c>
      <c r="AE11" s="3391">
        <f>I11/4</f>
        <v>400000</v>
      </c>
      <c r="AF11" s="3397">
        <f t="shared" si="1"/>
        <v>400000</v>
      </c>
      <c r="AG11" s="3397">
        <f t="shared" si="2"/>
        <v>800000</v>
      </c>
      <c r="AH11" s="3391"/>
      <c r="AI11" s="3391">
        <v>0</v>
      </c>
      <c r="AJ11" s="3391" t="e">
        <f>#REF!/4</f>
        <v>#REF!</v>
      </c>
      <c r="AK11" s="3397" t="e">
        <f t="shared" si="3"/>
        <v>#REF!</v>
      </c>
      <c r="AL11" s="3397" t="e">
        <f t="shared" si="4"/>
        <v>#REF!</v>
      </c>
      <c r="AM11" s="3391"/>
      <c r="AN11" s="3391">
        <v>0</v>
      </c>
      <c r="AO11" s="3391" t="e">
        <f>#REF!/4</f>
        <v>#REF!</v>
      </c>
      <c r="AP11" s="3397" t="e">
        <f t="shared" si="5"/>
        <v>#REF!</v>
      </c>
      <c r="AQ11" s="3401" t="e">
        <f t="shared" si="6"/>
        <v>#REF!</v>
      </c>
      <c r="AR11" s="3370"/>
      <c r="AS11" s="3370"/>
      <c r="AT11" s="3370"/>
      <c r="AU11" s="3370"/>
      <c r="AV11" s="3370"/>
      <c r="AW11" s="3370"/>
      <c r="AX11" s="3370"/>
      <c r="AY11" s="3370"/>
      <c r="AZ11" s="3370"/>
      <c r="BA11" s="3370"/>
      <c r="BB11" s="3370"/>
      <c r="BC11" s="3370"/>
      <c r="BD11" s="3370"/>
      <c r="BE11" s="3370"/>
      <c r="BF11" s="3370"/>
      <c r="BG11" s="3370"/>
      <c r="BH11" s="3370"/>
      <c r="BI11" s="3370"/>
      <c r="BJ11" s="3370"/>
      <c r="BK11" s="3370"/>
      <c r="BL11" s="3370"/>
      <c r="BM11" s="3370"/>
      <c r="BN11" s="3370"/>
      <c r="BO11" s="3370"/>
      <c r="BP11" s="3370"/>
      <c r="BQ11" s="3370"/>
      <c r="BR11" s="3370"/>
      <c r="BS11" s="3370"/>
      <c r="BT11" s="3370"/>
      <c r="BU11" s="3370"/>
      <c r="BV11" s="3370"/>
      <c r="BW11" s="3370"/>
      <c r="BX11" s="3370"/>
      <c r="BY11" s="3370"/>
      <c r="BZ11" s="3370"/>
      <c r="CA11" s="3370"/>
      <c r="CB11" s="3370"/>
      <c r="CC11" s="3370"/>
      <c r="CD11" s="3370"/>
      <c r="CE11" s="3370"/>
      <c r="CF11" s="3370"/>
      <c r="CG11" s="3370"/>
      <c r="CH11" s="3370"/>
      <c r="CI11" s="3370"/>
      <c r="CJ11" s="3370"/>
      <c r="CK11" s="3370"/>
      <c r="CL11" s="3370"/>
      <c r="CM11" s="3370"/>
      <c r="CN11" s="3370"/>
      <c r="CO11" s="3370"/>
      <c r="CP11" s="3370"/>
      <c r="CQ11" s="3370"/>
      <c r="CR11" s="3370"/>
      <c r="CS11" s="3370"/>
      <c r="CT11" s="3370"/>
      <c r="CU11" s="3370"/>
      <c r="CV11" s="3370"/>
      <c r="CW11" s="3370"/>
      <c r="CX11" s="3370"/>
      <c r="CY11" s="3370"/>
      <c r="CZ11" s="3370"/>
      <c r="DA11" s="3370"/>
      <c r="DB11" s="3370"/>
      <c r="DC11" s="3370"/>
      <c r="DD11" s="3370"/>
      <c r="DE11" s="3370"/>
      <c r="DF11" s="3370"/>
      <c r="DG11" s="3370"/>
      <c r="DH11" s="3370"/>
      <c r="DI11" s="3370"/>
      <c r="DJ11" s="3370"/>
      <c r="DK11" s="3370"/>
      <c r="DL11" s="3370"/>
      <c r="DM11" s="3370"/>
      <c r="DN11" s="3370"/>
      <c r="DO11" s="3370"/>
      <c r="DP11" s="3370"/>
      <c r="DQ11" s="3370"/>
      <c r="DR11" s="3370"/>
      <c r="DS11" s="3370"/>
      <c r="DT11" s="3370"/>
      <c r="DU11" s="3370"/>
      <c r="DV11" s="3370"/>
      <c r="DW11" s="3370"/>
      <c r="DX11" s="3370"/>
      <c r="DY11" s="3370"/>
      <c r="DZ11" s="3370"/>
      <c r="EA11" s="3370"/>
      <c r="EB11" s="3370"/>
      <c r="EC11" s="3370"/>
      <c r="ED11" s="3370"/>
      <c r="EE11" s="3370"/>
      <c r="EF11" s="3370"/>
      <c r="EG11" s="3370"/>
      <c r="EH11" s="3370"/>
      <c r="EI11" s="3370"/>
      <c r="EJ11" s="3370"/>
      <c r="EK11" s="3370"/>
      <c r="EL11" s="3370"/>
      <c r="EM11" s="3370"/>
      <c r="EN11" s="3370"/>
      <c r="EO11" s="3370"/>
      <c r="EP11" s="3370"/>
      <c r="EQ11" s="3370"/>
      <c r="ER11" s="3370"/>
      <c r="ES11" s="3370"/>
      <c r="ET11" s="3370"/>
      <c r="EU11" s="3370"/>
      <c r="EV11" s="3370"/>
      <c r="EW11" s="3370"/>
      <c r="EX11" s="3370"/>
      <c r="EY11" s="3370"/>
      <c r="EZ11" s="3370"/>
      <c r="FA11" s="3370"/>
      <c r="FB11" s="3370"/>
      <c r="FC11" s="3370"/>
      <c r="FD11" s="3370"/>
      <c r="FE11" s="3370"/>
      <c r="FF11" s="3370"/>
      <c r="FG11" s="3370"/>
      <c r="FH11" s="3370"/>
      <c r="FI11" s="3370"/>
      <c r="FJ11" s="3370"/>
      <c r="FK11" s="3370"/>
      <c r="FL11" s="3370"/>
      <c r="FM11" s="3370"/>
      <c r="FN11" s="3370"/>
      <c r="FO11" s="3370"/>
      <c r="FP11" s="3370"/>
      <c r="FQ11" s="3370"/>
      <c r="FR11" s="3370"/>
      <c r="FS11" s="3370"/>
      <c r="FT11" s="3370"/>
      <c r="FU11" s="3370"/>
      <c r="FV11" s="3370"/>
      <c r="FW11" s="3370"/>
      <c r="FX11" s="3370"/>
      <c r="FY11" s="3370"/>
      <c r="FZ11" s="3370"/>
      <c r="GA11" s="3370"/>
      <c r="GB11" s="3370"/>
      <c r="GC11" s="3370"/>
      <c r="GD11" s="3370"/>
      <c r="GE11" s="3370"/>
      <c r="GF11" s="3370"/>
      <c r="GG11" s="3370"/>
      <c r="GH11" s="3370"/>
      <c r="GI11" s="3370"/>
      <c r="GJ11" s="3370"/>
      <c r="GK11" s="3370"/>
      <c r="GL11" s="3370"/>
      <c r="GM11" s="3370"/>
      <c r="GN11" s="3370"/>
      <c r="GO11" s="3370"/>
      <c r="GP11" s="3370"/>
      <c r="GQ11" s="3370"/>
      <c r="GR11" s="3370"/>
      <c r="GS11" s="3370"/>
      <c r="GT11" s="3370"/>
      <c r="GU11" s="3370"/>
      <c r="GV11" s="3370"/>
      <c r="GW11" s="3370"/>
      <c r="GX11" s="3370"/>
      <c r="GY11" s="3370"/>
      <c r="GZ11" s="3370"/>
      <c r="HA11" s="3370"/>
      <c r="HB11" s="3370"/>
      <c r="HC11" s="3370"/>
      <c r="HD11" s="3370"/>
      <c r="HE11" s="3370"/>
      <c r="HF11" s="3370"/>
    </row>
    <row r="12" spans="1:239" s="3376" customFormat="1" ht="93.75" customHeight="1">
      <c r="A12" s="3388">
        <v>9</v>
      </c>
      <c r="B12" s="3389" t="s">
        <v>3357</v>
      </c>
      <c r="C12" s="3389" t="s">
        <v>3358</v>
      </c>
      <c r="D12" s="3390" t="s">
        <v>3341</v>
      </c>
      <c r="E12" s="3390"/>
      <c r="F12" s="3390" t="s">
        <v>3337</v>
      </c>
      <c r="G12" s="3390" t="s">
        <v>3359</v>
      </c>
      <c r="H12" s="3390" t="s">
        <v>3360</v>
      </c>
      <c r="I12" s="3391">
        <v>800000</v>
      </c>
      <c r="J12" s="3391"/>
      <c r="K12" s="3390" t="s">
        <v>3306</v>
      </c>
      <c r="L12" s="3392" t="s">
        <v>3361</v>
      </c>
      <c r="M12" s="3393"/>
      <c r="N12" s="3394"/>
      <c r="O12" s="3394"/>
      <c r="P12" s="3394"/>
      <c r="Q12" s="3394"/>
      <c r="R12" s="3390"/>
      <c r="S12" s="3395">
        <f>R12*E12</f>
        <v>0</v>
      </c>
      <c r="T12" s="3394"/>
      <c r="U12" s="3394"/>
      <c r="V12" s="3390" t="s">
        <v>3362</v>
      </c>
      <c r="W12" s="3394"/>
      <c r="X12" s="3390" t="s">
        <v>3363</v>
      </c>
      <c r="Y12" s="3402">
        <v>0</v>
      </c>
      <c r="Z12" s="3391">
        <v>0</v>
      </c>
      <c r="AA12" s="3391" t="e">
        <f>#REF!/2</f>
        <v>#REF!</v>
      </c>
      <c r="AB12" s="3397" t="e">
        <f t="shared" si="0"/>
        <v>#REF!</v>
      </c>
      <c r="AC12" s="3391">
        <v>0</v>
      </c>
      <c r="AD12" s="3391">
        <v>0</v>
      </c>
      <c r="AE12" s="3391">
        <v>0</v>
      </c>
      <c r="AF12" s="3397">
        <f t="shared" si="1"/>
        <v>0</v>
      </c>
      <c r="AG12" s="3397" t="e">
        <f t="shared" si="2"/>
        <v>#REF!</v>
      </c>
      <c r="AH12" s="3391">
        <v>0</v>
      </c>
      <c r="AI12" s="3391">
        <v>0</v>
      </c>
      <c r="AJ12" s="3391" t="e">
        <f>#REF!/2</f>
        <v>#REF!</v>
      </c>
      <c r="AK12" s="3397" t="e">
        <f t="shared" si="3"/>
        <v>#REF!</v>
      </c>
      <c r="AL12" s="3397" t="e">
        <f t="shared" si="4"/>
        <v>#REF!</v>
      </c>
      <c r="AM12" s="3391">
        <v>0</v>
      </c>
      <c r="AN12" s="3391">
        <v>0</v>
      </c>
      <c r="AO12" s="3391">
        <v>0</v>
      </c>
      <c r="AP12" s="3397">
        <f t="shared" si="5"/>
        <v>0</v>
      </c>
      <c r="AQ12" s="3401" t="e">
        <f t="shared" si="6"/>
        <v>#REF!</v>
      </c>
      <c r="AR12" s="3370"/>
      <c r="AS12" s="3370"/>
      <c r="AT12" s="3370"/>
      <c r="AU12" s="3370"/>
      <c r="AV12" s="3370"/>
      <c r="AW12" s="3370"/>
      <c r="AX12" s="3370"/>
      <c r="AY12" s="3370"/>
      <c r="AZ12" s="3370"/>
      <c r="BA12" s="3370"/>
      <c r="BB12" s="3370"/>
      <c r="BC12" s="3370"/>
      <c r="BD12" s="3370"/>
      <c r="BE12" s="3370"/>
      <c r="BF12" s="3370"/>
      <c r="BG12" s="3370"/>
      <c r="BH12" s="3370"/>
      <c r="BI12" s="3370"/>
      <c r="BJ12" s="3370"/>
      <c r="BK12" s="3370"/>
      <c r="BL12" s="3370"/>
      <c r="BM12" s="3370"/>
      <c r="BN12" s="3370"/>
      <c r="BO12" s="3370"/>
      <c r="BP12" s="3370"/>
      <c r="BQ12" s="3370"/>
      <c r="BR12" s="3370"/>
      <c r="BS12" s="3370"/>
      <c r="BT12" s="3370"/>
      <c r="BU12" s="3370"/>
      <c r="BV12" s="3370"/>
      <c r="BW12" s="3370"/>
      <c r="BX12" s="3370"/>
      <c r="BY12" s="3370"/>
      <c r="BZ12" s="3370"/>
      <c r="CA12" s="3370"/>
      <c r="CB12" s="3370"/>
      <c r="CC12" s="3370"/>
      <c r="CD12" s="3370"/>
      <c r="CE12" s="3370"/>
      <c r="CF12" s="3370"/>
      <c r="CG12" s="3370"/>
      <c r="CH12" s="3370"/>
      <c r="CI12" s="3370"/>
      <c r="CJ12" s="3370"/>
      <c r="CK12" s="3370"/>
      <c r="CL12" s="3370"/>
      <c r="CM12" s="3370"/>
      <c r="CN12" s="3370"/>
      <c r="CO12" s="3370"/>
      <c r="CP12" s="3370"/>
      <c r="CQ12" s="3370"/>
      <c r="CR12" s="3370"/>
      <c r="CS12" s="3370"/>
      <c r="CT12" s="3370"/>
      <c r="CU12" s="3370"/>
      <c r="CV12" s="3370"/>
      <c r="CW12" s="3370"/>
      <c r="CX12" s="3370"/>
      <c r="CY12" s="3370"/>
      <c r="CZ12" s="3370"/>
      <c r="DA12" s="3370"/>
      <c r="DB12" s="3370"/>
      <c r="DC12" s="3370"/>
      <c r="DD12" s="3370"/>
      <c r="DE12" s="3370"/>
      <c r="DF12" s="3370"/>
      <c r="DG12" s="3370"/>
      <c r="DH12" s="3370"/>
      <c r="DI12" s="3370"/>
      <c r="DJ12" s="3370"/>
      <c r="DK12" s="3370"/>
      <c r="DL12" s="3370"/>
      <c r="DM12" s="3370"/>
      <c r="DN12" s="3370"/>
      <c r="DO12" s="3370"/>
      <c r="DP12" s="3370"/>
      <c r="DQ12" s="3370"/>
      <c r="DR12" s="3370"/>
      <c r="DS12" s="3370"/>
      <c r="DT12" s="3370"/>
      <c r="DU12" s="3370"/>
      <c r="DV12" s="3370"/>
      <c r="DW12" s="3370"/>
      <c r="DX12" s="3370"/>
      <c r="DY12" s="3370"/>
      <c r="DZ12" s="3370"/>
      <c r="EA12" s="3370"/>
      <c r="EB12" s="3370"/>
      <c r="EC12" s="3370"/>
      <c r="ED12" s="3370"/>
      <c r="EE12" s="3370"/>
      <c r="EF12" s="3370"/>
      <c r="EG12" s="3370"/>
      <c r="EH12" s="3370"/>
      <c r="EI12" s="3370"/>
      <c r="EJ12" s="3370"/>
      <c r="EK12" s="3370"/>
      <c r="EL12" s="3370"/>
      <c r="EM12" s="3370"/>
      <c r="EN12" s="3370"/>
      <c r="EO12" s="3370"/>
      <c r="EP12" s="3370"/>
      <c r="EQ12" s="3370"/>
      <c r="ER12" s="3370"/>
      <c r="ES12" s="3370"/>
      <c r="ET12" s="3370"/>
      <c r="EU12" s="3370"/>
      <c r="EV12" s="3370"/>
      <c r="EW12" s="3370"/>
      <c r="EX12" s="3370"/>
      <c r="EY12" s="3370"/>
      <c r="EZ12" s="3370"/>
      <c r="FA12" s="3370"/>
      <c r="FB12" s="3370"/>
      <c r="FC12" s="3370"/>
      <c r="FD12" s="3370"/>
      <c r="FE12" s="3370"/>
      <c r="FF12" s="3370"/>
      <c r="FG12" s="3370"/>
      <c r="FH12" s="3370"/>
      <c r="FI12" s="3370"/>
      <c r="FJ12" s="3370"/>
      <c r="FK12" s="3370"/>
      <c r="FL12" s="3370"/>
      <c r="FM12" s="3370"/>
      <c r="FN12" s="3370"/>
      <c r="FO12" s="3370"/>
      <c r="FP12" s="3370"/>
      <c r="FQ12" s="3370"/>
      <c r="FR12" s="3370"/>
      <c r="FS12" s="3370"/>
      <c r="FT12" s="3370"/>
      <c r="FU12" s="3370"/>
      <c r="FV12" s="3370"/>
      <c r="FW12" s="3370"/>
      <c r="FX12" s="3370"/>
      <c r="FY12" s="3370"/>
      <c r="FZ12" s="3370"/>
      <c r="GA12" s="3370"/>
      <c r="GB12" s="3370"/>
      <c r="GC12" s="3370"/>
      <c r="GD12" s="3370"/>
      <c r="GE12" s="3370"/>
      <c r="GF12" s="3370"/>
      <c r="GG12" s="3370"/>
      <c r="GH12" s="3370"/>
      <c r="GI12" s="3370"/>
      <c r="GJ12" s="3370"/>
      <c r="GK12" s="3370"/>
      <c r="GL12" s="3370"/>
      <c r="GM12" s="3370"/>
      <c r="GN12" s="3370"/>
      <c r="GO12" s="3370"/>
      <c r="GP12" s="3370"/>
      <c r="GQ12" s="3370"/>
      <c r="GR12" s="3370"/>
      <c r="GS12" s="3370"/>
      <c r="GT12" s="3370"/>
      <c r="GU12" s="3370"/>
      <c r="GV12" s="3370"/>
      <c r="GW12" s="3370"/>
      <c r="GX12" s="3370"/>
      <c r="GY12" s="3370"/>
      <c r="GZ12" s="3370"/>
      <c r="HA12" s="3370"/>
      <c r="HB12" s="3370"/>
      <c r="HC12" s="3370"/>
      <c r="HD12" s="3370"/>
      <c r="HE12" s="3370"/>
      <c r="HF12" s="3370"/>
    </row>
    <row r="13" spans="1:239" s="3376" customFormat="1" ht="87" customHeight="1">
      <c r="A13" s="3388">
        <v>10</v>
      </c>
      <c r="B13" s="3389" t="s">
        <v>3364</v>
      </c>
      <c r="C13" s="3389" t="s">
        <v>3365</v>
      </c>
      <c r="D13" s="3390" t="s">
        <v>3312</v>
      </c>
      <c r="E13" s="3390">
        <v>425</v>
      </c>
      <c r="F13" s="3390" t="s">
        <v>3366</v>
      </c>
      <c r="G13" s="3390" t="s">
        <v>3367</v>
      </c>
      <c r="H13" s="3390" t="s">
        <v>3368</v>
      </c>
      <c r="I13" s="3391">
        <v>1396125</v>
      </c>
      <c r="J13" s="3391">
        <f>I13/365/E13</f>
        <v>9</v>
      </c>
      <c r="K13" s="3390" t="s">
        <v>3332</v>
      </c>
      <c r="L13" s="3392" t="s">
        <v>3369</v>
      </c>
      <c r="M13" s="3393" t="s">
        <v>3325</v>
      </c>
      <c r="N13" s="3394" t="s">
        <v>3325</v>
      </c>
      <c r="O13" s="3394" t="s">
        <v>3325</v>
      </c>
      <c r="P13" s="3394" t="s">
        <v>3325</v>
      </c>
      <c r="Q13" s="3394"/>
      <c r="R13" s="3390">
        <v>47</v>
      </c>
      <c r="S13" s="3395">
        <f>R13*E13</f>
        <v>19975</v>
      </c>
      <c r="T13" s="3404"/>
      <c r="U13" s="3405" t="s">
        <v>3370</v>
      </c>
      <c r="V13" s="3405" t="s">
        <v>3371</v>
      </c>
      <c r="W13" s="3390" t="s">
        <v>3356</v>
      </c>
      <c r="X13" s="3405" t="s">
        <v>3372</v>
      </c>
      <c r="Y13" s="3406" t="e">
        <f>#REF!/4</f>
        <v>#REF!</v>
      </c>
      <c r="Z13" s="3407"/>
      <c r="AA13" s="3407"/>
      <c r="AB13" s="3397" t="e">
        <f t="shared" si="0"/>
        <v>#REF!</v>
      </c>
      <c r="AC13" s="3407" t="e">
        <f>#REF!/4</f>
        <v>#REF!</v>
      </c>
      <c r="AD13" s="3407"/>
      <c r="AE13" s="3407"/>
      <c r="AF13" s="3397" t="e">
        <f t="shared" si="1"/>
        <v>#REF!</v>
      </c>
      <c r="AG13" s="3397" t="e">
        <f t="shared" si="2"/>
        <v>#REF!</v>
      </c>
      <c r="AH13" s="3408" t="e">
        <f>#REF!/4</f>
        <v>#REF!</v>
      </c>
      <c r="AI13" s="3407"/>
      <c r="AJ13" s="3407"/>
      <c r="AK13" s="3397" t="e">
        <f t="shared" si="3"/>
        <v>#REF!</v>
      </c>
      <c r="AL13" s="3397" t="e">
        <f t="shared" si="4"/>
        <v>#REF!</v>
      </c>
      <c r="AM13" s="3407" t="e">
        <f>#REF!/4</f>
        <v>#REF!</v>
      </c>
      <c r="AN13" s="3407"/>
      <c r="AO13" s="3407"/>
      <c r="AP13" s="3397" t="e">
        <f t="shared" si="5"/>
        <v>#REF!</v>
      </c>
      <c r="AQ13" s="3401" t="e">
        <f t="shared" si="6"/>
        <v>#REF!</v>
      </c>
      <c r="AR13" s="3370"/>
      <c r="AS13" s="3370"/>
      <c r="AT13" s="3370"/>
      <c r="AU13" s="3370"/>
      <c r="AV13" s="3370"/>
      <c r="AW13" s="3370"/>
      <c r="AX13" s="3370"/>
      <c r="AY13" s="3370"/>
      <c r="AZ13" s="3370"/>
      <c r="BA13" s="3370"/>
      <c r="BB13" s="3370"/>
      <c r="BC13" s="3370"/>
      <c r="BD13" s="3370"/>
      <c r="BE13" s="3370"/>
      <c r="BF13" s="3370"/>
      <c r="BG13" s="3370"/>
      <c r="BH13" s="3370"/>
      <c r="BI13" s="3370"/>
      <c r="BJ13" s="3370"/>
      <c r="BK13" s="3370"/>
      <c r="BL13" s="3370"/>
      <c r="BM13" s="3370"/>
      <c r="BN13" s="3370"/>
      <c r="BO13" s="3370"/>
      <c r="BP13" s="3370"/>
      <c r="BQ13" s="3370"/>
      <c r="BR13" s="3370"/>
      <c r="BS13" s="3370"/>
      <c r="BT13" s="3370"/>
      <c r="BU13" s="3370"/>
      <c r="BV13" s="3370"/>
      <c r="BW13" s="3370"/>
      <c r="BX13" s="3370"/>
      <c r="BY13" s="3370"/>
      <c r="BZ13" s="3370"/>
      <c r="CA13" s="3370"/>
      <c r="CB13" s="3370"/>
      <c r="CC13" s="3370"/>
      <c r="CD13" s="3370"/>
      <c r="CE13" s="3370"/>
      <c r="CF13" s="3370"/>
      <c r="CG13" s="3370"/>
      <c r="CH13" s="3370"/>
      <c r="CI13" s="3370"/>
      <c r="CJ13" s="3370"/>
      <c r="CK13" s="3370"/>
      <c r="CL13" s="3370"/>
      <c r="CM13" s="3370"/>
      <c r="CN13" s="3370"/>
      <c r="CO13" s="3370"/>
      <c r="CP13" s="3370"/>
      <c r="CQ13" s="3370"/>
      <c r="CR13" s="3370"/>
      <c r="CS13" s="3370"/>
      <c r="CT13" s="3370"/>
      <c r="CU13" s="3370"/>
      <c r="CV13" s="3370"/>
      <c r="CW13" s="3370"/>
      <c r="CX13" s="3370"/>
      <c r="CY13" s="3370"/>
      <c r="CZ13" s="3370"/>
      <c r="DA13" s="3370"/>
      <c r="DB13" s="3370"/>
      <c r="DC13" s="3370"/>
      <c r="DD13" s="3370"/>
      <c r="DE13" s="3370"/>
      <c r="DF13" s="3370"/>
      <c r="DG13" s="3370"/>
      <c r="DH13" s="3370"/>
      <c r="DI13" s="3370"/>
      <c r="DJ13" s="3370"/>
      <c r="DK13" s="3370"/>
      <c r="DL13" s="3370"/>
      <c r="DM13" s="3370"/>
      <c r="DN13" s="3370"/>
      <c r="DO13" s="3370"/>
      <c r="DP13" s="3370"/>
      <c r="DQ13" s="3370"/>
      <c r="DR13" s="3370"/>
      <c r="DS13" s="3370"/>
      <c r="DT13" s="3370"/>
      <c r="DU13" s="3370"/>
      <c r="DV13" s="3370"/>
      <c r="DW13" s="3370"/>
      <c r="DX13" s="3370"/>
      <c r="DY13" s="3370"/>
      <c r="DZ13" s="3370"/>
      <c r="EA13" s="3370"/>
      <c r="EB13" s="3370"/>
      <c r="EC13" s="3370"/>
      <c r="ED13" s="3370"/>
      <c r="EE13" s="3370"/>
      <c r="EF13" s="3370"/>
      <c r="EG13" s="3370"/>
      <c r="EH13" s="3370"/>
      <c r="EI13" s="3370"/>
      <c r="EJ13" s="3370"/>
      <c r="EK13" s="3370"/>
      <c r="EL13" s="3370"/>
      <c r="EM13" s="3370"/>
      <c r="EN13" s="3370"/>
      <c r="EO13" s="3370"/>
      <c r="EP13" s="3370"/>
      <c r="EQ13" s="3370"/>
      <c r="ER13" s="3370"/>
      <c r="ES13" s="3370"/>
      <c r="ET13" s="3370"/>
      <c r="EU13" s="3370"/>
      <c r="EV13" s="3370"/>
      <c r="EW13" s="3370"/>
      <c r="EX13" s="3370"/>
      <c r="EY13" s="3370"/>
      <c r="EZ13" s="3370"/>
      <c r="FA13" s="3370"/>
      <c r="FB13" s="3370"/>
      <c r="FC13" s="3370"/>
      <c r="FD13" s="3370"/>
      <c r="FE13" s="3370"/>
      <c r="FF13" s="3370"/>
      <c r="FG13" s="3370"/>
      <c r="FH13" s="3370"/>
      <c r="FI13" s="3370"/>
      <c r="FJ13" s="3370"/>
      <c r="FK13" s="3370"/>
      <c r="FL13" s="3370"/>
      <c r="FM13" s="3370"/>
      <c r="FN13" s="3370"/>
      <c r="FO13" s="3370"/>
      <c r="FP13" s="3370"/>
      <c r="FQ13" s="3370"/>
      <c r="FR13" s="3370"/>
      <c r="FS13" s="3370"/>
      <c r="FT13" s="3370"/>
      <c r="FU13" s="3370"/>
      <c r="FV13" s="3370"/>
      <c r="FW13" s="3370"/>
      <c r="FX13" s="3370"/>
      <c r="FY13" s="3370"/>
      <c r="FZ13" s="3370"/>
      <c r="GA13" s="3370"/>
      <c r="GB13" s="3370"/>
      <c r="GC13" s="3370"/>
      <c r="GD13" s="3370"/>
      <c r="GE13" s="3370"/>
      <c r="GF13" s="3370"/>
      <c r="GG13" s="3370"/>
      <c r="GH13" s="3370"/>
      <c r="GI13" s="3370"/>
      <c r="GJ13" s="3370"/>
      <c r="GK13" s="3370"/>
      <c r="GL13" s="3370"/>
      <c r="GM13" s="3370"/>
      <c r="GN13" s="3370"/>
      <c r="GO13" s="3370"/>
      <c r="GP13" s="3370"/>
      <c r="GQ13" s="3370"/>
      <c r="GR13" s="3370"/>
      <c r="GS13" s="3370"/>
      <c r="GT13" s="3370"/>
      <c r="GU13" s="3370"/>
      <c r="GV13" s="3370"/>
      <c r="GW13" s="3370"/>
      <c r="GX13" s="3370"/>
      <c r="GY13" s="3370"/>
      <c r="GZ13" s="3370"/>
      <c r="HA13" s="3370"/>
      <c r="HB13" s="3370"/>
      <c r="HC13" s="3370"/>
      <c r="HD13" s="3370"/>
      <c r="HE13" s="3370"/>
      <c r="HF13" s="3370"/>
    </row>
    <row r="14" spans="1:239" s="3376" customFormat="1" ht="30" customHeight="1">
      <c r="A14" s="3409"/>
      <c r="B14" s="3389"/>
      <c r="C14" s="3389"/>
      <c r="D14" s="3390"/>
      <c r="E14" s="3390"/>
      <c r="F14" s="3390"/>
      <c r="G14" s="3390"/>
      <c r="H14" s="3390"/>
      <c r="I14" s="3391"/>
      <c r="J14" s="3391"/>
      <c r="K14" s="3390"/>
      <c r="L14" s="3392"/>
      <c r="M14" s="3410"/>
      <c r="N14" s="3404"/>
      <c r="O14" s="3404"/>
      <c r="P14" s="3404"/>
      <c r="Q14" s="3404"/>
      <c r="R14" s="3405"/>
      <c r="S14" s="3411"/>
      <c r="T14" s="3404"/>
      <c r="U14" s="3404"/>
      <c r="V14" s="3405"/>
      <c r="W14" s="3404"/>
      <c r="X14" s="3405"/>
      <c r="Y14" s="3406"/>
      <c r="Z14" s="3407"/>
      <c r="AA14" s="3407"/>
      <c r="AB14" s="3412"/>
      <c r="AC14" s="3407"/>
      <c r="AD14" s="3407"/>
      <c r="AE14" s="3407"/>
      <c r="AF14" s="3412"/>
      <c r="AG14" s="3412"/>
      <c r="AH14" s="3407"/>
      <c r="AI14" s="3407"/>
      <c r="AJ14" s="3407"/>
      <c r="AK14" s="3412"/>
      <c r="AL14" s="3412"/>
      <c r="AM14" s="3407"/>
      <c r="AN14" s="3407"/>
      <c r="AO14" s="3407"/>
      <c r="AP14" s="3412"/>
      <c r="AQ14" s="3413"/>
      <c r="AR14" s="3370"/>
      <c r="AS14" s="3370"/>
      <c r="AT14" s="3370"/>
      <c r="AU14" s="3370"/>
      <c r="AV14" s="3370"/>
      <c r="AW14" s="3370"/>
      <c r="AX14" s="3370"/>
      <c r="AY14" s="3370"/>
      <c r="AZ14" s="3370"/>
      <c r="BA14" s="3370"/>
      <c r="BB14" s="3370"/>
      <c r="BC14" s="3370"/>
      <c r="BD14" s="3370"/>
      <c r="BE14" s="3370"/>
      <c r="BF14" s="3370"/>
      <c r="BG14" s="3370"/>
      <c r="BH14" s="3370"/>
      <c r="BI14" s="3370"/>
      <c r="BJ14" s="3370"/>
      <c r="BK14" s="3370"/>
      <c r="BL14" s="3370"/>
      <c r="BM14" s="3370"/>
      <c r="BN14" s="3370"/>
      <c r="BO14" s="3370"/>
      <c r="BP14" s="3370"/>
      <c r="BQ14" s="3370"/>
      <c r="BR14" s="3370"/>
      <c r="BS14" s="3370"/>
      <c r="BT14" s="3370"/>
      <c r="BU14" s="3370"/>
      <c r="BV14" s="3370"/>
      <c r="BW14" s="3370"/>
      <c r="BX14" s="3370"/>
      <c r="BY14" s="3370"/>
      <c r="BZ14" s="3370"/>
      <c r="CA14" s="3370"/>
      <c r="CB14" s="3370"/>
      <c r="CC14" s="3370"/>
      <c r="CD14" s="3370"/>
      <c r="CE14" s="3370"/>
      <c r="CF14" s="3370"/>
      <c r="CG14" s="3370"/>
      <c r="CH14" s="3370"/>
      <c r="CI14" s="3370"/>
      <c r="CJ14" s="3370"/>
      <c r="CK14" s="3370"/>
      <c r="CL14" s="3370"/>
      <c r="CM14" s="3370"/>
      <c r="CN14" s="3370"/>
      <c r="CO14" s="3370"/>
      <c r="CP14" s="3370"/>
      <c r="CQ14" s="3370"/>
      <c r="CR14" s="3370"/>
      <c r="CS14" s="3370"/>
      <c r="CT14" s="3370"/>
      <c r="CU14" s="3370"/>
      <c r="CV14" s="3370"/>
      <c r="CW14" s="3370"/>
      <c r="CX14" s="3370"/>
      <c r="CY14" s="3370"/>
      <c r="CZ14" s="3370"/>
      <c r="DA14" s="3370"/>
      <c r="DB14" s="3370"/>
      <c r="DC14" s="3370"/>
      <c r="DD14" s="3370"/>
      <c r="DE14" s="3370"/>
      <c r="DF14" s="3370"/>
      <c r="DG14" s="3370"/>
      <c r="DH14" s="3370"/>
      <c r="DI14" s="3370"/>
      <c r="DJ14" s="3370"/>
      <c r="DK14" s="3370"/>
      <c r="DL14" s="3370"/>
      <c r="DM14" s="3370"/>
      <c r="DN14" s="3370"/>
      <c r="DO14" s="3370"/>
      <c r="DP14" s="3370"/>
      <c r="DQ14" s="3370"/>
      <c r="DR14" s="3370"/>
      <c r="DS14" s="3370"/>
      <c r="DT14" s="3370"/>
      <c r="DU14" s="3370"/>
      <c r="DV14" s="3370"/>
      <c r="DW14" s="3370"/>
      <c r="DX14" s="3370"/>
      <c r="DY14" s="3370"/>
      <c r="DZ14" s="3370"/>
      <c r="EA14" s="3370"/>
      <c r="EB14" s="3370"/>
      <c r="EC14" s="3370"/>
      <c r="ED14" s="3370"/>
      <c r="EE14" s="3370"/>
      <c r="EF14" s="3370"/>
      <c r="EG14" s="3370"/>
      <c r="EH14" s="3370"/>
      <c r="EI14" s="3370"/>
      <c r="EJ14" s="3370"/>
      <c r="EK14" s="3370"/>
      <c r="EL14" s="3370"/>
      <c r="EM14" s="3370"/>
      <c r="EN14" s="3370"/>
      <c r="EO14" s="3370"/>
      <c r="EP14" s="3370"/>
      <c r="EQ14" s="3370"/>
      <c r="ER14" s="3370"/>
      <c r="ES14" s="3370"/>
      <c r="ET14" s="3370"/>
      <c r="EU14" s="3370"/>
      <c r="EV14" s="3370"/>
      <c r="EW14" s="3370"/>
      <c r="EX14" s="3370"/>
      <c r="EY14" s="3370"/>
      <c r="EZ14" s="3370"/>
      <c r="FA14" s="3370"/>
      <c r="FB14" s="3370"/>
      <c r="FC14" s="3370"/>
      <c r="FD14" s="3370"/>
      <c r="FE14" s="3370"/>
      <c r="FF14" s="3370"/>
      <c r="FG14" s="3370"/>
      <c r="FH14" s="3370"/>
      <c r="FI14" s="3370"/>
      <c r="FJ14" s="3370"/>
      <c r="FK14" s="3370"/>
      <c r="FL14" s="3370"/>
      <c r="FM14" s="3370"/>
      <c r="FN14" s="3370"/>
      <c r="FO14" s="3370"/>
      <c r="FP14" s="3370"/>
      <c r="FQ14" s="3370"/>
      <c r="FR14" s="3370"/>
      <c r="FS14" s="3370"/>
      <c r="FT14" s="3370"/>
      <c r="FU14" s="3370"/>
      <c r="FV14" s="3370"/>
      <c r="FW14" s="3370"/>
      <c r="FX14" s="3370"/>
      <c r="FY14" s="3370"/>
      <c r="FZ14" s="3370"/>
      <c r="GA14" s="3370"/>
      <c r="GB14" s="3370"/>
      <c r="GC14" s="3370"/>
      <c r="GD14" s="3370"/>
      <c r="GE14" s="3370"/>
      <c r="GF14" s="3370"/>
      <c r="GG14" s="3370"/>
      <c r="GH14" s="3370"/>
      <c r="GI14" s="3370"/>
      <c r="GJ14" s="3370"/>
      <c r="GK14" s="3370"/>
      <c r="GL14" s="3370"/>
      <c r="GM14" s="3370"/>
      <c r="GN14" s="3370"/>
      <c r="GO14" s="3370"/>
      <c r="GP14" s="3370"/>
      <c r="GQ14" s="3370"/>
      <c r="GR14" s="3370"/>
      <c r="GS14" s="3370"/>
      <c r="GT14" s="3370"/>
      <c r="GU14" s="3370"/>
      <c r="GV14" s="3370"/>
      <c r="GW14" s="3370"/>
      <c r="GX14" s="3370"/>
      <c r="GY14" s="3370"/>
      <c r="GZ14" s="3370"/>
      <c r="HA14" s="3370"/>
      <c r="HB14" s="3370"/>
      <c r="HC14" s="3370"/>
      <c r="HD14" s="3370"/>
      <c r="HE14" s="3370"/>
      <c r="HF14" s="3370"/>
    </row>
    <row r="15" spans="1:239" s="3376" customFormat="1" ht="30" customHeight="1" thickBot="1">
      <c r="A15" s="3414">
        <f>COUNT(A4:A13)</f>
        <v>10</v>
      </c>
      <c r="B15" s="3415"/>
      <c r="C15" s="3415"/>
      <c r="D15" s="3415"/>
      <c r="E15" s="3415">
        <f>SUM(E4:E14)</f>
        <v>2616</v>
      </c>
      <c r="F15" s="3415"/>
      <c r="G15" s="3415"/>
      <c r="H15" s="3415"/>
      <c r="I15" s="3416">
        <f>SUM(I4:I14)</f>
        <v>11033313</v>
      </c>
      <c r="J15" s="3417"/>
      <c r="K15" s="3415"/>
      <c r="L15" s="3418"/>
      <c r="M15" s="3419"/>
      <c r="N15" s="3420"/>
      <c r="O15" s="3420"/>
      <c r="P15" s="3420"/>
      <c r="Q15" s="3420"/>
      <c r="R15" s="3421"/>
      <c r="S15" s="3422"/>
      <c r="T15" s="3420"/>
      <c r="U15" s="3420"/>
      <c r="V15" s="3420"/>
      <c r="W15" s="3420"/>
      <c r="X15" s="3420"/>
      <c r="Y15" s="3423" t="e">
        <f t="shared" ref="Y15:AQ15" si="7">SUM(Y4:Y14)</f>
        <v>#REF!</v>
      </c>
      <c r="Z15" s="3417">
        <f t="shared" si="7"/>
        <v>548656.5</v>
      </c>
      <c r="AA15" s="3417" t="e">
        <f t="shared" si="7"/>
        <v>#REF!</v>
      </c>
      <c r="AB15" s="3417" t="e">
        <f t="shared" si="7"/>
        <v>#REF!</v>
      </c>
      <c r="AC15" s="3417" t="e">
        <f t="shared" si="7"/>
        <v>#REF!</v>
      </c>
      <c r="AD15" s="3417">
        <f t="shared" si="7"/>
        <v>117500</v>
      </c>
      <c r="AE15" s="3417">
        <f t="shared" si="7"/>
        <v>1402437.5</v>
      </c>
      <c r="AF15" s="3417" t="e">
        <f t="shared" si="7"/>
        <v>#REF!</v>
      </c>
      <c r="AG15" s="3417" t="e">
        <f t="shared" si="7"/>
        <v>#REF!</v>
      </c>
      <c r="AH15" s="3417" t="e">
        <f t="shared" si="7"/>
        <v>#REF!</v>
      </c>
      <c r="AI15" s="3417">
        <f t="shared" si="7"/>
        <v>548656.5</v>
      </c>
      <c r="AJ15" s="3417" t="e">
        <f t="shared" si="7"/>
        <v>#REF!</v>
      </c>
      <c r="AK15" s="3417" t="e">
        <f t="shared" si="7"/>
        <v>#REF!</v>
      </c>
      <c r="AL15" s="3417" t="e">
        <f t="shared" si="7"/>
        <v>#REF!</v>
      </c>
      <c r="AM15" s="3417" t="e">
        <f t="shared" si="7"/>
        <v>#REF!</v>
      </c>
      <c r="AN15" s="3417">
        <f t="shared" si="7"/>
        <v>117500</v>
      </c>
      <c r="AO15" s="3417" t="e">
        <f t="shared" si="7"/>
        <v>#REF!</v>
      </c>
      <c r="AP15" s="3417" t="e">
        <f t="shared" si="7"/>
        <v>#REF!</v>
      </c>
      <c r="AQ15" s="3424" t="e">
        <f t="shared" si="7"/>
        <v>#REF!</v>
      </c>
      <c r="AR15" s="3370"/>
      <c r="AS15" s="3370"/>
      <c r="AT15" s="3370"/>
      <c r="AU15" s="3370"/>
      <c r="AV15" s="3370"/>
      <c r="AW15" s="3370"/>
      <c r="AX15" s="3370"/>
      <c r="AY15" s="3370"/>
      <c r="AZ15" s="3370"/>
      <c r="BA15" s="3370"/>
      <c r="BB15" s="3370"/>
      <c r="BC15" s="3370"/>
      <c r="BD15" s="3370"/>
      <c r="BE15" s="3370"/>
      <c r="BF15" s="3370"/>
      <c r="BG15" s="3370"/>
      <c r="BH15" s="3370"/>
      <c r="BI15" s="3370"/>
      <c r="BJ15" s="3370"/>
      <c r="BK15" s="3370"/>
      <c r="BL15" s="3370"/>
      <c r="BM15" s="3370"/>
      <c r="BN15" s="3370"/>
      <c r="BO15" s="3370"/>
      <c r="BP15" s="3370"/>
      <c r="BQ15" s="3370"/>
      <c r="BR15" s="3370"/>
      <c r="BS15" s="3370"/>
      <c r="BT15" s="3370"/>
      <c r="BU15" s="3370"/>
      <c r="BV15" s="3370"/>
      <c r="BW15" s="3370"/>
      <c r="BX15" s="3370"/>
      <c r="BY15" s="3370"/>
      <c r="BZ15" s="3370"/>
      <c r="CA15" s="3370"/>
      <c r="CB15" s="3370"/>
      <c r="CC15" s="3370"/>
      <c r="CD15" s="3370"/>
      <c r="CE15" s="3370"/>
      <c r="CF15" s="3370"/>
      <c r="CG15" s="3370"/>
      <c r="CH15" s="3370"/>
      <c r="CI15" s="3370"/>
      <c r="CJ15" s="3370"/>
      <c r="CK15" s="3370"/>
      <c r="CL15" s="3370"/>
      <c r="CM15" s="3370"/>
      <c r="CN15" s="3370"/>
      <c r="CO15" s="3370"/>
      <c r="CP15" s="3370"/>
      <c r="CQ15" s="3370"/>
      <c r="CR15" s="3370"/>
      <c r="CS15" s="3370"/>
      <c r="CT15" s="3370"/>
      <c r="CU15" s="3370"/>
      <c r="CV15" s="3370"/>
      <c r="CW15" s="3370"/>
      <c r="CX15" s="3370"/>
      <c r="CY15" s="3370"/>
      <c r="CZ15" s="3370"/>
      <c r="DA15" s="3370"/>
      <c r="DB15" s="3370"/>
      <c r="DC15" s="3370"/>
      <c r="DD15" s="3370"/>
      <c r="DE15" s="3370"/>
      <c r="DF15" s="3370"/>
      <c r="DG15" s="3370"/>
      <c r="DH15" s="3370"/>
      <c r="DI15" s="3370"/>
      <c r="DJ15" s="3370"/>
      <c r="DK15" s="3370"/>
      <c r="DL15" s="3370"/>
      <c r="DM15" s="3370"/>
      <c r="DN15" s="3370"/>
      <c r="DO15" s="3370"/>
      <c r="DP15" s="3370"/>
      <c r="DQ15" s="3370"/>
      <c r="DR15" s="3370"/>
      <c r="DS15" s="3370"/>
      <c r="DT15" s="3370"/>
      <c r="DU15" s="3370"/>
      <c r="DV15" s="3370"/>
      <c r="DW15" s="3370"/>
      <c r="DX15" s="3370"/>
      <c r="DY15" s="3370"/>
      <c r="DZ15" s="3370"/>
      <c r="EA15" s="3370"/>
      <c r="EB15" s="3370"/>
      <c r="EC15" s="3370"/>
      <c r="ED15" s="3370"/>
      <c r="EE15" s="3370"/>
      <c r="EF15" s="3370"/>
      <c r="EG15" s="3370"/>
      <c r="EH15" s="3370"/>
      <c r="EI15" s="3370"/>
      <c r="EJ15" s="3370"/>
      <c r="EK15" s="3370"/>
      <c r="EL15" s="3370"/>
      <c r="EM15" s="3370"/>
      <c r="EN15" s="3370"/>
      <c r="EO15" s="3370"/>
      <c r="EP15" s="3370"/>
      <c r="EQ15" s="3370"/>
      <c r="ER15" s="3370"/>
      <c r="ES15" s="3370"/>
      <c r="ET15" s="3370"/>
      <c r="EU15" s="3370"/>
      <c r="EV15" s="3370"/>
      <c r="EW15" s="3370"/>
      <c r="EX15" s="3370"/>
      <c r="EY15" s="3370"/>
      <c r="EZ15" s="3370"/>
      <c r="FA15" s="3370"/>
      <c r="FB15" s="3370"/>
      <c r="FC15" s="3370"/>
      <c r="FD15" s="3370"/>
      <c r="FE15" s="3370"/>
      <c r="FF15" s="3370"/>
      <c r="FG15" s="3370"/>
      <c r="FH15" s="3370"/>
      <c r="FI15" s="3370"/>
      <c r="FJ15" s="3370"/>
      <c r="FK15" s="3370"/>
      <c r="FL15" s="3370"/>
      <c r="FM15" s="3370"/>
      <c r="FN15" s="3370"/>
      <c r="FO15" s="3370"/>
      <c r="FP15" s="3370"/>
      <c r="FQ15" s="3370"/>
      <c r="FR15" s="3370"/>
      <c r="FS15" s="3370"/>
      <c r="FT15" s="3370"/>
      <c r="FU15" s="3370"/>
      <c r="FV15" s="3370"/>
      <c r="FW15" s="3370"/>
      <c r="FX15" s="3370"/>
      <c r="FY15" s="3370"/>
      <c r="FZ15" s="3370"/>
      <c r="GA15" s="3370"/>
      <c r="GB15" s="3370"/>
      <c r="GC15" s="3370"/>
      <c r="GD15" s="3370"/>
      <c r="GE15" s="3370"/>
      <c r="GF15" s="3370"/>
      <c r="GG15" s="3370"/>
      <c r="GH15" s="3370"/>
      <c r="GI15" s="3370"/>
      <c r="GJ15" s="3370"/>
      <c r="GK15" s="3370"/>
      <c r="GL15" s="3370"/>
      <c r="GM15" s="3370"/>
      <c r="GN15" s="3370"/>
      <c r="GO15" s="3370"/>
      <c r="GP15" s="3370"/>
      <c r="GQ15" s="3370"/>
      <c r="GR15" s="3370"/>
      <c r="GS15" s="3370"/>
      <c r="GT15" s="3370"/>
      <c r="GU15" s="3370"/>
      <c r="GV15" s="3370"/>
      <c r="GW15" s="3370"/>
      <c r="GX15" s="3370"/>
      <c r="GY15" s="3370"/>
      <c r="GZ15" s="3370"/>
      <c r="HA15" s="3370"/>
      <c r="HB15" s="3370"/>
      <c r="HC15" s="3370"/>
      <c r="HD15" s="3370"/>
      <c r="HE15" s="3370"/>
      <c r="HF15" s="3370"/>
    </row>
  </sheetData>
  <mergeCells count="4">
    <mergeCell ref="A1:K1"/>
    <mergeCell ref="B2:L2"/>
    <mergeCell ref="M2:X2"/>
    <mergeCell ref="Y2:AQ2"/>
  </mergeCells>
  <phoneticPr fontId="148" type="noConversion"/>
  <pageMargins left="0.7" right="0.7" top="0.75" bottom="0.75" header="0.3" footer="0.3"/>
  <pageSetup paperSize="9" scale="75" fitToHeight="0" orientation="landscape"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2C48-88B2-47B4-92CC-E09EAE39B77D}">
  <sheetPr>
    <tabColor rgb="FFFFFF00"/>
    <pageSetUpPr fitToPage="1"/>
  </sheetPr>
  <dimension ref="A1:BO174"/>
  <sheetViews>
    <sheetView zoomScaleNormal="100" zoomScaleSheetLayoutView="90" workbookViewId="0">
      <pane xSplit="3" ySplit="5" topLeftCell="L31" activePane="bottomRight" state="frozen"/>
      <selection activeCell="C50" sqref="C50"/>
      <selection pane="topRight" activeCell="C50" sqref="C50"/>
      <selection pane="bottomLeft" activeCell="C50" sqref="C50"/>
      <selection pane="bottomRight" activeCell="B37" sqref="B37"/>
    </sheetView>
  </sheetViews>
  <sheetFormatPr defaultColWidth="13.75" defaultRowHeight="12.75"/>
  <cols>
    <col min="1" max="1" width="20.875" style="3729" customWidth="1"/>
    <col min="2" max="2" width="12" style="3525" customWidth="1"/>
    <col min="3" max="3" width="12.75" style="3525" customWidth="1"/>
    <col min="4" max="4" width="9.125" style="3730" customWidth="1"/>
    <col min="5" max="5" width="15" style="3525" bestFit="1" customWidth="1"/>
    <col min="6" max="10" width="8.875" style="3525" customWidth="1"/>
    <col min="11" max="12" width="12.375" style="3731" customWidth="1"/>
    <col min="13" max="13" width="8.625" style="3525" customWidth="1"/>
    <col min="14" max="14" width="11.875" style="3525" customWidth="1"/>
    <col min="15" max="15" width="8.5" style="3525" customWidth="1"/>
    <col min="16" max="17" width="10.875" style="3525" customWidth="1"/>
    <col min="18" max="19" width="12.5" style="3525" customWidth="1"/>
    <col min="20" max="20" width="12.125" style="3525" customWidth="1"/>
    <col min="21" max="21" width="7.5" style="3525" customWidth="1"/>
    <col min="22" max="22" width="6.375" style="3525" customWidth="1"/>
    <col min="23" max="30" width="6.75" style="3525" customWidth="1"/>
    <col min="31" max="31" width="8" style="3525" customWidth="1"/>
    <col min="32" max="34" width="7.25" style="3525" customWidth="1"/>
    <col min="35" max="39" width="8" style="3525" customWidth="1"/>
    <col min="40" max="40" width="13.75" style="3524"/>
    <col min="41" max="41" width="11.625" style="3524" customWidth="1"/>
    <col min="42" max="42" width="9.75" style="3524" customWidth="1"/>
    <col min="43" max="67" width="13.75" style="3524"/>
    <col min="68" max="16384" width="13.75" style="3525"/>
  </cols>
  <sheetData>
    <row r="1" spans="1:67" ht="19.5" thickBot="1">
      <c r="A1" s="3518" t="s">
        <v>1618</v>
      </c>
      <c r="B1" s="3519"/>
      <c r="C1" s="3520"/>
      <c r="D1" s="3521"/>
      <c r="E1" s="3520"/>
      <c r="F1" s="3520"/>
      <c r="G1" s="3520"/>
      <c r="H1" s="3520"/>
      <c r="I1" s="3520"/>
      <c r="J1" s="3520"/>
      <c r="K1" s="3522"/>
      <c r="L1" s="3522"/>
      <c r="M1" s="3520"/>
      <c r="N1" s="3520"/>
      <c r="O1" s="3520"/>
      <c r="P1" s="3520"/>
      <c r="Q1" s="3520"/>
      <c r="R1" s="3520"/>
      <c r="S1" s="3520"/>
      <c r="T1" s="3520"/>
      <c r="U1" s="3520"/>
      <c r="V1" s="3520"/>
      <c r="W1" s="3520"/>
      <c r="X1" s="3520"/>
      <c r="Y1" s="3520"/>
      <c r="Z1" s="3520"/>
      <c r="AA1" s="3520"/>
      <c r="AB1" s="3520"/>
      <c r="AC1" s="3520"/>
      <c r="AD1" s="3520"/>
      <c r="AE1" s="3520"/>
      <c r="AF1" s="3520"/>
      <c r="AG1" s="3520"/>
      <c r="AH1" s="3520"/>
      <c r="AI1" s="3520"/>
      <c r="AJ1" s="3520"/>
      <c r="AK1" s="3520"/>
      <c r="AL1" s="3520"/>
      <c r="AM1" s="3520"/>
      <c r="AN1" s="3523"/>
      <c r="AO1" s="3523"/>
      <c r="AP1" s="3523"/>
      <c r="AQ1" s="3523"/>
      <c r="AR1" s="3523"/>
    </row>
    <row r="2" spans="1:67" s="3533" customFormat="1" ht="15.75" thickBot="1">
      <c r="A2" s="3526" t="s">
        <v>1619</v>
      </c>
      <c r="B2" s="3527">
        <f>[2]项目基本情况!D3</f>
        <v>44845</v>
      </c>
      <c r="C2" s="3528"/>
      <c r="D2" s="3529"/>
      <c r="E2" s="3528"/>
      <c r="F2" s="3528"/>
      <c r="G2" s="3528"/>
      <c r="H2" s="3528"/>
      <c r="I2" s="3528"/>
      <c r="J2" s="3528"/>
      <c r="K2" s="3530"/>
      <c r="L2" s="3530"/>
      <c r="M2" s="3528"/>
      <c r="N2" s="3528"/>
      <c r="O2" s="3528"/>
      <c r="P2" s="3528"/>
      <c r="Q2" s="3528"/>
      <c r="R2" s="3528"/>
      <c r="S2" s="3528"/>
      <c r="T2" s="3528"/>
      <c r="U2" s="3528"/>
      <c r="V2" s="3528"/>
      <c r="W2" s="3528"/>
      <c r="X2" s="3528"/>
      <c r="Y2" s="3528"/>
      <c r="Z2" s="3528"/>
      <c r="AA2" s="3528"/>
      <c r="AB2" s="3528"/>
      <c r="AC2" s="3528"/>
      <c r="AD2" s="3528"/>
      <c r="AE2" s="3528"/>
      <c r="AF2" s="3528"/>
      <c r="AG2" s="3528"/>
      <c r="AH2" s="3528"/>
      <c r="AI2" s="3528"/>
      <c r="AJ2" s="3528"/>
      <c r="AK2" s="3528"/>
      <c r="AL2" s="3528"/>
      <c r="AM2" s="3528"/>
      <c r="AN2" s="3531"/>
      <c r="AO2" s="3531"/>
      <c r="AP2" s="3531"/>
      <c r="AQ2" s="3531"/>
      <c r="AR2" s="3531"/>
      <c r="AS2" s="3532"/>
      <c r="AT2" s="3532"/>
      <c r="AU2" s="3532"/>
      <c r="AV2" s="3532"/>
      <c r="AW2" s="3532"/>
      <c r="AX2" s="3532"/>
      <c r="AY2" s="3532"/>
      <c r="AZ2" s="3532"/>
      <c r="BA2" s="3532"/>
      <c r="BB2" s="3532"/>
      <c r="BC2" s="3532"/>
      <c r="BD2" s="3532"/>
      <c r="BE2" s="3532"/>
      <c r="BF2" s="3532"/>
      <c r="BG2" s="3532"/>
      <c r="BH2" s="3532"/>
      <c r="BI2" s="3532"/>
      <c r="BJ2" s="3532"/>
      <c r="BK2" s="3532"/>
      <c r="BL2" s="3532"/>
      <c r="BM2" s="3532"/>
      <c r="BN2" s="3532"/>
      <c r="BO2" s="3532"/>
    </row>
    <row r="3" spans="1:67" s="3533" customFormat="1" ht="15" thickBot="1">
      <c r="A3" s="3534"/>
      <c r="B3" s="3535"/>
      <c r="C3" s="3528"/>
      <c r="D3" s="3529"/>
      <c r="E3" s="3528"/>
      <c r="F3" s="3528"/>
      <c r="G3" s="3528"/>
      <c r="H3" s="3528"/>
      <c r="I3" s="3528"/>
      <c r="J3" s="3528"/>
      <c r="K3" s="3530"/>
      <c r="L3" s="3530"/>
      <c r="M3" s="3528"/>
      <c r="N3" s="3528"/>
      <c r="O3" s="3528"/>
      <c r="P3" s="3528"/>
      <c r="Q3" s="3528"/>
      <c r="R3" s="3528"/>
      <c r="S3" s="3528"/>
      <c r="T3" s="3528"/>
      <c r="U3" s="3528"/>
      <c r="V3" s="3528"/>
      <c r="W3" s="3528"/>
      <c r="X3" s="3528"/>
      <c r="Y3" s="3528"/>
      <c r="Z3" s="3528"/>
      <c r="AA3" s="3528"/>
      <c r="AB3" s="3528"/>
      <c r="AC3" s="3528"/>
      <c r="AD3" s="3528"/>
      <c r="AE3" s="3528"/>
      <c r="AF3" s="3528"/>
      <c r="AG3" s="3528"/>
      <c r="AH3" s="3528"/>
      <c r="AI3" s="3528"/>
      <c r="AJ3" s="3528"/>
      <c r="AK3" s="3528"/>
      <c r="AL3" s="3528"/>
      <c r="AM3" s="3528"/>
      <c r="AN3" s="3531"/>
      <c r="AO3" s="3531"/>
      <c r="AP3" s="3531"/>
      <c r="AQ3" s="3531"/>
      <c r="AR3" s="3531"/>
      <c r="AS3" s="3532"/>
      <c r="AT3" s="3532"/>
      <c r="AU3" s="3532"/>
      <c r="AV3" s="3532"/>
      <c r="AW3" s="3532"/>
      <c r="AX3" s="3532"/>
      <c r="AY3" s="3532"/>
      <c r="AZ3" s="3532"/>
      <c r="BA3" s="3532"/>
      <c r="BB3" s="3532"/>
      <c r="BC3" s="3532"/>
      <c r="BD3" s="3532"/>
      <c r="BE3" s="3532"/>
      <c r="BF3" s="3532"/>
      <c r="BG3" s="3532"/>
      <c r="BH3" s="3532"/>
      <c r="BI3" s="3532"/>
      <c r="BJ3" s="3532"/>
      <c r="BK3" s="3532"/>
      <c r="BL3" s="3532"/>
      <c r="BM3" s="3532"/>
      <c r="BN3" s="3532"/>
      <c r="BO3" s="3532"/>
    </row>
    <row r="4" spans="1:67" s="3533" customFormat="1" ht="15" thickBot="1">
      <c r="A4" s="3536" t="s">
        <v>3491</v>
      </c>
      <c r="B4" s="3537"/>
      <c r="C4" s="3538"/>
      <c r="D4" s="3539"/>
      <c r="E4" s="3538" t="s">
        <v>3492</v>
      </c>
      <c r="F4" s="3538"/>
      <c r="G4" s="3538"/>
      <c r="H4" s="3538"/>
      <c r="I4" s="3538"/>
      <c r="J4" s="3540"/>
      <c r="K4" s="3541"/>
      <c r="L4" s="3542"/>
      <c r="M4" s="3538"/>
      <c r="N4" s="3538" t="s">
        <v>3493</v>
      </c>
      <c r="O4" s="3538"/>
      <c r="P4" s="3538"/>
      <c r="Q4" s="3538"/>
      <c r="R4" s="3538"/>
      <c r="S4" s="3540"/>
      <c r="T4" s="3543" t="str">
        <f>'[2]数据-汇总表'!I17</f>
        <v>按面积比例</v>
      </c>
      <c r="U4" s="3537" t="s">
        <v>3494</v>
      </c>
      <c r="V4" s="3538"/>
      <c r="W4" s="3538"/>
      <c r="X4" s="3538"/>
      <c r="Y4" s="3540"/>
      <c r="Z4" s="3544" t="s">
        <v>3495</v>
      </c>
      <c r="AA4" s="3544"/>
      <c r="AB4" s="3544"/>
      <c r="AC4" s="3544"/>
      <c r="AD4" s="3544"/>
      <c r="AE4" s="3545" t="s">
        <v>3496</v>
      </c>
      <c r="AF4" s="3544"/>
      <c r="AG4" s="3546"/>
      <c r="AH4" s="3537"/>
      <c r="AI4" s="3538"/>
      <c r="AJ4" s="3538"/>
      <c r="AK4" s="3538"/>
      <c r="AL4" s="3538"/>
      <c r="AM4" s="3540"/>
      <c r="AN4" s="3531"/>
      <c r="AO4" s="3531"/>
      <c r="AP4" s="3531"/>
      <c r="AQ4" s="3531"/>
      <c r="AR4" s="3531"/>
      <c r="AS4" s="3532"/>
      <c r="AT4" s="3532"/>
      <c r="AU4" s="3532"/>
      <c r="AV4" s="3532"/>
      <c r="AW4" s="3532"/>
      <c r="AX4" s="3532"/>
      <c r="AY4" s="3532"/>
      <c r="AZ4" s="3532"/>
      <c r="BA4" s="3532"/>
      <c r="BB4" s="3532"/>
      <c r="BC4" s="3532"/>
      <c r="BD4" s="3532"/>
      <c r="BE4" s="3532"/>
      <c r="BF4" s="3532"/>
      <c r="BG4" s="3532"/>
      <c r="BH4" s="3532"/>
      <c r="BI4" s="3532"/>
      <c r="BJ4" s="3532"/>
      <c r="BK4" s="3532"/>
      <c r="BL4" s="3532"/>
      <c r="BM4" s="3532"/>
      <c r="BN4" s="3532"/>
      <c r="BO4" s="3532"/>
    </row>
    <row r="5" spans="1:67" s="3572" customFormat="1" ht="42">
      <c r="A5" s="3547" t="s">
        <v>3497</v>
      </c>
      <c r="B5" s="3548" t="s">
        <v>3498</v>
      </c>
      <c r="C5" s="3549" t="s">
        <v>1627</v>
      </c>
      <c r="D5" s="3550" t="s">
        <v>1630</v>
      </c>
      <c r="E5" s="3551" t="s">
        <v>1633</v>
      </c>
      <c r="F5" s="3552" t="s">
        <v>1635</v>
      </c>
      <c r="G5" s="3551" t="s">
        <v>1637</v>
      </c>
      <c r="H5" s="3551" t="s">
        <v>1639</v>
      </c>
      <c r="I5" s="3551" t="s">
        <v>1641</v>
      </c>
      <c r="J5" s="3553" t="s">
        <v>1643</v>
      </c>
      <c r="K5" s="3554" t="s">
        <v>3499</v>
      </c>
      <c r="L5" s="3555" t="s">
        <v>3500</v>
      </c>
      <c r="M5" s="3556" t="s">
        <v>3501</v>
      </c>
      <c r="N5" s="3557" t="s">
        <v>3502</v>
      </c>
      <c r="O5" s="3555" t="s">
        <v>3503</v>
      </c>
      <c r="P5" s="3558" t="s">
        <v>3504</v>
      </c>
      <c r="Q5" s="3559" t="s">
        <v>1660</v>
      </c>
      <c r="R5" s="3560" t="s">
        <v>3505</v>
      </c>
      <c r="S5" s="3561" t="s">
        <v>3506</v>
      </c>
      <c r="T5" s="3562" t="s">
        <v>3507</v>
      </c>
      <c r="U5" s="3563" t="s">
        <v>3508</v>
      </c>
      <c r="V5" s="3551" t="s">
        <v>1664</v>
      </c>
      <c r="W5" s="3551" t="s">
        <v>1666</v>
      </c>
      <c r="X5" s="3564"/>
      <c r="Y5" s="3565" t="s">
        <v>2327</v>
      </c>
      <c r="Z5" s="3566" t="s">
        <v>3508</v>
      </c>
      <c r="AA5" s="3551" t="s">
        <v>1664</v>
      </c>
      <c r="AB5" s="3551" t="s">
        <v>1666</v>
      </c>
      <c r="AC5" s="3564"/>
      <c r="AD5" s="3564" t="s">
        <v>2327</v>
      </c>
      <c r="AE5" s="3563" t="s">
        <v>1668</v>
      </c>
      <c r="AF5" s="3551" t="s">
        <v>3509</v>
      </c>
      <c r="AG5" s="3565" t="s">
        <v>3510</v>
      </c>
      <c r="AH5" s="3563" t="s">
        <v>3511</v>
      </c>
      <c r="AI5" s="3566" t="s">
        <v>1687</v>
      </c>
      <c r="AJ5" s="3566" t="s">
        <v>1689</v>
      </c>
      <c r="AK5" s="3551" t="s">
        <v>1691</v>
      </c>
      <c r="AL5" s="3551" t="s">
        <v>1693</v>
      </c>
      <c r="AM5" s="3565" t="s">
        <v>1695</v>
      </c>
      <c r="AN5" s="3567" t="s">
        <v>3512</v>
      </c>
      <c r="AO5" s="3568" t="s">
        <v>3513</v>
      </c>
      <c r="AP5" s="3569" t="s">
        <v>3514</v>
      </c>
      <c r="AQ5" s="3570" t="s">
        <v>3515</v>
      </c>
      <c r="AR5" s="3570" t="s">
        <v>3516</v>
      </c>
      <c r="AS5" s="3571"/>
      <c r="AT5" s="3571"/>
      <c r="AU5" s="3571"/>
      <c r="AV5" s="3571"/>
      <c r="AW5" s="3571"/>
      <c r="AX5" s="3571"/>
      <c r="AY5" s="3571"/>
      <c r="AZ5" s="3571"/>
      <c r="BA5" s="3571"/>
      <c r="BB5" s="3571"/>
      <c r="BC5" s="3571"/>
      <c r="BD5" s="3571"/>
      <c r="BE5" s="3571"/>
      <c r="BF5" s="3571"/>
      <c r="BG5" s="3571"/>
      <c r="BH5" s="3571"/>
      <c r="BI5" s="3571"/>
      <c r="BJ5" s="3571"/>
      <c r="BK5" s="3571"/>
      <c r="BL5" s="3571"/>
      <c r="BM5" s="3571"/>
      <c r="BN5" s="3571"/>
      <c r="BO5" s="3571"/>
    </row>
    <row r="6" spans="1:67" s="3533" customFormat="1" ht="14.25">
      <c r="A6" s="3573" t="str">
        <f>'[2]数据-汇总表'!C19</f>
        <v>办公</v>
      </c>
      <c r="B6" s="3574" t="str">
        <f>IF(A6=0,"","经营性")</f>
        <v>经营性</v>
      </c>
      <c r="C6" s="3575" t="s">
        <v>2941</v>
      </c>
      <c r="D6" s="3576">
        <f>SUMIF([2]项目基本情况!C$12:I$12,C6,[2]项目基本情况!C$14:I$14)</f>
        <v>50</v>
      </c>
      <c r="E6" s="3577">
        <f>IF(B6="","",SUMIF([2]项目基本情况!C$12:I$12,C6,[2]项目基本情况!C$13:I$13))</f>
        <v>55652</v>
      </c>
      <c r="F6" s="3578">
        <f>SUMIF([2]项目基本情况!C$12:I$12,C6,[2]项目基本情况!C$15:I$15)</f>
        <v>29.6</v>
      </c>
      <c r="G6" s="3579">
        <f>IF(ISERROR(ROUND(POWER(1+H6,D6-F6)*(POWER(1+H6,F6)-1)/(POWER(1+H6,D6)-1),3)),0,ROUND(POWER(1+H6,D6-F6)*(POWER(1+H6,F6)-1)/(POWER(1+H6,D6)-1),3))</f>
        <v>0.81899999999999995</v>
      </c>
      <c r="H6" s="3580">
        <v>4.4999999999999998E-2</v>
      </c>
      <c r="I6" s="3580">
        <v>0.05</v>
      </c>
      <c r="J6" s="3581">
        <v>5.5E-2</v>
      </c>
      <c r="K6" s="3582">
        <f>SUMIF('[2]数据-汇总表'!C$19:C$33,A6,'[2]数据-汇总表'!E$19:E$33)</f>
        <v>459.68</v>
      </c>
      <c r="L6" s="3583">
        <v>5500</v>
      </c>
      <c r="M6" s="3584">
        <f t="shared" ref="M6:M14" si="0">ROUND(K6*L6/10000,0)</f>
        <v>253</v>
      </c>
      <c r="N6" s="3585">
        <f>AVERAGE(N20:N21)</f>
        <v>0.75</v>
      </c>
      <c r="O6" s="3584" t="str">
        <f>IF($N$5="成新度","——",ROUND(M6*N6,0))</f>
        <v>——</v>
      </c>
      <c r="P6" s="3586" t="str">
        <f>IF($N$5="成新度","——",M6-O6)</f>
        <v>——</v>
      </c>
      <c r="Q6" s="3587">
        <v>0.15</v>
      </c>
      <c r="R6" s="3588" t="e">
        <f>SUMIF('[2]数据-汇总表'!C$19:C$33,A6,'[2]数据-汇总表'!R$19:R$27)</f>
        <v>#VALUE!</v>
      </c>
      <c r="S6" s="3589">
        <f>IF('[2]数据-汇总表'!$I$17="按面积比例",SUMIF('[2]数据-汇总表'!C$19:C$33,A6,'[2]数据-汇总表'!K$19:K$33),SUMIF('[2]数据-汇总表'!C$19:C$33,A6,'[2]数据-汇总表'!N$19:N$33))</f>
        <v>0</v>
      </c>
      <c r="T6" s="3590">
        <f>ROUND($L$14*S6/10000,0)</f>
        <v>0</v>
      </c>
      <c r="U6" s="3591">
        <f>[2]案例!I6</f>
        <v>5.4</v>
      </c>
      <c r="V6" s="3592">
        <v>0.03</v>
      </c>
      <c r="W6" s="3592">
        <v>0.1</v>
      </c>
      <c r="X6" s="3593"/>
      <c r="Y6" s="3594">
        <f>N6</f>
        <v>0.75</v>
      </c>
      <c r="Z6" s="3595"/>
      <c r="AA6" s="3581"/>
      <c r="AB6" s="3581"/>
      <c r="AC6" s="3593"/>
      <c r="AD6" s="3596"/>
      <c r="AE6" s="3597" t="e">
        <f ca="1">IF(AN6="",0,SUMIF(INDIRECT("'"&amp;AN6&amp;"'"&amp;"!E:E"),$AE$5,INDIRECT("'"&amp;AN6&amp;"'"&amp;"!F:F")))</f>
        <v>#REF!</v>
      </c>
      <c r="AF6" s="3598"/>
      <c r="AG6" s="3599">
        <f>IF(AF6="",0,AE6-AF6)</f>
        <v>0</v>
      </c>
      <c r="AH6" s="3600"/>
      <c r="AI6" s="3601">
        <v>365</v>
      </c>
      <c r="AJ6" s="3598"/>
      <c r="AK6" s="3602">
        <v>1.4999999999999999E-2</v>
      </c>
      <c r="AL6" s="3603">
        <v>1.5E-3</v>
      </c>
      <c r="AM6" s="3604">
        <v>0.01</v>
      </c>
      <c r="AN6" s="3605" t="s">
        <v>3517</v>
      </c>
      <c r="AO6" s="3606" t="e">
        <f ca="1">SUMIF(INDIRECT("'"&amp;AN6&amp;"'"&amp;"!A:A"),"总价",INDIRECT("'"&amp;AN6&amp;"'"&amp;"!B:B"))</f>
        <v>#REF!</v>
      </c>
      <c r="AP6" s="3607">
        <f>IF(C6="住宅",K6*L6,0)</f>
        <v>0</v>
      </c>
      <c r="AQ6" s="3606">
        <f>ROUND($L$14*$N$14*S6/10000,0)</f>
        <v>0</v>
      </c>
      <c r="AR6" s="3606">
        <f>ROUND($L$14*(1-$N$14)*S6/10000,0)</f>
        <v>0</v>
      </c>
      <c r="AS6" s="3532"/>
      <c r="AT6" s="3532"/>
      <c r="AU6" s="3532"/>
      <c r="AV6" s="3532"/>
      <c r="AW6" s="3532"/>
      <c r="AX6" s="3532"/>
      <c r="AY6" s="3532"/>
      <c r="AZ6" s="3532"/>
      <c r="BA6" s="3532"/>
      <c r="BB6" s="3532"/>
      <c r="BC6" s="3532"/>
      <c r="BD6" s="3532"/>
      <c r="BE6" s="3532"/>
      <c r="BF6" s="3532"/>
      <c r="BG6" s="3532"/>
      <c r="BH6" s="3532"/>
      <c r="BI6" s="3532"/>
      <c r="BJ6" s="3532"/>
      <c r="BK6" s="3532"/>
      <c r="BL6" s="3532"/>
      <c r="BM6" s="3532"/>
      <c r="BN6" s="3532"/>
      <c r="BO6" s="3532"/>
    </row>
    <row r="7" spans="1:67" s="3533" customFormat="1" ht="14.25">
      <c r="A7" s="3573">
        <f>'[2]数据-汇总表'!C20</f>
        <v>0</v>
      </c>
      <c r="B7" s="3574" t="str">
        <f t="shared" ref="B7:B13" si="1">IF(A7=0,"","经营性")</f>
        <v/>
      </c>
      <c r="C7" s="3575"/>
      <c r="D7" s="3576">
        <f>SUMIF([2]项目基本情况!C$12:I$12,C7,[2]项目基本情况!C$14:I$14)</f>
        <v>0</v>
      </c>
      <c r="E7" s="3577" t="str">
        <f>IF(B7="","",SUMIF([2]项目基本情况!C$12:I$12,C7,[2]项目基本情况!C$13:I$13))</f>
        <v/>
      </c>
      <c r="F7" s="3578">
        <f>SUMIF([2]项目基本情况!C$12:I$12,C7,[2]项目基本情况!C$15:I$15)</f>
        <v>0</v>
      </c>
      <c r="G7" s="3579">
        <f t="shared" ref="G7:G11" si="2">IF(ISERROR(ROUND(POWER(1+H7,D7-F7)*(POWER(1+H7,F7)-1)/(POWER(1+H7,D7)-1),3)),0,ROUND(POWER(1+H7,D7-F7)*(POWER(1+H7,F7)-1)/(POWER(1+H7,D7)-1),3))</f>
        <v>0</v>
      </c>
      <c r="H7" s="3580"/>
      <c r="I7" s="3580"/>
      <c r="J7" s="3581"/>
      <c r="K7" s="3582">
        <f>SUMIF('[2]数据-汇总表'!C$19:C$33,A7,'[2]数据-汇总表'!E$19:E$33)</f>
        <v>0</v>
      </c>
      <c r="L7" s="3583"/>
      <c r="M7" s="3584">
        <f t="shared" si="0"/>
        <v>0</v>
      </c>
      <c r="N7" s="3585"/>
      <c r="O7" s="3584" t="str">
        <f t="shared" ref="O7:O14" si="3">IF($N$5="成新度","——",ROUND(M7*N7,0))</f>
        <v>——</v>
      </c>
      <c r="P7" s="3586" t="str">
        <f t="shared" ref="P7:P14" si="4">IF($N$5="成新度","——",M7-O7)</f>
        <v>——</v>
      </c>
      <c r="Q7" s="3587"/>
      <c r="R7" s="3588" t="e">
        <f>SUMIF('[2]数据-汇总表'!C$19:C$33,A7,'[2]数据-汇总表'!R$19:R$27)</f>
        <v>#VALUE!</v>
      </c>
      <c r="S7" s="3589">
        <f>IF('[2]数据-汇总表'!$I$17="按面积比例",SUMIF('[2]数据-汇总表'!C$19:C$33,A7,'[2]数据-汇总表'!K$19:K$33),SUMIF('[2]数据-汇总表'!C$19:C$33,A7,'[2]数据-汇总表'!N$19:N$33))</f>
        <v>0</v>
      </c>
      <c r="T7" s="3590">
        <f t="shared" ref="T7:T13" si="5">ROUND($L$14*S7/10000,0)</f>
        <v>0</v>
      </c>
      <c r="U7" s="3591"/>
      <c r="V7" s="3592"/>
      <c r="W7" s="3592"/>
      <c r="X7" s="3593"/>
      <c r="Y7" s="3594"/>
      <c r="Z7" s="3595"/>
      <c r="AA7" s="3581"/>
      <c r="AB7" s="3581"/>
      <c r="AC7" s="3593"/>
      <c r="AD7" s="3596"/>
      <c r="AE7" s="3597">
        <f t="shared" ref="AE7:AE13" ca="1" si="6">IF(AN7="",0,SUMIF(INDIRECT("'"&amp;AN7&amp;"'"&amp;"!E:E"),$AE$5,INDIRECT("'"&amp;AN7&amp;"'"&amp;"!F:F")))</f>
        <v>0</v>
      </c>
      <c r="AF7" s="3598"/>
      <c r="AG7" s="3599">
        <f t="shared" ref="AG7:AG13" si="7">IF(AF7="",0,AE7-AF7)</f>
        <v>0</v>
      </c>
      <c r="AH7" s="3600"/>
      <c r="AI7" s="3601"/>
      <c r="AJ7" s="3598"/>
      <c r="AK7" s="3602"/>
      <c r="AL7" s="3603"/>
      <c r="AM7" s="3604"/>
      <c r="AN7" s="3605"/>
      <c r="AO7" s="3606" t="e">
        <f t="shared" ref="AO7:AO13" ca="1" si="8">SUMIF(INDIRECT("'"&amp;AN7&amp;"'"&amp;"!A:A"),"总价",INDIRECT("'"&amp;AN7&amp;"'"&amp;"!B:B"))</f>
        <v>#REF!</v>
      </c>
      <c r="AP7" s="3607">
        <f t="shared" ref="AP7:AP13" si="9">IF(C7="住宅",K7*L7,0)</f>
        <v>0</v>
      </c>
      <c r="AQ7" s="3606">
        <f t="shared" ref="AQ7:AQ13" si="10">ROUND($L$14*$N$14*S7/10000,0)</f>
        <v>0</v>
      </c>
      <c r="AR7" s="3606">
        <f t="shared" ref="AR7:AR13" si="11">ROUND($L$14*(1-$N$14)*S7/10000,0)</f>
        <v>0</v>
      </c>
      <c r="AS7" s="3532"/>
      <c r="AT7" s="3532"/>
      <c r="AU7" s="3532"/>
      <c r="AV7" s="3532"/>
      <c r="AW7" s="3532"/>
      <c r="AX7" s="3532"/>
      <c r="AY7" s="3532"/>
      <c r="AZ7" s="3532"/>
      <c r="BA7" s="3532"/>
      <c r="BB7" s="3532"/>
      <c r="BC7" s="3532"/>
      <c r="BD7" s="3532"/>
      <c r="BE7" s="3532"/>
      <c r="BF7" s="3532"/>
      <c r="BG7" s="3532"/>
      <c r="BH7" s="3532"/>
      <c r="BI7" s="3532"/>
      <c r="BJ7" s="3532"/>
      <c r="BK7" s="3532"/>
      <c r="BL7" s="3532"/>
      <c r="BM7" s="3532"/>
      <c r="BN7" s="3532"/>
      <c r="BO7" s="3532"/>
    </row>
    <row r="8" spans="1:67" s="3533" customFormat="1" ht="14.25">
      <c r="A8" s="3573">
        <f>'[2]数据-汇总表'!C21</f>
        <v>0</v>
      </c>
      <c r="B8" s="3574" t="str">
        <f t="shared" si="1"/>
        <v/>
      </c>
      <c r="C8" s="3575"/>
      <c r="D8" s="3576">
        <f>SUMIF([2]项目基本情况!C$12:I$12,C8,[2]项目基本情况!C$14:I$14)</f>
        <v>0</v>
      </c>
      <c r="E8" s="3577" t="str">
        <f>IF(B8="","",SUMIF([2]项目基本情况!C$12:I$12,C8,[2]项目基本情况!C$13:I$13))</f>
        <v/>
      </c>
      <c r="F8" s="3578">
        <f>SUMIF([2]项目基本情况!C$12:I$12,C8,[2]项目基本情况!C$15:I$15)</f>
        <v>0</v>
      </c>
      <c r="G8" s="3579">
        <f t="shared" si="2"/>
        <v>0</v>
      </c>
      <c r="H8" s="3580"/>
      <c r="I8" s="3580"/>
      <c r="J8" s="3581"/>
      <c r="K8" s="3582">
        <f>SUMIF('[2]数据-汇总表'!C$19:C$33,A8,'[2]数据-汇总表'!E$19:E$33)</f>
        <v>0</v>
      </c>
      <c r="L8" s="3583"/>
      <c r="M8" s="3584">
        <f>ROUND(K8*L8/10000,0)</f>
        <v>0</v>
      </c>
      <c r="N8" s="3585"/>
      <c r="O8" s="3584" t="str">
        <f t="shared" si="3"/>
        <v>——</v>
      </c>
      <c r="P8" s="3586" t="str">
        <f t="shared" si="4"/>
        <v>——</v>
      </c>
      <c r="Q8" s="3587"/>
      <c r="R8" s="3588" t="e">
        <f>SUMIF('[2]数据-汇总表'!C$19:C$33,A8,'[2]数据-汇总表'!R$19:R$27)</f>
        <v>#VALUE!</v>
      </c>
      <c r="S8" s="3589">
        <f>IF('[2]数据-汇总表'!$I$17="按面积比例",SUMIF('[2]数据-汇总表'!C$19:C$33,A8,'[2]数据-汇总表'!K$19:K$33),SUMIF('[2]数据-汇总表'!C$19:C$33,A8,'[2]数据-汇总表'!N$19:N$33))</f>
        <v>0</v>
      </c>
      <c r="T8" s="3590">
        <f t="shared" si="5"/>
        <v>0</v>
      </c>
      <c r="U8" s="3608"/>
      <c r="V8" s="3609"/>
      <c r="W8" s="3609"/>
      <c r="X8" s="3593"/>
      <c r="Y8" s="3594"/>
      <c r="Z8" s="3595"/>
      <c r="AA8" s="3581"/>
      <c r="AB8" s="3581"/>
      <c r="AC8" s="3593"/>
      <c r="AD8" s="3596"/>
      <c r="AE8" s="3597">
        <f t="shared" ca="1" si="6"/>
        <v>0</v>
      </c>
      <c r="AF8" s="3598"/>
      <c r="AG8" s="3599">
        <f t="shared" si="7"/>
        <v>0</v>
      </c>
      <c r="AH8" s="3610"/>
      <c r="AI8" s="3601"/>
      <c r="AJ8" s="3598"/>
      <c r="AK8" s="3611"/>
      <c r="AL8" s="3612"/>
      <c r="AM8" s="3613"/>
      <c r="AN8" s="3605"/>
      <c r="AO8" s="3606" t="e">
        <f t="shared" ca="1" si="8"/>
        <v>#REF!</v>
      </c>
      <c r="AP8" s="3607">
        <f t="shared" si="9"/>
        <v>0</v>
      </c>
      <c r="AQ8" s="3606">
        <f t="shared" si="10"/>
        <v>0</v>
      </c>
      <c r="AR8" s="3606">
        <f t="shared" si="11"/>
        <v>0</v>
      </c>
      <c r="AS8" s="3532"/>
      <c r="AT8" s="3532"/>
      <c r="AU8" s="3532"/>
      <c r="AV8" s="3532"/>
      <c r="AW8" s="3532"/>
      <c r="AX8" s="3532"/>
      <c r="AY8" s="3532"/>
      <c r="AZ8" s="3532"/>
      <c r="BA8" s="3532"/>
      <c r="BB8" s="3532"/>
      <c r="BC8" s="3532"/>
      <c r="BD8" s="3532"/>
      <c r="BE8" s="3532"/>
      <c r="BF8" s="3532"/>
      <c r="BG8" s="3532"/>
      <c r="BH8" s="3532"/>
      <c r="BI8" s="3532"/>
      <c r="BJ8" s="3532"/>
      <c r="BK8" s="3532"/>
      <c r="BL8" s="3532"/>
      <c r="BM8" s="3532"/>
      <c r="BN8" s="3532"/>
      <c r="BO8" s="3532"/>
    </row>
    <row r="9" spans="1:67" s="3533" customFormat="1" ht="14.25">
      <c r="A9" s="3573">
        <f>'[2]数据-汇总表'!C22</f>
        <v>0</v>
      </c>
      <c r="B9" s="3574" t="str">
        <f t="shared" si="1"/>
        <v/>
      </c>
      <c r="C9" s="3575"/>
      <c r="D9" s="3576">
        <f>SUMIF([2]项目基本情况!C$12:I$12,C9,[2]项目基本情况!C$14:I$14)</f>
        <v>0</v>
      </c>
      <c r="E9" s="3577" t="str">
        <f>IF(B9="","",SUMIF([2]项目基本情况!C$12:I$12,C9,[2]项目基本情况!C$13:I$13))</f>
        <v/>
      </c>
      <c r="F9" s="3578">
        <f>SUMIF([2]项目基本情况!C$12:I$12,C9,[2]项目基本情况!C$15:I$15)</f>
        <v>0</v>
      </c>
      <c r="G9" s="3579">
        <f t="shared" si="2"/>
        <v>0</v>
      </c>
      <c r="H9" s="3581"/>
      <c r="I9" s="3581"/>
      <c r="J9" s="3581"/>
      <c r="K9" s="3582">
        <f>SUMIF('[2]数据-汇总表'!C$19:C$33,A9,'[2]数据-汇总表'!E$19:E$33)</f>
        <v>0</v>
      </c>
      <c r="L9" s="3583"/>
      <c r="M9" s="3584">
        <f t="shared" si="0"/>
        <v>0</v>
      </c>
      <c r="N9" s="3585"/>
      <c r="O9" s="3584" t="str">
        <f t="shared" si="3"/>
        <v>——</v>
      </c>
      <c r="P9" s="3586" t="str">
        <f t="shared" si="4"/>
        <v>——</v>
      </c>
      <c r="Q9" s="3614"/>
      <c r="R9" s="3588" t="e">
        <f>SUMIF('[2]数据-汇总表'!C$19:C$33,A9,'[2]数据-汇总表'!R$19:R$27)</f>
        <v>#VALUE!</v>
      </c>
      <c r="S9" s="3589">
        <f>IF('[2]数据-汇总表'!$I$17="按面积比例",SUMIF('[2]数据-汇总表'!C$19:C$33,A9,'[2]数据-汇总表'!K$19:K$33),SUMIF('[2]数据-汇总表'!C$19:C$33,A9,'[2]数据-汇总表'!N$19:N$33))</f>
        <v>0</v>
      </c>
      <c r="T9" s="3590">
        <f t="shared" si="5"/>
        <v>0</v>
      </c>
      <c r="U9" s="3591"/>
      <c r="V9" s="3592"/>
      <c r="W9" s="3592"/>
      <c r="X9" s="3593"/>
      <c r="Y9" s="3594"/>
      <c r="Z9" s="3595"/>
      <c r="AA9" s="3581"/>
      <c r="AB9" s="3581"/>
      <c r="AC9" s="3593"/>
      <c r="AD9" s="3596"/>
      <c r="AE9" s="3597">
        <f t="shared" ca="1" si="6"/>
        <v>0</v>
      </c>
      <c r="AF9" s="3598"/>
      <c r="AG9" s="3599">
        <f t="shared" si="7"/>
        <v>0</v>
      </c>
      <c r="AH9" s="3600"/>
      <c r="AI9" s="3601"/>
      <c r="AJ9" s="3598"/>
      <c r="AK9" s="3602"/>
      <c r="AL9" s="3603"/>
      <c r="AM9" s="3604"/>
      <c r="AN9" s="3605"/>
      <c r="AO9" s="3606" t="e">
        <f t="shared" ca="1" si="8"/>
        <v>#REF!</v>
      </c>
      <c r="AP9" s="3607">
        <f t="shared" si="9"/>
        <v>0</v>
      </c>
      <c r="AQ9" s="3606">
        <f t="shared" si="10"/>
        <v>0</v>
      </c>
      <c r="AR9" s="3606">
        <f t="shared" si="11"/>
        <v>0</v>
      </c>
      <c r="AS9" s="3532"/>
      <c r="AT9" s="3532"/>
      <c r="AU9" s="3532"/>
      <c r="AV9" s="3532"/>
      <c r="AW9" s="3532"/>
      <c r="AX9" s="3532"/>
      <c r="AY9" s="3532"/>
      <c r="AZ9" s="3532"/>
      <c r="BA9" s="3532"/>
      <c r="BB9" s="3532"/>
      <c r="BC9" s="3532"/>
      <c r="BD9" s="3532"/>
      <c r="BE9" s="3532"/>
      <c r="BF9" s="3532"/>
      <c r="BG9" s="3532"/>
      <c r="BH9" s="3532"/>
      <c r="BI9" s="3532"/>
      <c r="BJ9" s="3532"/>
      <c r="BK9" s="3532"/>
      <c r="BL9" s="3532"/>
      <c r="BM9" s="3532"/>
      <c r="BN9" s="3532"/>
      <c r="BO9" s="3532"/>
    </row>
    <row r="10" spans="1:67" s="3533" customFormat="1" ht="14.25">
      <c r="A10" s="3573">
        <f>'[2]数据-汇总表'!C23</f>
        <v>0</v>
      </c>
      <c r="B10" s="3574" t="str">
        <f t="shared" si="1"/>
        <v/>
      </c>
      <c r="C10" s="3575"/>
      <c r="D10" s="3576">
        <f>SUMIF([2]项目基本情况!C$12:I$12,C10,[2]项目基本情况!C$14:I$14)</f>
        <v>0</v>
      </c>
      <c r="E10" s="3577" t="str">
        <f>IF(B10="","",SUMIF([2]项目基本情况!C$12:I$12,C10,[2]项目基本情况!C$13:I$13))</f>
        <v/>
      </c>
      <c r="F10" s="3578">
        <f>SUMIF([2]项目基本情况!C$12:I$12,C10,[2]项目基本情况!C$15:I$15)</f>
        <v>0</v>
      </c>
      <c r="G10" s="3579">
        <f t="shared" si="2"/>
        <v>0</v>
      </c>
      <c r="H10" s="3581"/>
      <c r="I10" s="3581"/>
      <c r="J10" s="3581"/>
      <c r="K10" s="3582">
        <f>SUMIF('[2]数据-汇总表'!C$19:C$33,A10,'[2]数据-汇总表'!E$19:E$33)</f>
        <v>0</v>
      </c>
      <c r="L10" s="3583"/>
      <c r="M10" s="3584">
        <f t="shared" si="0"/>
        <v>0</v>
      </c>
      <c r="N10" s="3585"/>
      <c r="O10" s="3584" t="str">
        <f t="shared" si="3"/>
        <v>——</v>
      </c>
      <c r="P10" s="3586" t="str">
        <f t="shared" si="4"/>
        <v>——</v>
      </c>
      <c r="Q10" s="3614"/>
      <c r="R10" s="3588" t="e">
        <f>SUMIF('[2]数据-汇总表'!C$19:C$33,A10,'[2]数据-汇总表'!R$19:R$27)</f>
        <v>#VALUE!</v>
      </c>
      <c r="S10" s="3589">
        <f>IF('[2]数据-汇总表'!$I$17="按面积比例",SUMIF('[2]数据-汇总表'!C$19:C$33,A10,'[2]数据-汇总表'!K$19:K$33),SUMIF('[2]数据-汇总表'!C$19:C$33,A10,'[2]数据-汇总表'!N$19:N$33))</f>
        <v>0</v>
      </c>
      <c r="T10" s="3590">
        <f t="shared" si="5"/>
        <v>0</v>
      </c>
      <c r="U10" s="3591"/>
      <c r="V10" s="3592"/>
      <c r="W10" s="3592"/>
      <c r="X10" s="3593"/>
      <c r="Y10" s="3594"/>
      <c r="Z10" s="3595"/>
      <c r="AA10" s="3581"/>
      <c r="AB10" s="3581"/>
      <c r="AC10" s="3593"/>
      <c r="AD10" s="3596"/>
      <c r="AE10" s="3597">
        <f t="shared" ca="1" si="6"/>
        <v>0</v>
      </c>
      <c r="AF10" s="3598"/>
      <c r="AG10" s="3599">
        <f t="shared" si="7"/>
        <v>0</v>
      </c>
      <c r="AH10" s="3600"/>
      <c r="AI10" s="3601"/>
      <c r="AJ10" s="3598"/>
      <c r="AK10" s="3602"/>
      <c r="AL10" s="3603"/>
      <c r="AM10" s="3604"/>
      <c r="AN10" s="3605"/>
      <c r="AO10" s="3606" t="e">
        <f t="shared" ca="1" si="8"/>
        <v>#REF!</v>
      </c>
      <c r="AP10" s="3607">
        <f t="shared" si="9"/>
        <v>0</v>
      </c>
      <c r="AQ10" s="3606">
        <f t="shared" si="10"/>
        <v>0</v>
      </c>
      <c r="AR10" s="3606">
        <f t="shared" si="11"/>
        <v>0</v>
      </c>
      <c r="AS10" s="3532"/>
      <c r="AT10" s="3532"/>
      <c r="AU10" s="3532"/>
      <c r="AV10" s="3532"/>
      <c r="AW10" s="3532"/>
      <c r="AX10" s="3532"/>
      <c r="AY10" s="3532"/>
      <c r="AZ10" s="3532"/>
      <c r="BA10" s="3532"/>
      <c r="BB10" s="3532"/>
      <c r="BC10" s="3532"/>
      <c r="BD10" s="3532"/>
      <c r="BE10" s="3532"/>
      <c r="BF10" s="3532"/>
      <c r="BG10" s="3532"/>
      <c r="BH10" s="3532"/>
      <c r="BI10" s="3532"/>
      <c r="BJ10" s="3532"/>
      <c r="BK10" s="3532"/>
      <c r="BL10" s="3532"/>
      <c r="BM10" s="3532"/>
      <c r="BN10" s="3532"/>
      <c r="BO10" s="3532"/>
    </row>
    <row r="11" spans="1:67" s="3533" customFormat="1" ht="14.25">
      <c r="A11" s="3573">
        <f>'[2]数据-汇总表'!C24</f>
        <v>0</v>
      </c>
      <c r="B11" s="3574" t="str">
        <f t="shared" si="1"/>
        <v/>
      </c>
      <c r="C11" s="3575"/>
      <c r="D11" s="3576">
        <f>SUMIF([2]项目基本情况!C$12:I$12,C11,[2]项目基本情况!C$14:I$14)</f>
        <v>0</v>
      </c>
      <c r="E11" s="3577" t="str">
        <f>IF(B11="","",SUMIF([2]项目基本情况!C$12:I$12,C11,[2]项目基本情况!C$13:I$13))</f>
        <v/>
      </c>
      <c r="F11" s="3578">
        <f>SUMIF([2]项目基本情况!C$12:I$12,C11,[2]项目基本情况!C$15:I$15)</f>
        <v>0</v>
      </c>
      <c r="G11" s="3579">
        <f t="shared" si="2"/>
        <v>0</v>
      </c>
      <c r="H11" s="3581"/>
      <c r="I11" s="3581"/>
      <c r="J11" s="3581"/>
      <c r="K11" s="3582">
        <f>SUMIF('[2]数据-汇总表'!C$19:C$33,A11,'[2]数据-汇总表'!E$19:E$33)</f>
        <v>0</v>
      </c>
      <c r="L11" s="3615"/>
      <c r="M11" s="3584">
        <f t="shared" si="0"/>
        <v>0</v>
      </c>
      <c r="N11" s="3585"/>
      <c r="O11" s="3584" t="str">
        <f t="shared" si="3"/>
        <v>——</v>
      </c>
      <c r="P11" s="3586" t="str">
        <f t="shared" si="4"/>
        <v>——</v>
      </c>
      <c r="Q11" s="3614"/>
      <c r="R11" s="3588" t="e">
        <f>SUMIF('[2]数据-汇总表'!C$19:C$33,A11,'[2]数据-汇总表'!R$19:R$27)</f>
        <v>#VALUE!</v>
      </c>
      <c r="S11" s="3589">
        <f>IF('[2]数据-汇总表'!$I$17="按面积比例",SUMIF('[2]数据-汇总表'!C$19:C$33,A11,'[2]数据-汇总表'!K$19:K$33),SUMIF('[2]数据-汇总表'!C$19:C$33,A11,'[2]数据-汇总表'!N$19:N$33))</f>
        <v>0</v>
      </c>
      <c r="T11" s="3590">
        <f t="shared" si="5"/>
        <v>0</v>
      </c>
      <c r="U11" s="3591"/>
      <c r="V11" s="3581"/>
      <c r="W11" s="3581"/>
      <c r="X11" s="3593"/>
      <c r="Y11" s="3594"/>
      <c r="Z11" s="3616"/>
      <c r="AA11" s="3581"/>
      <c r="AB11" s="3581"/>
      <c r="AC11" s="3593"/>
      <c r="AD11" s="3596"/>
      <c r="AE11" s="3597">
        <f t="shared" ca="1" si="6"/>
        <v>0</v>
      </c>
      <c r="AF11" s="3598"/>
      <c r="AG11" s="3599">
        <f t="shared" si="7"/>
        <v>0</v>
      </c>
      <c r="AH11" s="3600"/>
      <c r="AI11" s="3601"/>
      <c r="AJ11" s="3598"/>
      <c r="AK11" s="3602"/>
      <c r="AL11" s="3603"/>
      <c r="AM11" s="3604"/>
      <c r="AN11" s="3605"/>
      <c r="AO11" s="3606" t="e">
        <f t="shared" ca="1" si="8"/>
        <v>#REF!</v>
      </c>
      <c r="AP11" s="3607">
        <f t="shared" si="9"/>
        <v>0</v>
      </c>
      <c r="AQ11" s="3606">
        <f t="shared" si="10"/>
        <v>0</v>
      </c>
      <c r="AR11" s="3606">
        <f t="shared" si="11"/>
        <v>0</v>
      </c>
      <c r="AS11" s="3532"/>
      <c r="AT11" s="3532"/>
      <c r="AU11" s="3532"/>
      <c r="AV11" s="3532"/>
      <c r="AW11" s="3532"/>
      <c r="AX11" s="3532"/>
      <c r="AY11" s="3532"/>
      <c r="AZ11" s="3532"/>
      <c r="BA11" s="3532"/>
      <c r="BB11" s="3532"/>
      <c r="BC11" s="3532"/>
      <c r="BD11" s="3532"/>
      <c r="BE11" s="3532"/>
      <c r="BF11" s="3532"/>
      <c r="BG11" s="3532"/>
      <c r="BH11" s="3532"/>
      <c r="BI11" s="3532"/>
      <c r="BJ11" s="3532"/>
      <c r="BK11" s="3532"/>
      <c r="BL11" s="3532"/>
      <c r="BM11" s="3532"/>
      <c r="BN11" s="3532"/>
      <c r="BO11" s="3532"/>
    </row>
    <row r="12" spans="1:67" s="3533" customFormat="1" ht="14.25">
      <c r="A12" s="3573">
        <f>'[2]数据-汇总表'!C25</f>
        <v>0</v>
      </c>
      <c r="B12" s="3574" t="str">
        <f t="shared" si="1"/>
        <v/>
      </c>
      <c r="C12" s="3575"/>
      <c r="D12" s="3576">
        <f>SUMIF([2]项目基本情况!C$12:I$12,C12,[2]项目基本情况!C$14:I$14)</f>
        <v>0</v>
      </c>
      <c r="E12" s="3577" t="str">
        <f>IF(B12="","",SUMIF([2]项目基本情况!C$12:I$12,C12,[2]项目基本情况!C$13:I$13))</f>
        <v/>
      </c>
      <c r="F12" s="3578">
        <f>SUMIF([2]项目基本情况!C$12:I$12,C12,[2]项目基本情况!C$15:I$15)</f>
        <v>0</v>
      </c>
      <c r="G12" s="3579">
        <f>IF(ISERROR(ROUND(POWER(1+H12,D12-F12)*(POWER(1+H12,F12)-1)/(POWER(1+H12,D12)-1),3)),0,ROUND(POWER(1+H12,D12-F12)*(POWER(1+H12,F12)-1)/(POWER(1+H12,D12)-1),3))</f>
        <v>0</v>
      </c>
      <c r="H12" s="3581"/>
      <c r="I12" s="3581"/>
      <c r="J12" s="3581"/>
      <c r="K12" s="3582">
        <f>SUMIF('[2]数据-汇总表'!C$19:C$33,A12,'[2]数据-汇总表'!E$19:E$33)</f>
        <v>0</v>
      </c>
      <c r="L12" s="3615"/>
      <c r="M12" s="3584">
        <f>ROUND(K12*L12/10000,0)</f>
        <v>0</v>
      </c>
      <c r="N12" s="3585"/>
      <c r="O12" s="3584" t="str">
        <f t="shared" si="3"/>
        <v>——</v>
      </c>
      <c r="P12" s="3586" t="str">
        <f t="shared" si="4"/>
        <v>——</v>
      </c>
      <c r="Q12" s="3614"/>
      <c r="R12" s="3588" t="e">
        <f>SUMIF('[2]数据-汇总表'!C$19:C$33,A12,'[2]数据-汇总表'!R$19:R$27)</f>
        <v>#VALUE!</v>
      </c>
      <c r="S12" s="3589">
        <f>IF('[2]数据-汇总表'!$I$17="按面积比例",SUMIF('[2]数据-汇总表'!C$19:C$33,A12,'[2]数据-汇总表'!K$19:K$33),SUMIF('[2]数据-汇总表'!C$19:C$33,A12,'[2]数据-汇总表'!N$19:N$33))</f>
        <v>0</v>
      </c>
      <c r="T12" s="3590">
        <f t="shared" si="5"/>
        <v>0</v>
      </c>
      <c r="U12" s="3591"/>
      <c r="V12" s="3581"/>
      <c r="W12" s="3581"/>
      <c r="X12" s="3593"/>
      <c r="Y12" s="3594"/>
      <c r="Z12" s="3616"/>
      <c r="AA12" s="3581"/>
      <c r="AB12" s="3581"/>
      <c r="AC12" s="3593"/>
      <c r="AD12" s="3596"/>
      <c r="AE12" s="3597">
        <f t="shared" ca="1" si="6"/>
        <v>0</v>
      </c>
      <c r="AF12" s="3598"/>
      <c r="AG12" s="3599">
        <f t="shared" si="7"/>
        <v>0</v>
      </c>
      <c r="AH12" s="3600"/>
      <c r="AI12" s="3601"/>
      <c r="AJ12" s="3598"/>
      <c r="AK12" s="3602"/>
      <c r="AL12" s="3603"/>
      <c r="AM12" s="3604"/>
      <c r="AN12" s="3605"/>
      <c r="AO12" s="3606" t="e">
        <f t="shared" ca="1" si="8"/>
        <v>#REF!</v>
      </c>
      <c r="AP12" s="3607">
        <f t="shared" si="9"/>
        <v>0</v>
      </c>
      <c r="AQ12" s="3606">
        <f t="shared" si="10"/>
        <v>0</v>
      </c>
      <c r="AR12" s="3606">
        <f t="shared" si="11"/>
        <v>0</v>
      </c>
      <c r="AS12" s="3532"/>
      <c r="AT12" s="3532"/>
      <c r="AU12" s="3532"/>
      <c r="AV12" s="3532"/>
      <c r="AW12" s="3532"/>
      <c r="AX12" s="3532"/>
      <c r="AY12" s="3532"/>
      <c r="AZ12" s="3532"/>
      <c r="BA12" s="3532"/>
      <c r="BB12" s="3532"/>
      <c r="BC12" s="3532"/>
      <c r="BD12" s="3532"/>
      <c r="BE12" s="3532"/>
      <c r="BF12" s="3532"/>
      <c r="BG12" s="3532"/>
      <c r="BH12" s="3532"/>
      <c r="BI12" s="3532"/>
      <c r="BJ12" s="3532"/>
      <c r="BK12" s="3532"/>
      <c r="BL12" s="3532"/>
      <c r="BM12" s="3532"/>
      <c r="BN12" s="3532"/>
      <c r="BO12" s="3532"/>
    </row>
    <row r="13" spans="1:67" s="3533" customFormat="1" ht="14.25">
      <c r="A13" s="3573">
        <f>'[2]数据-汇总表'!C26</f>
        <v>0</v>
      </c>
      <c r="B13" s="3574" t="str">
        <f t="shared" si="1"/>
        <v/>
      </c>
      <c r="C13" s="3575"/>
      <c r="D13" s="3576">
        <f>SUMIF([2]项目基本情况!C$12:I$12,C13,[2]项目基本情况!C$14:I$14)</f>
        <v>0</v>
      </c>
      <c r="E13" s="3577" t="str">
        <f>IF(B13="","",SUMIF([2]项目基本情况!C$12:I$12,C13,[2]项目基本情况!C$13:I$13))</f>
        <v/>
      </c>
      <c r="F13" s="3578">
        <f>SUMIF([2]项目基本情况!C$12:I$12,C13,[2]项目基本情况!C$15:I$15)</f>
        <v>0</v>
      </c>
      <c r="G13" s="3579">
        <f>IF(ISERROR(ROUND(POWER(1+H13,D13-F13)*(POWER(1+H13,F13)-1)/(POWER(1+H13,D13)-1),3)),0,ROUND(POWER(1+H13,D13-F13)*(POWER(1+H13,F13)-1)/(POWER(1+H13,D13)-1),3))</f>
        <v>0</v>
      </c>
      <c r="H13" s="3581"/>
      <c r="I13" s="3581"/>
      <c r="J13" s="3581"/>
      <c r="K13" s="3582">
        <f>SUMIF('[2]数据-汇总表'!C$19:C$33,A13,'[2]数据-汇总表'!E$19:E$33)</f>
        <v>0</v>
      </c>
      <c r="L13" s="3615"/>
      <c r="M13" s="3584">
        <f>ROUND(K13*L13/10000,0)</f>
        <v>0</v>
      </c>
      <c r="N13" s="3617"/>
      <c r="O13" s="3584" t="str">
        <f t="shared" si="3"/>
        <v>——</v>
      </c>
      <c r="P13" s="3586" t="str">
        <f t="shared" si="4"/>
        <v>——</v>
      </c>
      <c r="Q13" s="3614"/>
      <c r="R13" s="3588" t="e">
        <f>SUMIF('[2]数据-汇总表'!C$19:C$33,A13,'[2]数据-汇总表'!R$19:R$27)</f>
        <v>#VALUE!</v>
      </c>
      <c r="S13" s="3589">
        <f>IF('[2]数据-汇总表'!$I$17="按面积比例",SUMIF('[2]数据-汇总表'!C$19:C$33,A13,'[2]数据-汇总表'!K$19:K$33),SUMIF('[2]数据-汇总表'!C$19:C$33,A13,'[2]数据-汇总表'!N$19:N$33))</f>
        <v>0</v>
      </c>
      <c r="T13" s="3590">
        <f t="shared" si="5"/>
        <v>0</v>
      </c>
      <c r="U13" s="3618"/>
      <c r="V13" s="3592"/>
      <c r="W13" s="3592"/>
      <c r="X13" s="3593"/>
      <c r="Y13" s="3594"/>
      <c r="Z13" s="3595"/>
      <c r="AA13" s="3581"/>
      <c r="AB13" s="3581"/>
      <c r="AC13" s="3593"/>
      <c r="AD13" s="3596"/>
      <c r="AE13" s="3597">
        <f t="shared" ca="1" si="6"/>
        <v>0</v>
      </c>
      <c r="AF13" s="3598"/>
      <c r="AG13" s="3599">
        <f t="shared" si="7"/>
        <v>0</v>
      </c>
      <c r="AH13" s="3600"/>
      <c r="AI13" s="3601"/>
      <c r="AJ13" s="3598"/>
      <c r="AK13" s="3602"/>
      <c r="AL13" s="3603"/>
      <c r="AM13" s="3604"/>
      <c r="AN13" s="3605"/>
      <c r="AO13" s="3606" t="e">
        <f t="shared" ca="1" si="8"/>
        <v>#REF!</v>
      </c>
      <c r="AP13" s="3607">
        <f t="shared" si="9"/>
        <v>0</v>
      </c>
      <c r="AQ13" s="3606">
        <f t="shared" si="10"/>
        <v>0</v>
      </c>
      <c r="AR13" s="3606">
        <f t="shared" si="11"/>
        <v>0</v>
      </c>
      <c r="AS13" s="3532"/>
      <c r="AT13" s="3532"/>
      <c r="AU13" s="3532"/>
      <c r="AV13" s="3532"/>
      <c r="AW13" s="3532"/>
      <c r="AX13" s="3532"/>
      <c r="AY13" s="3532"/>
      <c r="AZ13" s="3532"/>
      <c r="BA13" s="3532"/>
      <c r="BB13" s="3532"/>
      <c r="BC13" s="3532"/>
      <c r="BD13" s="3532"/>
      <c r="BE13" s="3532"/>
      <c r="BF13" s="3532"/>
      <c r="BG13" s="3532"/>
      <c r="BH13" s="3532"/>
      <c r="BI13" s="3532"/>
      <c r="BJ13" s="3532"/>
      <c r="BK13" s="3532"/>
      <c r="BL13" s="3532"/>
      <c r="BM13" s="3532"/>
      <c r="BN13" s="3532"/>
      <c r="BO13" s="3532"/>
    </row>
    <row r="14" spans="1:67" s="3533" customFormat="1" ht="14.25">
      <c r="A14" s="3619" t="s">
        <v>3518</v>
      </c>
      <c r="B14" s="3574" t="s">
        <v>3519</v>
      </c>
      <c r="C14" s="3620" t="s">
        <v>3518</v>
      </c>
      <c r="D14" s="3576"/>
      <c r="E14" s="3577"/>
      <c r="F14" s="3578"/>
      <c r="G14" s="3579"/>
      <c r="H14" s="3621"/>
      <c r="I14" s="3621"/>
      <c r="J14" s="3621"/>
      <c r="K14" s="3582">
        <f>SUMIF('[2]数据-汇总表'!C$19:C$33,A14,'[2]数据-汇总表'!E$19:E$33)</f>
        <v>0</v>
      </c>
      <c r="L14" s="3615"/>
      <c r="M14" s="3584">
        <f t="shared" si="0"/>
        <v>0</v>
      </c>
      <c r="N14" s="3617"/>
      <c r="O14" s="3584" t="str">
        <f t="shared" si="3"/>
        <v>——</v>
      </c>
      <c r="P14" s="3586" t="str">
        <f t="shared" si="4"/>
        <v>——</v>
      </c>
      <c r="Q14" s="3622"/>
      <c r="R14" s="3588"/>
      <c r="S14" s="3589"/>
      <c r="T14" s="3590"/>
      <c r="U14" s="3623"/>
      <c r="V14" s="3624"/>
      <c r="W14" s="3624"/>
      <c r="X14" s="3625"/>
      <c r="Y14" s="3626"/>
      <c r="Z14" s="3627"/>
      <c r="AA14" s="3628"/>
      <c r="AB14" s="3628"/>
      <c r="AC14" s="3593"/>
      <c r="AD14" s="3625"/>
      <c r="AE14" s="3597"/>
      <c r="AF14" s="3606"/>
      <c r="AG14" s="3599"/>
      <c r="AH14" s="3597"/>
      <c r="AI14" s="3629"/>
      <c r="AJ14" s="3606"/>
      <c r="AK14" s="3630"/>
      <c r="AL14" s="3631"/>
      <c r="AM14" s="3632"/>
      <c r="AN14" s="3523"/>
      <c r="AO14" s="3531"/>
      <c r="AP14" s="3531"/>
      <c r="AQ14" s="3531"/>
      <c r="AR14" s="3531"/>
      <c r="AS14" s="3532"/>
      <c r="AT14" s="3532"/>
      <c r="AU14" s="3532"/>
      <c r="AV14" s="3532"/>
      <c r="AW14" s="3532"/>
      <c r="AX14" s="3532"/>
      <c r="AY14" s="3532"/>
      <c r="AZ14" s="3532"/>
      <c r="BA14" s="3532"/>
      <c r="BB14" s="3532"/>
      <c r="BC14" s="3532"/>
      <c r="BD14" s="3532"/>
      <c r="BE14" s="3532"/>
      <c r="BF14" s="3532"/>
      <c r="BG14" s="3532"/>
      <c r="BH14" s="3532"/>
      <c r="BI14" s="3532"/>
      <c r="BJ14" s="3532"/>
      <c r="BK14" s="3532"/>
      <c r="BL14" s="3532"/>
      <c r="BM14" s="3532"/>
      <c r="BN14" s="3532"/>
      <c r="BO14" s="3532"/>
    </row>
    <row r="15" spans="1:67" s="3533" customFormat="1" ht="27">
      <c r="A15" s="3619" t="s">
        <v>3520</v>
      </c>
      <c r="B15" s="3574" t="s">
        <v>3519</v>
      </c>
      <c r="C15" s="3620" t="s">
        <v>3521</v>
      </c>
      <c r="D15" s="3576"/>
      <c r="E15" s="3577"/>
      <c r="F15" s="3578"/>
      <c r="G15" s="3579"/>
      <c r="H15" s="3621"/>
      <c r="I15" s="3621"/>
      <c r="J15" s="3621"/>
      <c r="K15" s="3582">
        <f>SUMIF('[2]数据-汇总表'!C$19:C$33,A15,'[2]数据-汇总表'!E$19:E$33)</f>
        <v>0</v>
      </c>
      <c r="L15" s="3633"/>
      <c r="M15" s="3584"/>
      <c r="N15" s="3634"/>
      <c r="O15" s="3584"/>
      <c r="P15" s="3586"/>
      <c r="Q15" s="3622"/>
      <c r="R15" s="3588"/>
      <c r="S15" s="3589"/>
      <c r="T15" s="3590"/>
      <c r="U15" s="3623"/>
      <c r="V15" s="3624"/>
      <c r="W15" s="3624"/>
      <c r="X15" s="3625"/>
      <c r="Y15" s="3626"/>
      <c r="Z15" s="3627"/>
      <c r="AA15" s="3628"/>
      <c r="AB15" s="3628"/>
      <c r="AC15" s="3593"/>
      <c r="AD15" s="3625"/>
      <c r="AE15" s="3597"/>
      <c r="AF15" s="3606"/>
      <c r="AG15" s="3599"/>
      <c r="AH15" s="3597"/>
      <c r="AI15" s="3629"/>
      <c r="AJ15" s="3606"/>
      <c r="AK15" s="3630"/>
      <c r="AL15" s="3631"/>
      <c r="AM15" s="3632"/>
      <c r="AN15" s="3523"/>
      <c r="AO15" s="3531"/>
      <c r="AP15" s="3531"/>
      <c r="AQ15" s="3531"/>
      <c r="AR15" s="3531"/>
      <c r="AS15" s="3532"/>
      <c r="AT15" s="3532"/>
      <c r="AU15" s="3532"/>
      <c r="AV15" s="3532"/>
      <c r="AW15" s="3532"/>
      <c r="AX15" s="3532"/>
      <c r="AY15" s="3532"/>
      <c r="AZ15" s="3532"/>
      <c r="BA15" s="3532"/>
      <c r="BB15" s="3532"/>
      <c r="BC15" s="3532"/>
      <c r="BD15" s="3532"/>
      <c r="BE15" s="3532"/>
      <c r="BF15" s="3532"/>
      <c r="BG15" s="3532"/>
      <c r="BH15" s="3532"/>
      <c r="BI15" s="3532"/>
      <c r="BJ15" s="3532"/>
      <c r="BK15" s="3532"/>
      <c r="BL15" s="3532"/>
      <c r="BM15" s="3532"/>
      <c r="BN15" s="3532"/>
      <c r="BO15" s="3532"/>
    </row>
    <row r="16" spans="1:67" s="3533" customFormat="1" ht="15.75" thickBot="1">
      <c r="A16" s="3635" t="s">
        <v>3522</v>
      </c>
      <c r="B16" s="3636"/>
      <c r="C16" s="3637"/>
      <c r="D16" s="3638"/>
      <c r="E16" s="3636"/>
      <c r="F16" s="3636"/>
      <c r="G16" s="3639">
        <f>ROUND(SUMPRODUCT(G6:G13,K6:K13)/SUMPRODUCT((G6:G13&gt;0)*(K6:K13)),3)</f>
        <v>0.81899999999999995</v>
      </c>
      <c r="H16" s="3640">
        <f>ROUND(SUMPRODUCT(H6:H13,K6:K13)/SUMPRODUCT((H6:H13&gt;0)*(K6:K13)),3)</f>
        <v>4.4999999999999998E-2</v>
      </c>
      <c r="I16" s="3641"/>
      <c r="J16" s="3641"/>
      <c r="K16" s="3642">
        <f>SUM(K6:K15)</f>
        <v>459.68</v>
      </c>
      <c r="L16" s="3643">
        <f>ROUND(M16*10000/SUM(K6:K14),0)</f>
        <v>5504</v>
      </c>
      <c r="M16" s="3643">
        <f>SUM(M6:M14)</f>
        <v>253</v>
      </c>
      <c r="N16" s="3644">
        <f>ROUND(SUMPRODUCT(M6:M14,N6:N14)/M16,3)</f>
        <v>0.75</v>
      </c>
      <c r="O16" s="3643">
        <f>SUM(O6:O14)</f>
        <v>0</v>
      </c>
      <c r="P16" s="3643">
        <f>SUM(P6:P14)</f>
        <v>0</v>
      </c>
      <c r="Q16" s="3645">
        <f>ROUND(SUMPRODUCT(Q6:Q13,K6:K13)/SUMPRODUCT((Q6:Q13&gt;0)*(K6:K13)),2)</f>
        <v>0.15</v>
      </c>
      <c r="R16" s="3646" t="e">
        <f>SUM(R6:R13)</f>
        <v>#VALUE!</v>
      </c>
      <c r="S16" s="3647">
        <f>SUM(S6:S13)</f>
        <v>0</v>
      </c>
      <c r="T16" s="3648">
        <f>IF(SUMIF(T6:T13,"&lt;9E307")=M14,SUMIF(T6:T13,"&lt;9E307"),"有误，请检查")</f>
        <v>0</v>
      </c>
      <c r="U16" s="3649"/>
      <c r="V16" s="3650"/>
      <c r="W16" s="3650"/>
      <c r="X16" s="3651"/>
      <c r="Y16" s="3652"/>
      <c r="Z16" s="3653"/>
      <c r="AA16" s="3650"/>
      <c r="AB16" s="3650"/>
      <c r="AC16" s="3651"/>
      <c r="AD16" s="3651"/>
      <c r="AE16" s="3649"/>
      <c r="AF16" s="3650"/>
      <c r="AG16" s="3652"/>
      <c r="AH16" s="3649"/>
      <c r="AI16" s="3653"/>
      <c r="AJ16" s="3653"/>
      <c r="AK16" s="3650"/>
      <c r="AL16" s="3650"/>
      <c r="AM16" s="3652"/>
      <c r="AN16" s="3523"/>
      <c r="AO16" s="3531"/>
      <c r="AP16" s="3531"/>
      <c r="AQ16" s="3531"/>
      <c r="AR16" s="3531"/>
      <c r="AS16" s="3532"/>
      <c r="AT16" s="3532"/>
      <c r="AU16" s="3532"/>
      <c r="AV16" s="3532"/>
      <c r="AW16" s="3532"/>
      <c r="AX16" s="3532"/>
      <c r="AY16" s="3532"/>
      <c r="AZ16" s="3532"/>
      <c r="BA16" s="3532"/>
      <c r="BB16" s="3532"/>
      <c r="BC16" s="3532"/>
      <c r="BD16" s="3532"/>
      <c r="BE16" s="3532"/>
      <c r="BF16" s="3532"/>
      <c r="BG16" s="3532"/>
      <c r="BH16" s="3532"/>
      <c r="BI16" s="3532"/>
      <c r="BJ16" s="3532"/>
      <c r="BK16" s="3532"/>
      <c r="BL16" s="3532"/>
      <c r="BM16" s="3532"/>
      <c r="BN16" s="3532"/>
      <c r="BO16" s="3532"/>
    </row>
    <row r="17" spans="1:44" ht="13.5" thickBot="1">
      <c r="A17" s="3654"/>
      <c r="B17" s="3655"/>
      <c r="C17" s="3523"/>
      <c r="D17" s="3656"/>
      <c r="E17" s="3656"/>
      <c r="F17" s="3523"/>
      <c r="G17" s="3523"/>
      <c r="H17" s="3523"/>
      <c r="I17" s="3523"/>
      <c r="J17" s="3523"/>
      <c r="K17" s="3657"/>
      <c r="L17" s="3657"/>
      <c r="M17" s="3523"/>
      <c r="N17" s="3523"/>
      <c r="O17" s="3523"/>
      <c r="P17" s="3523"/>
      <c r="Q17" s="3523"/>
      <c r="R17" s="3523"/>
      <c r="S17" s="3523"/>
      <c r="T17" s="3523"/>
      <c r="U17" s="3523"/>
      <c r="V17" s="3523"/>
      <c r="W17" s="3523"/>
      <c r="X17" s="3523"/>
      <c r="Y17" s="3523"/>
      <c r="Z17" s="3523"/>
      <c r="AA17" s="3523"/>
      <c r="AB17" s="3523"/>
      <c r="AC17" s="3523"/>
      <c r="AD17" s="3523"/>
      <c r="AE17" s="3523"/>
      <c r="AF17" s="3523"/>
      <c r="AG17" s="3523"/>
      <c r="AH17" s="3523"/>
      <c r="AI17" s="3523"/>
      <c r="AJ17" s="3523"/>
      <c r="AK17" s="3523"/>
      <c r="AL17" s="3523"/>
      <c r="AM17" s="3523"/>
      <c r="AN17" s="3523"/>
      <c r="AO17" s="3523"/>
      <c r="AP17" s="3523"/>
      <c r="AQ17" s="3523"/>
      <c r="AR17" s="3523"/>
    </row>
    <row r="18" spans="1:44" ht="15" thickBot="1">
      <c r="A18" s="3536" t="s">
        <v>1645</v>
      </c>
      <c r="B18" s="3658"/>
      <c r="C18" s="3531"/>
      <c r="D18" s="3659"/>
      <c r="E18" s="3531"/>
      <c r="F18" s="3531"/>
      <c r="G18" s="3531"/>
      <c r="H18" s="3531"/>
      <c r="I18" s="3531"/>
      <c r="J18" s="3531"/>
      <c r="K18" s="3657"/>
      <c r="L18" s="3657"/>
      <c r="M18" s="3523"/>
      <c r="N18" s="3523"/>
      <c r="O18" s="3523"/>
      <c r="P18" s="3523"/>
      <c r="Q18" s="3523"/>
      <c r="R18" s="3523"/>
      <c r="S18" s="3523"/>
      <c r="T18" s="3523"/>
      <c r="U18" s="3523"/>
      <c r="V18" s="3523"/>
      <c r="W18" s="3523"/>
      <c r="X18" s="3523"/>
      <c r="Y18" s="3523"/>
      <c r="Z18" s="3523"/>
      <c r="AA18" s="3523"/>
      <c r="AB18" s="3523"/>
      <c r="AC18" s="3523"/>
      <c r="AD18" s="3523"/>
      <c r="AE18" s="3523"/>
      <c r="AF18" s="3523"/>
      <c r="AG18" s="3523"/>
      <c r="AH18" s="3523"/>
      <c r="AI18" s="3523"/>
      <c r="AJ18" s="3523"/>
      <c r="AK18" s="3523"/>
      <c r="AL18" s="3523"/>
      <c r="AM18" s="3523"/>
      <c r="AN18" s="3523"/>
      <c r="AO18" s="3523"/>
      <c r="AP18" s="3523"/>
      <c r="AQ18" s="3523"/>
      <c r="AR18" s="3523"/>
    </row>
    <row r="19" spans="1:44" ht="14.25">
      <c r="A19" s="3660" t="s">
        <v>1646</v>
      </c>
      <c r="B19" s="3661">
        <v>0</v>
      </c>
      <c r="C19" s="3662" t="s">
        <v>3523</v>
      </c>
      <c r="D19" s="3659"/>
      <c r="E19" s="3531"/>
      <c r="F19" s="3531"/>
      <c r="G19" s="3531"/>
      <c r="H19" s="3531"/>
      <c r="I19" s="3531"/>
      <c r="J19" s="3531"/>
      <c r="K19" s="3657"/>
      <c r="L19" s="3657">
        <v>3500</v>
      </c>
      <c r="M19" s="3523"/>
      <c r="N19" s="3523"/>
      <c r="O19" s="3523"/>
      <c r="P19" s="3523"/>
      <c r="Q19" s="3523"/>
      <c r="R19" s="3523"/>
      <c r="S19" s="3523"/>
      <c r="T19" s="3523"/>
      <c r="U19" s="3523"/>
      <c r="V19" s="3523"/>
      <c r="W19" s="3523"/>
      <c r="X19" s="3523"/>
      <c r="Y19" s="3523"/>
      <c r="Z19" s="3523"/>
      <c r="AA19" s="3523"/>
      <c r="AB19" s="3523"/>
      <c r="AC19" s="3523"/>
      <c r="AD19" s="3523"/>
      <c r="AE19" s="3523"/>
      <c r="AF19" s="3523"/>
      <c r="AG19" s="3523"/>
      <c r="AH19" s="3523"/>
      <c r="AI19" s="3523"/>
      <c r="AJ19" s="3523"/>
      <c r="AK19" s="3523"/>
      <c r="AL19" s="3523"/>
      <c r="AM19" s="3523"/>
      <c r="AN19" s="3523"/>
      <c r="AO19" s="3523"/>
      <c r="AP19" s="3523"/>
      <c r="AQ19" s="3523"/>
      <c r="AR19" s="3523"/>
    </row>
    <row r="20" spans="1:44" ht="14.25">
      <c r="A20" s="3663" t="s">
        <v>3524</v>
      </c>
      <c r="B20" s="3664">
        <v>2</v>
      </c>
      <c r="C20" s="3665" t="s">
        <v>3525</v>
      </c>
      <c r="D20" s="3659"/>
      <c r="E20" s="3531"/>
      <c r="F20" s="3531"/>
      <c r="G20" s="3531"/>
      <c r="H20" s="3531"/>
      <c r="I20" s="3531"/>
      <c r="J20" s="3531"/>
      <c r="K20" s="3657"/>
      <c r="L20" s="3657">
        <v>3000</v>
      </c>
      <c r="M20" s="3523"/>
      <c r="N20" s="3523">
        <f>ROUND(1-(2022-2004)/60,2)</f>
        <v>0.7</v>
      </c>
      <c r="O20" s="3523"/>
      <c r="P20" s="3523"/>
      <c r="Q20" s="3523"/>
      <c r="R20" s="3523"/>
      <c r="S20" s="3523"/>
      <c r="T20" s="3523"/>
      <c r="U20" s="3523"/>
      <c r="V20" s="3523"/>
      <c r="W20" s="3523"/>
      <c r="X20" s="3523"/>
      <c r="Y20" s="3523"/>
      <c r="Z20" s="3523"/>
      <c r="AA20" s="3523"/>
      <c r="AB20" s="3523"/>
      <c r="AC20" s="3523"/>
      <c r="AD20" s="3523"/>
      <c r="AE20" s="3523"/>
      <c r="AF20" s="3523"/>
      <c r="AG20" s="3523"/>
      <c r="AH20" s="3523"/>
      <c r="AI20" s="3523"/>
      <c r="AJ20" s="3523"/>
      <c r="AK20" s="3523"/>
      <c r="AL20" s="3523"/>
      <c r="AM20" s="3523"/>
      <c r="AN20" s="3523"/>
      <c r="AO20" s="3523"/>
      <c r="AP20" s="3523"/>
      <c r="AQ20" s="3523"/>
      <c r="AR20" s="3523"/>
    </row>
    <row r="21" spans="1:44" ht="14.25">
      <c r="A21" s="3666" t="s">
        <v>3526</v>
      </c>
      <c r="B21" s="3664">
        <v>2</v>
      </c>
      <c r="C21" s="3531"/>
      <c r="D21" s="3659"/>
      <c r="E21" s="3531"/>
      <c r="F21" s="3531"/>
      <c r="G21" s="3531"/>
      <c r="H21" s="3531"/>
      <c r="I21" s="3531"/>
      <c r="J21" s="3531"/>
      <c r="K21" s="3657"/>
      <c r="L21" s="3657"/>
      <c r="M21" s="3523"/>
      <c r="N21" s="3523">
        <v>0.8</v>
      </c>
      <c r="O21" s="3523"/>
      <c r="P21" s="3523"/>
      <c r="Q21" s="3523"/>
      <c r="R21" s="3523"/>
      <c r="S21" s="3523"/>
      <c r="T21" s="3523"/>
      <c r="U21" s="3523"/>
      <c r="V21" s="3523"/>
      <c r="W21" s="3523"/>
      <c r="X21" s="3523"/>
      <c r="Y21" s="3523"/>
      <c r="Z21" s="3523"/>
      <c r="AA21" s="3523"/>
      <c r="AB21" s="3523"/>
      <c r="AC21" s="3523"/>
      <c r="AD21" s="3523"/>
      <c r="AE21" s="3523"/>
      <c r="AF21" s="3523"/>
      <c r="AG21" s="3523"/>
      <c r="AH21" s="3523"/>
      <c r="AI21" s="3523"/>
      <c r="AJ21" s="3523"/>
      <c r="AK21" s="3523"/>
      <c r="AL21" s="3523"/>
      <c r="AM21" s="3523"/>
      <c r="AN21" s="3523"/>
      <c r="AO21" s="3523"/>
      <c r="AP21" s="3523"/>
      <c r="AQ21" s="3523"/>
      <c r="AR21" s="3523"/>
    </row>
    <row r="22" spans="1:44" ht="14.25">
      <c r="A22" s="3663" t="s">
        <v>3527</v>
      </c>
      <c r="B22" s="3667">
        <f>B19+B20</f>
        <v>2</v>
      </c>
      <c r="C22" s="3531"/>
      <c r="D22" s="3659"/>
      <c r="E22" s="3531"/>
      <c r="F22" s="3531"/>
      <c r="G22" s="3531"/>
      <c r="H22" s="3531"/>
      <c r="I22" s="3531"/>
      <c r="J22" s="3531"/>
      <c r="K22" s="3657"/>
      <c r="L22" s="3657"/>
      <c r="M22" s="3523"/>
      <c r="N22" s="3523"/>
      <c r="O22" s="3523"/>
      <c r="P22" s="3523"/>
      <c r="Q22" s="3523"/>
      <c r="R22" s="3523"/>
      <c r="S22" s="3523"/>
      <c r="T22" s="3523"/>
      <c r="U22" s="3523"/>
      <c r="V22" s="3523"/>
      <c r="W22" s="3523"/>
      <c r="X22" s="3523"/>
      <c r="Y22" s="3523"/>
      <c r="Z22" s="3523"/>
      <c r="AA22" s="3523"/>
      <c r="AB22" s="3523"/>
      <c r="AC22" s="3523"/>
      <c r="AD22" s="3523"/>
      <c r="AE22" s="3523"/>
      <c r="AF22" s="3523"/>
      <c r="AG22" s="3523"/>
      <c r="AH22" s="3523"/>
      <c r="AI22" s="3523"/>
      <c r="AJ22" s="3523"/>
      <c r="AK22" s="3523"/>
      <c r="AL22" s="3523"/>
      <c r="AM22" s="3523"/>
      <c r="AN22" s="3523"/>
      <c r="AO22" s="3523"/>
      <c r="AP22" s="3523"/>
      <c r="AQ22" s="3523"/>
      <c r="AR22" s="3523"/>
    </row>
    <row r="23" spans="1:44" ht="14.25">
      <c r="A23" s="3666" t="s">
        <v>1653</v>
      </c>
      <c r="B23" s="3667">
        <f>B19+B21</f>
        <v>2</v>
      </c>
      <c r="C23" s="3531"/>
      <c r="D23" s="3659"/>
      <c r="E23" s="3531"/>
      <c r="F23" s="3531"/>
      <c r="G23" s="3531"/>
      <c r="H23" s="3531"/>
      <c r="I23" s="3531"/>
      <c r="J23" s="3531"/>
      <c r="K23" s="3657"/>
      <c r="L23" s="3657"/>
      <c r="M23" s="3523"/>
      <c r="N23" s="3523"/>
      <c r="O23" s="3523"/>
      <c r="P23" s="3523"/>
      <c r="Q23" s="3523"/>
      <c r="R23" s="3523"/>
      <c r="S23" s="3523"/>
      <c r="T23" s="3523"/>
      <c r="U23" s="3523"/>
      <c r="V23" s="3523"/>
      <c r="W23" s="3523"/>
      <c r="X23" s="3523"/>
      <c r="Y23" s="3523"/>
      <c r="Z23" s="3523"/>
      <c r="AA23" s="3523"/>
      <c r="AB23" s="3523"/>
      <c r="AC23" s="3523"/>
      <c r="AD23" s="3523"/>
      <c r="AE23" s="3523"/>
      <c r="AF23" s="3523"/>
      <c r="AG23" s="3523"/>
      <c r="AH23" s="3523"/>
      <c r="AI23" s="3523"/>
      <c r="AJ23" s="3523"/>
      <c r="AK23" s="3523"/>
      <c r="AL23" s="3523"/>
      <c r="AM23" s="3523"/>
      <c r="AN23" s="3523"/>
      <c r="AO23" s="3523"/>
      <c r="AP23" s="3523"/>
      <c r="AQ23" s="3523"/>
      <c r="AR23" s="3523"/>
    </row>
    <row r="24" spans="1:44" ht="15" thickBot="1">
      <c r="A24" s="3668" t="s">
        <v>1655</v>
      </c>
      <c r="B24" s="3669">
        <f>B20-B21</f>
        <v>0</v>
      </c>
      <c r="C24" s="3531"/>
      <c r="D24" s="3659"/>
      <c r="E24" s="3531"/>
      <c r="F24" s="3531"/>
      <c r="G24" s="3531"/>
      <c r="H24" s="3531"/>
      <c r="I24" s="3531"/>
      <c r="J24" s="3531"/>
      <c r="K24" s="3657"/>
      <c r="L24" s="3657"/>
      <c r="M24" s="3523"/>
      <c r="N24" s="3523"/>
      <c r="O24" s="3523"/>
      <c r="P24" s="3523"/>
      <c r="Q24" s="3523"/>
      <c r="R24" s="3523"/>
      <c r="S24" s="3523"/>
      <c r="T24" s="3523"/>
      <c r="U24" s="3523"/>
      <c r="V24" s="3523"/>
      <c r="W24" s="3523"/>
      <c r="X24" s="3523"/>
      <c r="Y24" s="3523"/>
      <c r="Z24" s="3523"/>
      <c r="AA24" s="3523"/>
      <c r="AB24" s="3523"/>
      <c r="AC24" s="3523"/>
      <c r="AD24" s="3523"/>
      <c r="AE24" s="3523"/>
      <c r="AF24" s="3523"/>
      <c r="AG24" s="3523"/>
      <c r="AH24" s="3523"/>
      <c r="AI24" s="3523"/>
      <c r="AJ24" s="3523"/>
      <c r="AK24" s="3523"/>
      <c r="AL24" s="3523"/>
      <c r="AM24" s="3523"/>
      <c r="AN24" s="3523"/>
      <c r="AO24" s="3523"/>
      <c r="AP24" s="3523"/>
      <c r="AQ24" s="3523"/>
      <c r="AR24" s="3523"/>
    </row>
    <row r="25" spans="1:44" ht="15" thickBot="1">
      <c r="A25" s="3534"/>
      <c r="B25" s="3535"/>
      <c r="C25" s="3531"/>
      <c r="D25" s="3659"/>
      <c r="E25" s="3531"/>
      <c r="F25" s="3531"/>
      <c r="G25" s="3531"/>
      <c r="H25" s="3531"/>
      <c r="I25" s="3531"/>
      <c r="J25" s="3531"/>
      <c r="K25" s="3657"/>
      <c r="L25" s="3657"/>
      <c r="M25" s="3523"/>
      <c r="N25" s="3523"/>
      <c r="O25" s="3523"/>
      <c r="P25" s="3523"/>
      <c r="Q25" s="3523"/>
      <c r="R25" s="3523"/>
      <c r="S25" s="3523"/>
      <c r="T25" s="3523"/>
      <c r="U25" s="3523"/>
      <c r="V25" s="3523"/>
      <c r="W25" s="3523"/>
      <c r="X25" s="3523"/>
      <c r="Y25" s="3523"/>
      <c r="Z25" s="3523"/>
      <c r="AA25" s="3523"/>
      <c r="AB25" s="3523"/>
      <c r="AC25" s="3523"/>
      <c r="AD25" s="3523"/>
      <c r="AE25" s="3523"/>
      <c r="AF25" s="3523"/>
      <c r="AG25" s="3523"/>
      <c r="AH25" s="3523"/>
      <c r="AI25" s="3523"/>
      <c r="AJ25" s="3523"/>
      <c r="AK25" s="3523"/>
      <c r="AL25" s="3523"/>
      <c r="AM25" s="3523"/>
      <c r="AN25" s="3523"/>
      <c r="AO25" s="3523"/>
      <c r="AP25" s="3523"/>
      <c r="AQ25" s="3523"/>
      <c r="AR25" s="3523"/>
    </row>
    <row r="26" spans="1:44" ht="15" thickBot="1">
      <c r="A26" s="3526" t="s">
        <v>1628</v>
      </c>
      <c r="B26" s="3670" t="s">
        <v>1629</v>
      </c>
      <c r="C26" s="3671" t="s">
        <v>3528</v>
      </c>
      <c r="D26" s="3659"/>
      <c r="E26" s="3531"/>
      <c r="F26" s="3531"/>
      <c r="G26" s="3531"/>
      <c r="H26" s="3531"/>
      <c r="I26" s="3531"/>
      <c r="J26" s="3531"/>
      <c r="K26" s="3657"/>
      <c r="L26" s="3657"/>
      <c r="M26" s="3523"/>
      <c r="N26" s="3523"/>
      <c r="O26" s="3523"/>
      <c r="P26" s="3523"/>
      <c r="Q26" s="3523"/>
      <c r="R26" s="3523"/>
      <c r="S26" s="3523"/>
      <c r="T26" s="3523"/>
      <c r="U26" s="3523"/>
      <c r="V26" s="3523"/>
      <c r="W26" s="3523"/>
      <c r="X26" s="3523"/>
      <c r="Y26" s="3523"/>
      <c r="Z26" s="3523"/>
      <c r="AA26" s="3523"/>
      <c r="AB26" s="3523"/>
      <c r="AC26" s="3523"/>
      <c r="AD26" s="3523"/>
      <c r="AE26" s="3523"/>
      <c r="AF26" s="3523"/>
      <c r="AG26" s="3523"/>
      <c r="AH26" s="3523"/>
      <c r="AI26" s="3523"/>
      <c r="AJ26" s="3523"/>
      <c r="AK26" s="3523"/>
      <c r="AL26" s="3523"/>
      <c r="AM26" s="3523"/>
      <c r="AN26" s="3523"/>
      <c r="AO26" s="3523"/>
      <c r="AP26" s="3523"/>
      <c r="AQ26" s="3523"/>
      <c r="AR26" s="3523"/>
    </row>
    <row r="27" spans="1:44" ht="27.75">
      <c r="A27" s="3672" t="s">
        <v>1631</v>
      </c>
      <c r="B27" s="3673">
        <v>160</v>
      </c>
      <c r="C27" s="3674" t="s">
        <v>3529</v>
      </c>
      <c r="D27" s="3675"/>
      <c r="E27" s="3676"/>
      <c r="F27" s="3676"/>
      <c r="G27" s="3531"/>
      <c r="H27" s="3531"/>
      <c r="I27" s="3531"/>
      <c r="J27" s="3531"/>
      <c r="K27" s="3657"/>
      <c r="L27" s="3657"/>
      <c r="M27" s="3523"/>
      <c r="N27" s="3523"/>
      <c r="O27" s="3523"/>
      <c r="P27" s="3523"/>
      <c r="Q27" s="3523"/>
      <c r="R27" s="3523"/>
      <c r="S27" s="3523"/>
      <c r="T27" s="3523"/>
      <c r="U27" s="3523"/>
      <c r="V27" s="3523"/>
      <c r="W27" s="3523"/>
      <c r="X27" s="3523"/>
      <c r="Y27" s="3523"/>
      <c r="Z27" s="3523"/>
      <c r="AA27" s="3523"/>
      <c r="AB27" s="3523"/>
      <c r="AC27" s="3523"/>
      <c r="AD27" s="3523"/>
      <c r="AE27" s="3523"/>
      <c r="AF27" s="3523"/>
      <c r="AG27" s="3523"/>
      <c r="AH27" s="3523"/>
      <c r="AI27" s="3523"/>
      <c r="AJ27" s="3523"/>
      <c r="AK27" s="3523"/>
      <c r="AL27" s="3523"/>
      <c r="AM27" s="3523"/>
      <c r="AN27" s="3523"/>
      <c r="AO27" s="3523"/>
      <c r="AP27" s="3523"/>
      <c r="AQ27" s="3523"/>
      <c r="AR27" s="3523"/>
    </row>
    <row r="28" spans="1:44" ht="27.75">
      <c r="A28" s="3677" t="s">
        <v>1634</v>
      </c>
      <c r="B28" s="3678">
        <v>200</v>
      </c>
      <c r="C28" s="3679"/>
      <c r="D28" s="3675"/>
      <c r="E28" s="3676"/>
      <c r="F28" s="3676"/>
      <c r="G28" s="3531"/>
      <c r="H28" s="3531"/>
      <c r="I28" s="3531"/>
      <c r="J28" s="3531"/>
      <c r="K28" s="3657"/>
      <c r="L28" s="3657"/>
      <c r="M28" s="3523"/>
      <c r="N28" s="3523"/>
      <c r="O28" s="3523"/>
      <c r="P28" s="3523"/>
      <c r="Q28" s="3523"/>
      <c r="R28" s="3523"/>
      <c r="S28" s="3523"/>
      <c r="T28" s="3523"/>
      <c r="U28" s="3523"/>
      <c r="V28" s="3523"/>
      <c r="W28" s="3523"/>
      <c r="X28" s="3523"/>
      <c r="Y28" s="3523"/>
      <c r="Z28" s="3523"/>
      <c r="AA28" s="3523"/>
      <c r="AB28" s="3523"/>
      <c r="AC28" s="3523"/>
      <c r="AD28" s="3523"/>
      <c r="AE28" s="3523"/>
      <c r="AF28" s="3523"/>
      <c r="AG28" s="3523"/>
      <c r="AH28" s="3523"/>
      <c r="AI28" s="3523"/>
      <c r="AJ28" s="3523"/>
      <c r="AK28" s="3523"/>
      <c r="AL28" s="3523"/>
      <c r="AM28" s="3523"/>
      <c r="AN28" s="3523"/>
      <c r="AO28" s="3523"/>
      <c r="AP28" s="3523"/>
      <c r="AQ28" s="3523"/>
      <c r="AR28" s="3523"/>
    </row>
    <row r="29" spans="1:44" ht="28.5" thickBot="1">
      <c r="A29" s="3680" t="s">
        <v>3530</v>
      </c>
      <c r="B29" s="3681"/>
      <c r="C29" s="3682" t="s">
        <v>3531</v>
      </c>
      <c r="D29" s="3675"/>
      <c r="E29" s="3676"/>
      <c r="F29" s="3676"/>
      <c r="G29" s="3531"/>
      <c r="H29" s="3531"/>
      <c r="I29" s="3531"/>
      <c r="J29" s="3531"/>
      <c r="K29" s="3657"/>
      <c r="L29" s="3657"/>
      <c r="M29" s="3523"/>
      <c r="N29" s="3523"/>
      <c r="O29" s="3523"/>
      <c r="P29" s="3523"/>
      <c r="Q29" s="3523"/>
      <c r="R29" s="3523"/>
      <c r="S29" s="3523"/>
      <c r="T29" s="3523"/>
      <c r="U29" s="3523"/>
      <c r="V29" s="3523"/>
      <c r="W29" s="3523"/>
      <c r="X29" s="3523"/>
      <c r="Y29" s="3523"/>
      <c r="Z29" s="3523"/>
      <c r="AA29" s="3523"/>
      <c r="AB29" s="3523"/>
      <c r="AC29" s="3523"/>
      <c r="AD29" s="3523"/>
      <c r="AE29" s="3523"/>
      <c r="AF29" s="3523"/>
      <c r="AG29" s="3523"/>
      <c r="AH29" s="3523"/>
      <c r="AI29" s="3523"/>
      <c r="AJ29" s="3523"/>
      <c r="AK29" s="3523"/>
      <c r="AL29" s="3523"/>
      <c r="AM29" s="3523"/>
      <c r="AN29" s="3523"/>
      <c r="AO29" s="3523"/>
      <c r="AP29" s="3523"/>
      <c r="AQ29" s="3523"/>
      <c r="AR29" s="3523"/>
    </row>
    <row r="30" spans="1:44" ht="27">
      <c r="A30" s="3683" t="s">
        <v>1638</v>
      </c>
      <c r="B30" s="3684">
        <v>150</v>
      </c>
      <c r="C30" s="3679"/>
      <c r="D30" s="3675"/>
      <c r="E30" s="3676"/>
      <c r="F30" s="3676"/>
      <c r="G30" s="3531"/>
      <c r="H30" s="3531"/>
      <c r="I30" s="3531"/>
      <c r="J30" s="3531"/>
      <c r="K30" s="3657"/>
      <c r="L30" s="3657"/>
      <c r="M30" s="3523"/>
      <c r="N30" s="3523"/>
      <c r="O30" s="3523"/>
      <c r="P30" s="3523"/>
      <c r="Q30" s="3523"/>
      <c r="R30" s="3523"/>
      <c r="S30" s="3523"/>
      <c r="T30" s="3523"/>
      <c r="U30" s="3523"/>
      <c r="V30" s="3523"/>
      <c r="W30" s="3523"/>
      <c r="X30" s="3523"/>
      <c r="Y30" s="3523"/>
      <c r="Z30" s="3523"/>
      <c r="AA30" s="3523"/>
      <c r="AB30" s="3523"/>
      <c r="AC30" s="3523"/>
      <c r="AD30" s="3523"/>
      <c r="AE30" s="3523"/>
      <c r="AF30" s="3523"/>
      <c r="AG30" s="3523"/>
      <c r="AH30" s="3523"/>
      <c r="AI30" s="3523"/>
      <c r="AJ30" s="3523"/>
      <c r="AK30" s="3523"/>
      <c r="AL30" s="3523"/>
      <c r="AM30" s="3523"/>
      <c r="AN30" s="3523"/>
      <c r="AO30" s="3523"/>
      <c r="AP30" s="3523"/>
      <c r="AQ30" s="3523"/>
      <c r="AR30" s="3523"/>
    </row>
    <row r="31" spans="1:44" ht="27">
      <c r="A31" s="3677" t="s">
        <v>1640</v>
      </c>
      <c r="B31" s="3685">
        <f>B30-B32</f>
        <v>150</v>
      </c>
      <c r="C31" s="3686"/>
      <c r="D31" s="3675"/>
      <c r="E31" s="3676"/>
      <c r="F31" s="3676"/>
      <c r="G31" s="3531"/>
      <c r="H31" s="3531"/>
      <c r="I31" s="3531"/>
      <c r="J31" s="3531"/>
      <c r="K31" s="3657"/>
      <c r="L31" s="3657"/>
      <c r="M31" s="3523"/>
      <c r="N31" s="3523"/>
      <c r="O31" s="3523"/>
      <c r="P31" s="3523"/>
      <c r="Q31" s="3523"/>
      <c r="R31" s="3523"/>
      <c r="S31" s="3523"/>
      <c r="T31" s="3523"/>
      <c r="U31" s="3523"/>
      <c r="V31" s="3523"/>
      <c r="W31" s="3523"/>
      <c r="X31" s="3523"/>
      <c r="Y31" s="3523"/>
      <c r="Z31" s="3523"/>
      <c r="AA31" s="3523"/>
      <c r="AB31" s="3523"/>
      <c r="AC31" s="3523"/>
      <c r="AD31" s="3523"/>
      <c r="AE31" s="3523"/>
      <c r="AF31" s="3523"/>
      <c r="AG31" s="3523"/>
      <c r="AH31" s="3523"/>
      <c r="AI31" s="3523"/>
      <c r="AJ31" s="3523"/>
      <c r="AK31" s="3523"/>
      <c r="AL31" s="3523"/>
      <c r="AM31" s="3523"/>
      <c r="AN31" s="3523"/>
      <c r="AO31" s="3523"/>
      <c r="AP31" s="3523"/>
      <c r="AQ31" s="3523"/>
      <c r="AR31" s="3523"/>
    </row>
    <row r="32" spans="1:44" ht="27.75" thickBot="1">
      <c r="A32" s="3687" t="s">
        <v>1642</v>
      </c>
      <c r="B32" s="3688">
        <v>0</v>
      </c>
      <c r="C32" s="3679"/>
      <c r="D32" s="3659"/>
      <c r="E32" s="3531"/>
      <c r="F32" s="3531"/>
      <c r="G32" s="3531"/>
      <c r="H32" s="3531"/>
      <c r="I32" s="3531"/>
      <c r="J32" s="3531"/>
      <c r="K32" s="3657"/>
      <c r="L32" s="3657"/>
      <c r="M32" s="3523"/>
      <c r="N32" s="3523"/>
      <c r="O32" s="3523"/>
      <c r="P32" s="3523"/>
      <c r="Q32" s="3523"/>
      <c r="R32" s="3523"/>
      <c r="S32" s="3523"/>
      <c r="T32" s="3523"/>
      <c r="U32" s="3523"/>
      <c r="V32" s="3523"/>
      <c r="W32" s="3523"/>
      <c r="X32" s="3523"/>
      <c r="Y32" s="3523"/>
      <c r="Z32" s="3523"/>
      <c r="AA32" s="3523"/>
      <c r="AB32" s="3523"/>
      <c r="AC32" s="3523"/>
      <c r="AD32" s="3523"/>
      <c r="AE32" s="3523"/>
      <c r="AF32" s="3523"/>
      <c r="AG32" s="3523"/>
      <c r="AH32" s="3523"/>
      <c r="AI32" s="3523"/>
      <c r="AJ32" s="3523"/>
      <c r="AK32" s="3523"/>
      <c r="AL32" s="3523"/>
      <c r="AM32" s="3523"/>
      <c r="AN32" s="3523"/>
      <c r="AO32" s="3523"/>
      <c r="AP32" s="3523"/>
      <c r="AQ32" s="3523"/>
      <c r="AR32" s="3523"/>
    </row>
    <row r="33" spans="1:44" ht="14.25">
      <c r="A33" s="3672" t="s">
        <v>1648</v>
      </c>
      <c r="B33" s="3689">
        <v>0.05</v>
      </c>
      <c r="C33" s="3690" t="s">
        <v>3532</v>
      </c>
      <c r="D33" s="3659"/>
      <c r="E33" s="3531"/>
      <c r="F33" s="3531"/>
      <c r="G33" s="3531"/>
      <c r="H33" s="3531"/>
      <c r="I33" s="3531"/>
      <c r="J33" s="3531"/>
      <c r="K33" s="3657"/>
      <c r="L33" s="3657"/>
      <c r="M33" s="3523"/>
      <c r="N33" s="3523"/>
      <c r="O33" s="3523"/>
      <c r="P33" s="3523"/>
      <c r="Q33" s="3523"/>
      <c r="R33" s="3523"/>
      <c r="S33" s="3523"/>
      <c r="T33" s="3523"/>
      <c r="U33" s="3523"/>
      <c r="V33" s="3523"/>
      <c r="W33" s="3523"/>
      <c r="X33" s="3523"/>
      <c r="Y33" s="3523"/>
      <c r="Z33" s="3523"/>
      <c r="AA33" s="3523"/>
      <c r="AB33" s="3523"/>
      <c r="AC33" s="3523"/>
      <c r="AD33" s="3523"/>
      <c r="AE33" s="3523"/>
      <c r="AF33" s="3523"/>
      <c r="AG33" s="3523"/>
      <c r="AH33" s="3523"/>
      <c r="AI33" s="3523"/>
      <c r="AJ33" s="3523"/>
      <c r="AK33" s="3523"/>
      <c r="AL33" s="3523"/>
      <c r="AM33" s="3523"/>
      <c r="AN33" s="3523"/>
      <c r="AO33" s="3523"/>
      <c r="AP33" s="3523"/>
      <c r="AQ33" s="3523"/>
      <c r="AR33" s="3523"/>
    </row>
    <row r="34" spans="1:44" ht="14.25">
      <c r="A34" s="3677" t="s">
        <v>1650</v>
      </c>
      <c r="B34" s="3613">
        <v>0.05</v>
      </c>
      <c r="C34" s="3690" t="s">
        <v>3533</v>
      </c>
      <c r="D34" s="3691" t="s">
        <v>3534</v>
      </c>
      <c r="E34" s="3655"/>
      <c r="F34" s="3531"/>
      <c r="G34" s="3531"/>
      <c r="H34" s="3531"/>
      <c r="I34" s="3531"/>
      <c r="J34" s="3531"/>
      <c r="K34" s="3657"/>
      <c r="L34" s="3657"/>
      <c r="M34" s="3523"/>
      <c r="N34" s="3523"/>
      <c r="O34" s="3523"/>
      <c r="P34" s="3523"/>
      <c r="Q34" s="3523"/>
      <c r="R34" s="3523"/>
      <c r="S34" s="3523"/>
      <c r="T34" s="3523"/>
      <c r="U34" s="3523"/>
      <c r="V34" s="3523"/>
      <c r="W34" s="3523"/>
      <c r="X34" s="3523"/>
      <c r="Y34" s="3523"/>
      <c r="Z34" s="3523"/>
      <c r="AA34" s="3523"/>
      <c r="AB34" s="3523"/>
      <c r="AC34" s="3523"/>
      <c r="AD34" s="3523"/>
      <c r="AE34" s="3523"/>
      <c r="AF34" s="3523"/>
      <c r="AG34" s="3523"/>
      <c r="AH34" s="3523"/>
      <c r="AI34" s="3523"/>
      <c r="AJ34" s="3523"/>
      <c r="AK34" s="3523"/>
      <c r="AL34" s="3523"/>
      <c r="AM34" s="3523"/>
      <c r="AN34" s="3523"/>
      <c r="AO34" s="3523"/>
      <c r="AP34" s="3523"/>
      <c r="AQ34" s="3523"/>
      <c r="AR34" s="3523"/>
    </row>
    <row r="35" spans="1:44" ht="14.25">
      <c r="A35" s="3677" t="s">
        <v>1652</v>
      </c>
      <c r="B35" s="3678">
        <v>300</v>
      </c>
      <c r="C35" s="3690" t="s">
        <v>3535</v>
      </c>
      <c r="D35" s="3675"/>
      <c r="E35" s="3676"/>
      <c r="F35" s="3676"/>
      <c r="G35" s="3531"/>
      <c r="H35" s="3531"/>
      <c r="I35" s="3531"/>
      <c r="J35" s="3531"/>
      <c r="K35" s="3657"/>
      <c r="L35" s="3657"/>
      <c r="M35" s="3523"/>
      <c r="N35" s="3523"/>
      <c r="O35" s="3523"/>
      <c r="P35" s="3523"/>
      <c r="Q35" s="3523"/>
      <c r="R35" s="3523"/>
      <c r="S35" s="3523"/>
      <c r="T35" s="3523"/>
      <c r="U35" s="3523"/>
      <c r="V35" s="3523"/>
      <c r="W35" s="3523"/>
      <c r="X35" s="3523"/>
      <c r="Y35" s="3523"/>
      <c r="Z35" s="3523"/>
      <c r="AA35" s="3523"/>
      <c r="AB35" s="3523"/>
      <c r="AC35" s="3523"/>
      <c r="AD35" s="3523"/>
      <c r="AE35" s="3523"/>
      <c r="AF35" s="3523"/>
      <c r="AG35" s="3523"/>
      <c r="AH35" s="3523"/>
      <c r="AI35" s="3523"/>
      <c r="AJ35" s="3523"/>
      <c r="AK35" s="3523"/>
      <c r="AL35" s="3523"/>
      <c r="AM35" s="3523"/>
      <c r="AN35" s="3523"/>
      <c r="AO35" s="3523"/>
      <c r="AP35" s="3523"/>
      <c r="AQ35" s="3523"/>
      <c r="AR35" s="3523"/>
    </row>
    <row r="36" spans="1:44" ht="15" thickBot="1">
      <c r="A36" s="3680" t="s">
        <v>1654</v>
      </c>
      <c r="B36" s="3692">
        <v>1.4999999999999999E-2</v>
      </c>
      <c r="C36" s="3690" t="s">
        <v>3536</v>
      </c>
      <c r="D36" s="3659"/>
      <c r="E36" s="3531"/>
      <c r="F36" s="3531"/>
      <c r="G36" s="3531"/>
      <c r="H36" s="3531"/>
      <c r="I36" s="3531"/>
      <c r="J36" s="3531"/>
      <c r="K36" s="3657"/>
      <c r="L36" s="3657"/>
      <c r="M36" s="3523"/>
      <c r="N36" s="3523"/>
      <c r="O36" s="3523"/>
      <c r="P36" s="3523"/>
      <c r="Q36" s="3523"/>
      <c r="R36" s="3523"/>
      <c r="S36" s="3523"/>
      <c r="T36" s="3523"/>
      <c r="U36" s="3523"/>
      <c r="V36" s="3523"/>
      <c r="W36" s="3523"/>
      <c r="X36" s="3523"/>
      <c r="Y36" s="3523"/>
      <c r="Z36" s="3523"/>
      <c r="AA36" s="3523"/>
      <c r="AB36" s="3523"/>
      <c r="AC36" s="3523"/>
      <c r="AD36" s="3523"/>
      <c r="AE36" s="3523"/>
      <c r="AF36" s="3523"/>
      <c r="AG36" s="3523"/>
      <c r="AH36" s="3523"/>
      <c r="AI36" s="3523"/>
      <c r="AJ36" s="3523"/>
      <c r="AK36" s="3523"/>
      <c r="AL36" s="3523"/>
      <c r="AM36" s="3523"/>
      <c r="AN36" s="3523"/>
      <c r="AO36" s="3523"/>
      <c r="AP36" s="3523"/>
      <c r="AQ36" s="3523"/>
      <c r="AR36" s="3523"/>
    </row>
    <row r="37" spans="1:44" ht="14.25">
      <c r="A37" s="3683" t="s">
        <v>1656</v>
      </c>
      <c r="B37" s="3693">
        <v>0.03</v>
      </c>
      <c r="C37" s="3690" t="s">
        <v>3537</v>
      </c>
      <c r="D37" s="3659"/>
      <c r="E37" s="3531"/>
      <c r="F37" s="3531"/>
      <c r="G37" s="3531"/>
      <c r="H37" s="3531"/>
      <c r="I37" s="3531"/>
      <c r="J37" s="3531"/>
      <c r="K37" s="3657"/>
      <c r="L37" s="3657"/>
      <c r="M37" s="3523"/>
      <c r="N37" s="3523"/>
      <c r="O37" s="3523"/>
      <c r="P37" s="3523"/>
      <c r="Q37" s="3523"/>
      <c r="R37" s="3523"/>
      <c r="S37" s="3523"/>
      <c r="T37" s="3523"/>
      <c r="U37" s="3523"/>
      <c r="V37" s="3523"/>
      <c r="W37" s="3523"/>
      <c r="X37" s="3523"/>
      <c r="Y37" s="3523"/>
      <c r="Z37" s="3523"/>
      <c r="AA37" s="3523"/>
      <c r="AB37" s="3523"/>
      <c r="AC37" s="3523"/>
      <c r="AD37" s="3523"/>
      <c r="AE37" s="3523"/>
      <c r="AF37" s="3523"/>
      <c r="AG37" s="3523"/>
      <c r="AH37" s="3523"/>
      <c r="AI37" s="3523"/>
      <c r="AJ37" s="3523"/>
      <c r="AK37" s="3523"/>
      <c r="AL37" s="3523"/>
      <c r="AM37" s="3523"/>
      <c r="AN37" s="3523"/>
      <c r="AO37" s="3523"/>
      <c r="AP37" s="3523"/>
      <c r="AQ37" s="3523"/>
      <c r="AR37" s="3523"/>
    </row>
    <row r="38" spans="1:44" ht="14.25">
      <c r="A38" s="3677" t="s">
        <v>1658</v>
      </c>
      <c r="B38" s="3613">
        <v>0.05</v>
      </c>
      <c r="C38" s="3690" t="s">
        <v>3537</v>
      </c>
      <c r="D38" s="3659"/>
      <c r="E38" s="3531"/>
      <c r="F38" s="3531"/>
      <c r="G38" s="3531"/>
      <c r="H38" s="3531"/>
      <c r="I38" s="3531"/>
      <c r="J38" s="3531"/>
      <c r="K38" s="3657"/>
      <c r="L38" s="3657"/>
      <c r="M38" s="3523"/>
      <c r="N38" s="3523"/>
      <c r="O38" s="3523"/>
      <c r="P38" s="3523"/>
      <c r="Q38" s="3523"/>
      <c r="R38" s="3523"/>
      <c r="S38" s="3523"/>
      <c r="T38" s="3523"/>
      <c r="U38" s="3523"/>
      <c r="V38" s="3523"/>
      <c r="W38" s="3523"/>
      <c r="X38" s="3523"/>
      <c r="Y38" s="3523"/>
      <c r="Z38" s="3523"/>
      <c r="AA38" s="3523"/>
      <c r="AB38" s="3523"/>
      <c r="AC38" s="3523"/>
      <c r="AD38" s="3523"/>
      <c r="AE38" s="3523"/>
      <c r="AF38" s="3523"/>
      <c r="AG38" s="3523"/>
      <c r="AH38" s="3523"/>
      <c r="AI38" s="3523"/>
      <c r="AJ38" s="3523"/>
      <c r="AK38" s="3523"/>
      <c r="AL38" s="3523"/>
      <c r="AM38" s="3523"/>
      <c r="AN38" s="3523"/>
      <c r="AO38" s="3523"/>
      <c r="AP38" s="3523"/>
      <c r="AQ38" s="3523"/>
      <c r="AR38" s="3523"/>
    </row>
    <row r="39" spans="1:44" ht="14.25">
      <c r="A39" s="3687" t="s">
        <v>1662</v>
      </c>
      <c r="B39" s="3694">
        <f>[2]存贷款利率!I1</f>
        <v>1.4999999999999999E-2</v>
      </c>
      <c r="C39" s="3695"/>
      <c r="D39" s="3659"/>
      <c r="E39" s="3531"/>
      <c r="F39" s="3531"/>
      <c r="G39" s="3531"/>
      <c r="H39" s="3531"/>
      <c r="I39" s="3531"/>
      <c r="J39" s="3531"/>
      <c r="K39" s="3657"/>
      <c r="L39" s="3657"/>
      <c r="M39" s="3523"/>
      <c r="N39" s="3523"/>
      <c r="O39" s="3523"/>
      <c r="P39" s="3523"/>
      <c r="Q39" s="3523"/>
      <c r="R39" s="3523"/>
      <c r="S39" s="3523"/>
      <c r="T39" s="3523"/>
      <c r="U39" s="3523"/>
      <c r="V39" s="3523"/>
      <c r="W39" s="3523"/>
      <c r="X39" s="3523"/>
      <c r="Y39" s="3523"/>
      <c r="Z39" s="3523"/>
      <c r="AA39" s="3523"/>
      <c r="AB39" s="3523"/>
      <c r="AC39" s="3523"/>
      <c r="AD39" s="3523"/>
      <c r="AE39" s="3523"/>
      <c r="AF39" s="3523"/>
      <c r="AG39" s="3523"/>
      <c r="AH39" s="3523"/>
      <c r="AI39" s="3523"/>
      <c r="AJ39" s="3523"/>
      <c r="AK39" s="3523"/>
      <c r="AL39" s="3523"/>
      <c r="AM39" s="3523"/>
      <c r="AN39" s="3523"/>
      <c r="AO39" s="3523"/>
      <c r="AP39" s="3523"/>
      <c r="AQ39" s="3523"/>
      <c r="AR39" s="3523"/>
    </row>
    <row r="40" spans="1:44" ht="29.25" thickBot="1">
      <c r="A40" s="3696" t="s">
        <v>3538</v>
      </c>
      <c r="B40" s="3697">
        <f>IF(A40="利息：取LPR",[2]存贷款利率!G1,[2]存贷款利率!G1+C40)</f>
        <v>4.7500000000000001E-2</v>
      </c>
      <c r="C40" s="3698">
        <v>1.0999999999999999E-2</v>
      </c>
      <c r="D40" s="3523"/>
      <c r="E40" s="3659"/>
      <c r="F40" s="3531"/>
      <c r="G40" s="3531"/>
      <c r="H40" s="3531"/>
      <c r="I40" s="3531"/>
      <c r="J40" s="3531"/>
      <c r="K40" s="3657"/>
      <c r="L40" s="3657"/>
      <c r="M40" s="3523"/>
      <c r="N40" s="3523"/>
      <c r="O40" s="3523"/>
      <c r="P40" s="3523"/>
      <c r="Q40" s="3523"/>
      <c r="R40" s="3523"/>
      <c r="S40" s="3523"/>
      <c r="T40" s="3523"/>
      <c r="U40" s="3523"/>
      <c r="V40" s="3523"/>
      <c r="W40" s="3523"/>
      <c r="X40" s="3523"/>
      <c r="Y40" s="3523"/>
      <c r="Z40" s="3523"/>
      <c r="AA40" s="3523"/>
      <c r="AB40" s="3523"/>
      <c r="AC40" s="3523"/>
      <c r="AD40" s="3523"/>
      <c r="AE40" s="3523"/>
      <c r="AF40" s="3523"/>
      <c r="AG40" s="3523"/>
      <c r="AH40" s="3523"/>
      <c r="AI40" s="3523"/>
      <c r="AJ40" s="3523"/>
      <c r="AK40" s="3523"/>
      <c r="AL40" s="3523"/>
      <c r="AM40" s="3523"/>
      <c r="AN40" s="3523"/>
      <c r="AO40" s="3523"/>
      <c r="AP40" s="3523"/>
      <c r="AQ40" s="3523"/>
      <c r="AR40" s="3523"/>
    </row>
    <row r="41" spans="1:44" ht="14.25">
      <c r="A41" s="3672" t="s">
        <v>1661</v>
      </c>
      <c r="B41" s="3699">
        <f>B42+B43</f>
        <v>5.6000000000000001E-2</v>
      </c>
      <c r="C41" s="3686"/>
      <c r="D41" s="3523"/>
      <c r="E41" s="3659"/>
      <c r="F41" s="3531"/>
      <c r="G41" s="3531"/>
      <c r="H41" s="3531"/>
      <c r="I41" s="3531"/>
      <c r="J41" s="3531"/>
      <c r="K41" s="3657"/>
      <c r="L41" s="3657"/>
      <c r="M41" s="3523"/>
      <c r="N41" s="3523"/>
      <c r="O41" s="3523"/>
      <c r="P41" s="3523"/>
      <c r="Q41" s="3523"/>
      <c r="R41" s="3523"/>
      <c r="S41" s="3523"/>
      <c r="T41" s="3523"/>
      <c r="U41" s="3523"/>
      <c r="V41" s="3523"/>
      <c r="W41" s="3523"/>
      <c r="X41" s="3523"/>
      <c r="Y41" s="3523"/>
      <c r="Z41" s="3523"/>
      <c r="AA41" s="3523"/>
      <c r="AB41" s="3523"/>
      <c r="AC41" s="3523"/>
      <c r="AD41" s="3523"/>
      <c r="AE41" s="3523"/>
      <c r="AF41" s="3523"/>
      <c r="AG41" s="3523"/>
      <c r="AH41" s="3523"/>
      <c r="AI41" s="3523"/>
      <c r="AJ41" s="3523"/>
      <c r="AK41" s="3523"/>
      <c r="AL41" s="3523"/>
      <c r="AM41" s="3523"/>
      <c r="AN41" s="3523"/>
      <c r="AO41" s="3523"/>
      <c r="AP41" s="3523"/>
      <c r="AQ41" s="3523"/>
      <c r="AR41" s="3523"/>
    </row>
    <row r="42" spans="1:44" ht="14.25">
      <c r="A42" s="3700" t="s">
        <v>1663</v>
      </c>
      <c r="B42" s="3701">
        <v>0.05</v>
      </c>
      <c r="C42" s="3702">
        <f>IF(B2&lt;DATE(2016,5,1),0,B42)</f>
        <v>0.05</v>
      </c>
      <c r="D42" s="3659"/>
      <c r="E42" s="3531"/>
      <c r="F42" s="3531"/>
      <c r="G42" s="3531"/>
      <c r="H42" s="3531"/>
      <c r="I42" s="3531"/>
      <c r="J42" s="3531"/>
      <c r="K42" s="3657"/>
      <c r="L42" s="3657"/>
      <c r="M42" s="3523"/>
      <c r="N42" s="3523"/>
      <c r="O42" s="3523"/>
      <c r="P42" s="3523"/>
      <c r="Q42" s="3523"/>
      <c r="R42" s="3523"/>
      <c r="S42" s="3523"/>
      <c r="T42" s="3523"/>
      <c r="U42" s="3523"/>
      <c r="V42" s="3523"/>
      <c r="W42" s="3523"/>
      <c r="X42" s="3523"/>
      <c r="Y42" s="3523"/>
      <c r="Z42" s="3523"/>
      <c r="AA42" s="3523"/>
      <c r="AB42" s="3523"/>
      <c r="AC42" s="3523"/>
      <c r="AD42" s="3523"/>
      <c r="AE42" s="3523"/>
      <c r="AF42" s="3523"/>
      <c r="AG42" s="3523"/>
      <c r="AH42" s="3523"/>
      <c r="AI42" s="3523"/>
      <c r="AJ42" s="3523"/>
      <c r="AK42" s="3523"/>
      <c r="AL42" s="3523"/>
      <c r="AM42" s="3523"/>
      <c r="AN42" s="3523"/>
      <c r="AO42" s="3523"/>
      <c r="AP42" s="3523"/>
      <c r="AQ42" s="3523"/>
      <c r="AR42" s="3523"/>
    </row>
    <row r="43" spans="1:44" ht="14.25">
      <c r="A43" s="3700" t="s">
        <v>1665</v>
      </c>
      <c r="B43" s="3703">
        <f>B42*(B44+B45+B46)+B47</f>
        <v>6.000000000000001E-3</v>
      </c>
      <c r="C43" s="3686"/>
      <c r="D43" s="3659"/>
      <c r="E43" s="3531"/>
      <c r="F43" s="3531"/>
      <c r="G43" s="3531"/>
      <c r="H43" s="3531"/>
      <c r="I43" s="3531"/>
      <c r="J43" s="3531"/>
      <c r="K43" s="3657"/>
      <c r="L43" s="3657"/>
      <c r="M43" s="3523"/>
      <c r="N43" s="3523"/>
      <c r="O43" s="3523"/>
      <c r="P43" s="3523"/>
      <c r="Q43" s="3523"/>
      <c r="R43" s="3523"/>
      <c r="S43" s="3523"/>
      <c r="T43" s="3523"/>
      <c r="U43" s="3523"/>
      <c r="V43" s="3523"/>
      <c r="W43" s="3523"/>
      <c r="X43" s="3523"/>
      <c r="Y43" s="3523"/>
      <c r="Z43" s="3523"/>
      <c r="AA43" s="3523"/>
      <c r="AB43" s="3523"/>
      <c r="AC43" s="3523"/>
      <c r="AD43" s="3523"/>
      <c r="AE43" s="3523"/>
      <c r="AF43" s="3523"/>
      <c r="AG43" s="3523"/>
      <c r="AH43" s="3523"/>
      <c r="AI43" s="3523"/>
      <c r="AJ43" s="3523"/>
      <c r="AK43" s="3523"/>
      <c r="AL43" s="3523"/>
      <c r="AM43" s="3523"/>
      <c r="AN43" s="3523"/>
      <c r="AO43" s="3523"/>
      <c r="AP43" s="3523"/>
      <c r="AQ43" s="3523"/>
      <c r="AR43" s="3523"/>
    </row>
    <row r="44" spans="1:44" ht="14.25">
      <c r="A44" s="3704" t="s">
        <v>1667</v>
      </c>
      <c r="B44" s="3705">
        <v>7.0000000000000007E-2</v>
      </c>
      <c r="C44" s="3690" t="s">
        <v>3539</v>
      </c>
      <c r="D44" s="3659"/>
      <c r="E44" s="3531"/>
      <c r="F44" s="3531"/>
      <c r="G44" s="3531"/>
      <c r="H44" s="3531"/>
      <c r="I44" s="3531"/>
      <c r="J44" s="3531"/>
      <c r="K44" s="3657"/>
      <c r="L44" s="3657"/>
      <c r="M44" s="3523"/>
      <c r="N44" s="3523"/>
      <c r="O44" s="3523"/>
      <c r="P44" s="3523"/>
      <c r="Q44" s="3523"/>
      <c r="R44" s="3523"/>
      <c r="S44" s="3523"/>
      <c r="T44" s="3523"/>
      <c r="U44" s="3523"/>
      <c r="V44" s="3523"/>
      <c r="W44" s="3523"/>
      <c r="X44" s="3523"/>
      <c r="Y44" s="3523"/>
      <c r="Z44" s="3523"/>
      <c r="AA44" s="3523"/>
      <c r="AB44" s="3523"/>
      <c r="AC44" s="3523"/>
      <c r="AD44" s="3523"/>
      <c r="AE44" s="3523"/>
      <c r="AF44" s="3523"/>
      <c r="AG44" s="3523"/>
      <c r="AH44" s="3523"/>
      <c r="AI44" s="3523"/>
      <c r="AJ44" s="3523"/>
      <c r="AK44" s="3523"/>
      <c r="AL44" s="3523"/>
      <c r="AM44" s="3523"/>
      <c r="AN44" s="3523"/>
      <c r="AO44" s="3523"/>
      <c r="AP44" s="3523"/>
      <c r="AQ44" s="3523"/>
      <c r="AR44" s="3523"/>
    </row>
    <row r="45" spans="1:44" ht="14.25">
      <c r="A45" s="3704" t="s">
        <v>1669</v>
      </c>
      <c r="B45" s="3701">
        <v>0.03</v>
      </c>
      <c r="C45" s="3682" t="s">
        <v>3540</v>
      </c>
      <c r="D45" s="3659"/>
      <c r="E45" s="3531"/>
      <c r="F45" s="3531"/>
      <c r="G45" s="3531"/>
      <c r="H45" s="3531"/>
      <c r="I45" s="3531"/>
      <c r="J45" s="3531"/>
      <c r="K45" s="3657"/>
      <c r="L45" s="3657"/>
      <c r="M45" s="3523"/>
      <c r="N45" s="3523"/>
      <c r="O45" s="3523"/>
      <c r="P45" s="3523"/>
      <c r="Q45" s="3523"/>
      <c r="R45" s="3523"/>
      <c r="S45" s="3523"/>
      <c r="T45" s="3523"/>
      <c r="U45" s="3523"/>
      <c r="V45" s="3523"/>
      <c r="W45" s="3523"/>
      <c r="X45" s="3523"/>
      <c r="Y45" s="3523"/>
      <c r="Z45" s="3523"/>
      <c r="AA45" s="3523"/>
      <c r="AB45" s="3523"/>
      <c r="AC45" s="3523"/>
      <c r="AD45" s="3523"/>
      <c r="AE45" s="3523"/>
      <c r="AF45" s="3523"/>
      <c r="AG45" s="3523"/>
      <c r="AH45" s="3523"/>
      <c r="AI45" s="3523"/>
      <c r="AJ45" s="3523"/>
      <c r="AK45" s="3523"/>
      <c r="AL45" s="3523"/>
      <c r="AM45" s="3523"/>
      <c r="AN45" s="3523"/>
      <c r="AO45" s="3523"/>
      <c r="AP45" s="3523"/>
      <c r="AQ45" s="3523"/>
      <c r="AR45" s="3523"/>
    </row>
    <row r="46" spans="1:44" ht="14.25">
      <c r="A46" s="3704" t="s">
        <v>1671</v>
      </c>
      <c r="B46" s="3701">
        <v>0.02</v>
      </c>
      <c r="C46" s="3682" t="s">
        <v>3541</v>
      </c>
      <c r="D46" s="3659"/>
      <c r="E46" s="3531"/>
      <c r="F46" s="3531"/>
      <c r="G46" s="3531"/>
      <c r="H46" s="3531"/>
      <c r="I46" s="3531"/>
      <c r="J46" s="3531"/>
      <c r="K46" s="3657"/>
      <c r="L46" s="3657"/>
      <c r="M46" s="3523"/>
      <c r="N46" s="3523"/>
      <c r="O46" s="3523"/>
      <c r="P46" s="3523"/>
      <c r="Q46" s="3523"/>
      <c r="R46" s="3523"/>
      <c r="S46" s="3523"/>
      <c r="T46" s="3523"/>
      <c r="U46" s="3523"/>
      <c r="V46" s="3523"/>
      <c r="W46" s="3523"/>
      <c r="X46" s="3523"/>
      <c r="Y46" s="3523"/>
      <c r="Z46" s="3523"/>
      <c r="AA46" s="3523"/>
      <c r="AB46" s="3523"/>
      <c r="AC46" s="3523"/>
      <c r="AD46" s="3523"/>
      <c r="AE46" s="3523"/>
      <c r="AF46" s="3523"/>
      <c r="AG46" s="3523"/>
      <c r="AH46" s="3523"/>
      <c r="AI46" s="3523"/>
      <c r="AJ46" s="3523"/>
      <c r="AK46" s="3523"/>
      <c r="AL46" s="3523"/>
      <c r="AM46" s="3523"/>
      <c r="AN46" s="3523"/>
      <c r="AO46" s="3523"/>
      <c r="AP46" s="3523"/>
      <c r="AQ46" s="3523"/>
      <c r="AR46" s="3523"/>
    </row>
    <row r="47" spans="1:44" ht="15" thickBot="1">
      <c r="A47" s="3706" t="s">
        <v>1674</v>
      </c>
      <c r="B47" s="3707"/>
      <c r="C47" s="3708" t="s">
        <v>3542</v>
      </c>
      <c r="D47" s="3659"/>
      <c r="E47" s="3531"/>
      <c r="F47" s="3531"/>
      <c r="G47" s="3531"/>
      <c r="H47" s="3531"/>
      <c r="I47" s="3531"/>
      <c r="J47" s="3531"/>
      <c r="K47" s="3657"/>
      <c r="L47" s="3657"/>
      <c r="M47" s="3523"/>
      <c r="N47" s="3523"/>
      <c r="O47" s="3523"/>
      <c r="P47" s="3523"/>
      <c r="Q47" s="3523"/>
      <c r="R47" s="3523"/>
      <c r="S47" s="3523"/>
      <c r="T47" s="3523"/>
      <c r="U47" s="3523"/>
      <c r="V47" s="3523"/>
      <c r="W47" s="3523"/>
      <c r="X47" s="3523"/>
      <c r="Y47" s="3523"/>
      <c r="Z47" s="3523"/>
      <c r="AA47" s="3523"/>
      <c r="AB47" s="3523"/>
      <c r="AC47" s="3523"/>
      <c r="AD47" s="3523"/>
      <c r="AE47" s="3523"/>
      <c r="AF47" s="3523"/>
      <c r="AG47" s="3523"/>
      <c r="AH47" s="3523"/>
      <c r="AI47" s="3523"/>
      <c r="AJ47" s="3523"/>
      <c r="AK47" s="3523"/>
      <c r="AL47" s="3523"/>
      <c r="AM47" s="3523"/>
      <c r="AN47" s="3523"/>
      <c r="AO47" s="3523"/>
      <c r="AP47" s="3523"/>
      <c r="AQ47" s="3523"/>
      <c r="AR47" s="3523"/>
    </row>
    <row r="48" spans="1:44" ht="14.25">
      <c r="A48" s="3709" t="s">
        <v>1676</v>
      </c>
      <c r="B48" s="3710">
        <v>0.03</v>
      </c>
      <c r="C48" s="3682" t="s">
        <v>3540</v>
      </c>
      <c r="D48" s="3659"/>
      <c r="E48" s="3531"/>
      <c r="F48" s="3531"/>
      <c r="G48" s="3531"/>
      <c r="H48" s="3531"/>
      <c r="I48" s="3531"/>
      <c r="J48" s="3531"/>
      <c r="K48" s="3657"/>
      <c r="L48" s="3657"/>
      <c r="M48" s="3523"/>
      <c r="N48" s="3523"/>
      <c r="O48" s="3523"/>
      <c r="P48" s="3523"/>
      <c r="Q48" s="3523"/>
      <c r="R48" s="3523"/>
      <c r="S48" s="3523"/>
      <c r="T48" s="3523"/>
      <c r="U48" s="3523"/>
      <c r="V48" s="3523"/>
      <c r="W48" s="3523"/>
      <c r="X48" s="3523"/>
      <c r="Y48" s="3523"/>
      <c r="Z48" s="3523"/>
      <c r="AA48" s="3523"/>
      <c r="AB48" s="3523"/>
      <c r="AC48" s="3523"/>
      <c r="AD48" s="3523"/>
      <c r="AE48" s="3523"/>
      <c r="AF48" s="3523"/>
      <c r="AG48" s="3523"/>
      <c r="AH48" s="3523"/>
      <c r="AI48" s="3523"/>
      <c r="AJ48" s="3523"/>
      <c r="AK48" s="3523"/>
      <c r="AL48" s="3523"/>
      <c r="AM48" s="3523"/>
      <c r="AN48" s="3523"/>
      <c r="AO48" s="3523"/>
      <c r="AP48" s="3523"/>
      <c r="AQ48" s="3523"/>
      <c r="AR48" s="3523"/>
    </row>
    <row r="49" spans="1:44" ht="15" thickBot="1">
      <c r="A49" s="3687" t="s">
        <v>1678</v>
      </c>
      <c r="B49" s="3701">
        <v>5.0000000000000001E-4</v>
      </c>
      <c r="C49" s="3682" t="s">
        <v>3543</v>
      </c>
      <c r="D49" s="3659"/>
      <c r="E49" s="3531"/>
      <c r="F49" s="3531"/>
      <c r="G49" s="3531"/>
      <c r="H49" s="3531"/>
      <c r="I49" s="3531"/>
      <c r="J49" s="3531"/>
      <c r="K49" s="3657"/>
      <c r="L49" s="3657"/>
      <c r="M49" s="3523"/>
      <c r="N49" s="3523"/>
      <c r="O49" s="3523"/>
      <c r="P49" s="3523"/>
      <c r="Q49" s="3523"/>
      <c r="R49" s="3523"/>
      <c r="S49" s="3523"/>
      <c r="T49" s="3523"/>
      <c r="U49" s="3523"/>
      <c r="V49" s="3523"/>
      <c r="W49" s="3523"/>
      <c r="X49" s="3523"/>
      <c r="Y49" s="3523"/>
      <c r="Z49" s="3523"/>
      <c r="AA49" s="3523"/>
      <c r="AB49" s="3523"/>
      <c r="AC49" s="3523"/>
      <c r="AD49" s="3523"/>
      <c r="AE49" s="3523"/>
      <c r="AF49" s="3523"/>
      <c r="AG49" s="3523"/>
      <c r="AH49" s="3523"/>
      <c r="AI49" s="3523"/>
      <c r="AJ49" s="3523"/>
      <c r="AK49" s="3523"/>
      <c r="AL49" s="3523"/>
      <c r="AM49" s="3523"/>
      <c r="AN49" s="3523"/>
      <c r="AO49" s="3523"/>
      <c r="AP49" s="3523"/>
      <c r="AQ49" s="3523"/>
      <c r="AR49" s="3523"/>
    </row>
    <row r="50" spans="1:44" ht="14.25">
      <c r="A50" s="3711" t="s">
        <v>1680</v>
      </c>
      <c r="B50" s="3712">
        <v>1.2E-2</v>
      </c>
      <c r="C50" s="3676"/>
      <c r="D50" s="3659"/>
      <c r="E50" s="3531"/>
      <c r="F50" s="3531"/>
      <c r="G50" s="3531"/>
      <c r="H50" s="3531"/>
      <c r="I50" s="3531"/>
      <c r="J50" s="3531"/>
      <c r="K50" s="3657"/>
      <c r="L50" s="3657"/>
      <c r="M50" s="3523"/>
      <c r="N50" s="3523"/>
      <c r="O50" s="3523"/>
      <c r="P50" s="3523"/>
      <c r="Q50" s="3523"/>
      <c r="R50" s="3523"/>
      <c r="S50" s="3523"/>
      <c r="T50" s="3523"/>
      <c r="U50" s="3523"/>
      <c r="V50" s="3523"/>
      <c r="W50" s="3523"/>
      <c r="X50" s="3523"/>
      <c r="Y50" s="3523"/>
      <c r="Z50" s="3523"/>
      <c r="AA50" s="3523"/>
      <c r="AB50" s="3523"/>
      <c r="AC50" s="3523"/>
      <c r="AD50" s="3523"/>
      <c r="AE50" s="3523"/>
      <c r="AF50" s="3523"/>
      <c r="AG50" s="3523"/>
      <c r="AH50" s="3523"/>
      <c r="AI50" s="3523"/>
      <c r="AJ50" s="3523"/>
      <c r="AK50" s="3523"/>
      <c r="AL50" s="3523"/>
      <c r="AM50" s="3523"/>
      <c r="AN50" s="3523"/>
      <c r="AO50" s="3523"/>
      <c r="AP50" s="3523"/>
      <c r="AQ50" s="3523"/>
      <c r="AR50" s="3523"/>
    </row>
    <row r="51" spans="1:44" ht="15" thickBot="1">
      <c r="A51" s="3680" t="s">
        <v>1681</v>
      </c>
      <c r="B51" s="3713">
        <v>0.12</v>
      </c>
      <c r="C51" s="3676"/>
      <c r="D51" s="3659"/>
      <c r="E51" s="3531"/>
      <c r="F51" s="3531"/>
      <c r="G51" s="3531"/>
      <c r="H51" s="3531"/>
      <c r="I51" s="3531"/>
      <c r="J51" s="3531"/>
      <c r="K51" s="3657"/>
      <c r="L51" s="3657"/>
      <c r="M51" s="3523"/>
      <c r="N51" s="3523"/>
      <c r="O51" s="3523"/>
      <c r="P51" s="3523"/>
      <c r="Q51" s="3523"/>
      <c r="R51" s="3523"/>
      <c r="S51" s="3523"/>
      <c r="T51" s="3523"/>
      <c r="U51" s="3523"/>
      <c r="V51" s="3523"/>
      <c r="W51" s="3523"/>
      <c r="X51" s="3523"/>
      <c r="Y51" s="3523"/>
      <c r="Z51" s="3523"/>
      <c r="AA51" s="3523"/>
      <c r="AB51" s="3523"/>
      <c r="AC51" s="3523"/>
      <c r="AD51" s="3523"/>
      <c r="AE51" s="3523"/>
      <c r="AF51" s="3523"/>
      <c r="AG51" s="3523"/>
      <c r="AH51" s="3523"/>
      <c r="AI51" s="3523"/>
      <c r="AJ51" s="3523"/>
      <c r="AK51" s="3523"/>
      <c r="AL51" s="3523"/>
      <c r="AM51" s="3523"/>
      <c r="AN51" s="3523"/>
      <c r="AO51" s="3523"/>
      <c r="AP51" s="3523"/>
      <c r="AQ51" s="3523"/>
      <c r="AR51" s="3523"/>
    </row>
    <row r="52" spans="1:44" ht="14.25">
      <c r="A52" s="3711" t="s">
        <v>1682</v>
      </c>
      <c r="B52" s="3714">
        <f>SUMIF(A54:A63,B53,B54:B63)</f>
        <v>0</v>
      </c>
      <c r="C52" s="3676"/>
      <c r="D52" s="3659"/>
      <c r="E52" s="3531"/>
      <c r="F52" s="3531"/>
      <c r="G52" s="3531"/>
      <c r="H52" s="3531"/>
      <c r="I52" s="3531"/>
      <c r="J52" s="3531"/>
      <c r="K52" s="3657"/>
      <c r="L52" s="3657"/>
      <c r="M52" s="3523"/>
      <c r="N52" s="3523"/>
      <c r="O52" s="3523"/>
      <c r="P52" s="3523"/>
      <c r="Q52" s="3523"/>
      <c r="R52" s="3523"/>
      <c r="S52" s="3523"/>
      <c r="T52" s="3523"/>
      <c r="U52" s="3523"/>
      <c r="V52" s="3523"/>
      <c r="W52" s="3523"/>
      <c r="X52" s="3523"/>
      <c r="Y52" s="3523"/>
      <c r="Z52" s="3523"/>
      <c r="AA52" s="3523"/>
      <c r="AB52" s="3523"/>
      <c r="AC52" s="3523"/>
      <c r="AD52" s="3523"/>
      <c r="AE52" s="3523"/>
      <c r="AF52" s="3523"/>
      <c r="AG52" s="3523"/>
      <c r="AH52" s="3523"/>
      <c r="AI52" s="3523"/>
      <c r="AJ52" s="3523"/>
      <c r="AK52" s="3523"/>
      <c r="AL52" s="3523"/>
      <c r="AM52" s="3523"/>
      <c r="AN52" s="3523"/>
      <c r="AO52" s="3523"/>
      <c r="AP52" s="3523"/>
      <c r="AQ52" s="3523"/>
      <c r="AR52" s="3523"/>
    </row>
    <row r="53" spans="1:44" ht="27">
      <c r="A53" s="3677" t="s">
        <v>1684</v>
      </c>
      <c r="B53" s="3715"/>
      <c r="C53" s="3676" t="s">
        <v>1685</v>
      </c>
      <c r="D53" s="3716" t="s">
        <v>3544</v>
      </c>
      <c r="E53" s="3531"/>
      <c r="F53" s="3531"/>
      <c r="G53" s="3531"/>
      <c r="H53" s="3531"/>
      <c r="I53" s="3531"/>
      <c r="J53" s="3531"/>
      <c r="K53" s="3657"/>
      <c r="L53" s="3657"/>
      <c r="M53" s="3523"/>
      <c r="N53" s="3523"/>
      <c r="O53" s="3523"/>
      <c r="P53" s="3523"/>
      <c r="Q53" s="3523"/>
      <c r="R53" s="3523"/>
      <c r="S53" s="3523"/>
      <c r="T53" s="3523"/>
      <c r="U53" s="3523"/>
      <c r="V53" s="3523"/>
      <c r="W53" s="3523"/>
      <c r="X53" s="3523"/>
      <c r="Y53" s="3523"/>
      <c r="Z53" s="3523"/>
      <c r="AA53" s="3523"/>
      <c r="AB53" s="3523"/>
      <c r="AC53" s="3523"/>
      <c r="AD53" s="3523"/>
      <c r="AE53" s="3523"/>
      <c r="AF53" s="3523"/>
      <c r="AG53" s="3523"/>
      <c r="AH53" s="3523"/>
      <c r="AI53" s="3523"/>
      <c r="AJ53" s="3523"/>
      <c r="AK53" s="3523"/>
      <c r="AL53" s="3523"/>
      <c r="AM53" s="3523"/>
      <c r="AN53" s="3523"/>
      <c r="AO53" s="3523"/>
      <c r="AP53" s="3523"/>
      <c r="AQ53" s="3523"/>
      <c r="AR53" s="3523"/>
    </row>
    <row r="54" spans="1:44" ht="14.25">
      <c r="A54" s="3717" t="s">
        <v>1688</v>
      </c>
      <c r="B54" s="3718"/>
      <c r="C54" s="3676">
        <v>30</v>
      </c>
      <c r="D54" s="3659"/>
      <c r="E54" s="3531"/>
      <c r="F54" s="3531"/>
      <c r="G54" s="3531"/>
      <c r="H54" s="3531"/>
      <c r="I54" s="3531"/>
      <c r="J54" s="3531"/>
      <c r="K54" s="3657"/>
      <c r="L54" s="3657"/>
      <c r="M54" s="3523"/>
      <c r="N54" s="3523"/>
      <c r="O54" s="3523"/>
      <c r="P54" s="3523"/>
      <c r="Q54" s="3523"/>
      <c r="R54" s="3523"/>
      <c r="S54" s="3523"/>
      <c r="T54" s="3523"/>
      <c r="U54" s="3523"/>
      <c r="V54" s="3523"/>
      <c r="W54" s="3523"/>
      <c r="X54" s="3523"/>
      <c r="Y54" s="3523"/>
      <c r="Z54" s="3523"/>
      <c r="AA54" s="3523"/>
      <c r="AB54" s="3523"/>
      <c r="AC54" s="3523"/>
      <c r="AD54" s="3523"/>
      <c r="AE54" s="3523"/>
      <c r="AF54" s="3523"/>
      <c r="AG54" s="3523"/>
      <c r="AH54" s="3523"/>
      <c r="AI54" s="3523"/>
      <c r="AJ54" s="3523"/>
      <c r="AK54" s="3523"/>
      <c r="AL54" s="3523"/>
      <c r="AM54" s="3523"/>
      <c r="AN54" s="3523"/>
      <c r="AO54" s="3523"/>
      <c r="AP54" s="3523"/>
      <c r="AQ54" s="3523"/>
      <c r="AR54" s="3523"/>
    </row>
    <row r="55" spans="1:44" ht="14.25">
      <c r="A55" s="3717" t="s">
        <v>1690</v>
      </c>
      <c r="B55" s="3718"/>
      <c r="C55" s="3676">
        <v>24</v>
      </c>
      <c r="D55" s="3659"/>
      <c r="E55" s="3531"/>
      <c r="F55" s="3531"/>
      <c r="G55" s="3531"/>
      <c r="H55" s="3531"/>
      <c r="I55" s="3531"/>
      <c r="J55" s="3531"/>
      <c r="K55" s="3657"/>
      <c r="L55" s="3657"/>
      <c r="M55" s="3523"/>
      <c r="N55" s="3523"/>
      <c r="O55" s="3523"/>
      <c r="P55" s="3523"/>
      <c r="Q55" s="3523"/>
      <c r="R55" s="3523"/>
      <c r="S55" s="3523"/>
      <c r="T55" s="3523"/>
      <c r="U55" s="3523"/>
      <c r="V55" s="3523"/>
      <c r="W55" s="3523"/>
      <c r="X55" s="3523"/>
      <c r="Y55" s="3523"/>
      <c r="Z55" s="3523"/>
      <c r="AA55" s="3523"/>
      <c r="AB55" s="3523"/>
      <c r="AC55" s="3523"/>
      <c r="AD55" s="3523"/>
      <c r="AE55" s="3523"/>
      <c r="AF55" s="3523"/>
      <c r="AG55" s="3523"/>
      <c r="AH55" s="3523"/>
      <c r="AI55" s="3523"/>
      <c r="AJ55" s="3523"/>
      <c r="AK55" s="3523"/>
      <c r="AL55" s="3523"/>
      <c r="AM55" s="3523"/>
      <c r="AN55" s="3523"/>
      <c r="AO55" s="3523"/>
      <c r="AP55" s="3523"/>
      <c r="AQ55" s="3523"/>
      <c r="AR55" s="3523"/>
    </row>
    <row r="56" spans="1:44" ht="14.25">
      <c r="A56" s="3717" t="s">
        <v>1692</v>
      </c>
      <c r="B56" s="3718"/>
      <c r="C56" s="3676">
        <v>18</v>
      </c>
      <c r="D56" s="3659"/>
      <c r="E56" s="3531"/>
      <c r="F56" s="3531"/>
      <c r="G56" s="3531"/>
      <c r="H56" s="3531"/>
      <c r="I56" s="3531"/>
      <c r="J56" s="3531"/>
      <c r="K56" s="3657"/>
      <c r="L56" s="3657"/>
      <c r="M56" s="3523"/>
      <c r="N56" s="3523"/>
      <c r="O56" s="3523"/>
      <c r="P56" s="3523"/>
      <c r="Q56" s="3523"/>
      <c r="R56" s="3523"/>
      <c r="S56" s="3523"/>
      <c r="T56" s="3523"/>
      <c r="U56" s="3523"/>
      <c r="V56" s="3523"/>
      <c r="W56" s="3523"/>
      <c r="X56" s="3523"/>
      <c r="Y56" s="3523"/>
      <c r="Z56" s="3523"/>
      <c r="AA56" s="3523"/>
      <c r="AB56" s="3523"/>
      <c r="AC56" s="3523"/>
      <c r="AD56" s="3523"/>
      <c r="AE56" s="3523"/>
      <c r="AF56" s="3523"/>
      <c r="AG56" s="3523"/>
      <c r="AH56" s="3523"/>
      <c r="AI56" s="3523"/>
      <c r="AJ56" s="3523"/>
      <c r="AK56" s="3523"/>
      <c r="AL56" s="3523"/>
      <c r="AM56" s="3523"/>
      <c r="AN56" s="3523"/>
      <c r="AO56" s="3523"/>
      <c r="AP56" s="3523"/>
      <c r="AQ56" s="3523"/>
      <c r="AR56" s="3523"/>
    </row>
    <row r="57" spans="1:44" ht="14.25">
      <c r="A57" s="3717" t="s">
        <v>1694</v>
      </c>
      <c r="B57" s="3718"/>
      <c r="C57" s="3676">
        <v>12</v>
      </c>
      <c r="D57" s="3659"/>
      <c r="E57" s="3531"/>
      <c r="F57" s="3531"/>
      <c r="G57" s="3531"/>
      <c r="H57" s="3531"/>
      <c r="I57" s="3531"/>
      <c r="J57" s="3531"/>
      <c r="K57" s="3657"/>
      <c r="L57" s="3657"/>
      <c r="M57" s="3523"/>
      <c r="N57" s="3523"/>
      <c r="O57" s="3523"/>
      <c r="P57" s="3523"/>
      <c r="Q57" s="3523"/>
      <c r="R57" s="3523"/>
      <c r="S57" s="3523"/>
      <c r="T57" s="3523"/>
      <c r="U57" s="3523"/>
      <c r="V57" s="3523"/>
      <c r="W57" s="3523"/>
      <c r="X57" s="3523"/>
      <c r="Y57" s="3523"/>
      <c r="Z57" s="3523"/>
      <c r="AA57" s="3523"/>
      <c r="AB57" s="3523"/>
      <c r="AC57" s="3523"/>
      <c r="AD57" s="3523"/>
      <c r="AE57" s="3523"/>
      <c r="AF57" s="3523"/>
      <c r="AG57" s="3523"/>
      <c r="AH57" s="3523"/>
      <c r="AI57" s="3523"/>
      <c r="AJ57" s="3523"/>
      <c r="AK57" s="3523"/>
      <c r="AL57" s="3523"/>
      <c r="AM57" s="3523"/>
      <c r="AN57" s="3523"/>
      <c r="AO57" s="3523"/>
      <c r="AP57" s="3523"/>
      <c r="AQ57" s="3523"/>
      <c r="AR57" s="3523"/>
    </row>
    <row r="58" spans="1:44" ht="14.25">
      <c r="A58" s="3717" t="s">
        <v>1457</v>
      </c>
      <c r="B58" s="3718"/>
      <c r="C58" s="3676">
        <v>3</v>
      </c>
      <c r="D58" s="3659"/>
      <c r="E58" s="3531"/>
      <c r="F58" s="3531"/>
      <c r="G58" s="3531"/>
      <c r="H58" s="3531"/>
      <c r="I58" s="3531"/>
      <c r="J58" s="3531"/>
      <c r="K58" s="3657"/>
      <c r="L58" s="3657"/>
      <c r="M58" s="3523"/>
      <c r="N58" s="3523"/>
      <c r="O58" s="3523"/>
      <c r="P58" s="3523"/>
      <c r="Q58" s="3523"/>
      <c r="R58" s="3523"/>
      <c r="S58" s="3523"/>
      <c r="T58" s="3523"/>
      <c r="U58" s="3523"/>
      <c r="V58" s="3523"/>
      <c r="W58" s="3523"/>
      <c r="X58" s="3523"/>
      <c r="Y58" s="3523"/>
      <c r="Z58" s="3523"/>
      <c r="AA58" s="3523"/>
      <c r="AB58" s="3523"/>
      <c r="AC58" s="3523"/>
      <c r="AD58" s="3523"/>
      <c r="AE58" s="3523"/>
      <c r="AF58" s="3523"/>
      <c r="AG58" s="3523"/>
      <c r="AH58" s="3523"/>
      <c r="AI58" s="3523"/>
      <c r="AJ58" s="3523"/>
      <c r="AK58" s="3523"/>
      <c r="AL58" s="3523"/>
      <c r="AM58" s="3523"/>
      <c r="AN58" s="3523"/>
      <c r="AO58" s="3523"/>
      <c r="AP58" s="3523"/>
      <c r="AQ58" s="3523"/>
      <c r="AR58" s="3523"/>
    </row>
    <row r="59" spans="1:44" ht="14.25">
      <c r="A59" s="3717" t="s">
        <v>1696</v>
      </c>
      <c r="B59" s="3718"/>
      <c r="C59" s="3676">
        <v>1.5</v>
      </c>
      <c r="D59" s="3659"/>
      <c r="E59" s="3531"/>
      <c r="F59" s="3531"/>
      <c r="G59" s="3531"/>
      <c r="H59" s="3531"/>
      <c r="I59" s="3531"/>
      <c r="J59" s="3531"/>
      <c r="K59" s="3657"/>
      <c r="L59" s="3657"/>
      <c r="M59" s="3523"/>
      <c r="N59" s="3523"/>
      <c r="O59" s="3523"/>
      <c r="P59" s="3523"/>
      <c r="Q59" s="3523"/>
      <c r="R59" s="3523"/>
      <c r="S59" s="3523"/>
      <c r="T59" s="3523"/>
      <c r="U59" s="3523"/>
      <c r="V59" s="3523"/>
      <c r="W59" s="3523"/>
      <c r="X59" s="3523"/>
      <c r="Y59" s="3523"/>
      <c r="Z59" s="3523"/>
      <c r="AA59" s="3523"/>
      <c r="AB59" s="3523"/>
      <c r="AC59" s="3523"/>
      <c r="AD59" s="3523"/>
      <c r="AE59" s="3523"/>
      <c r="AF59" s="3523"/>
      <c r="AG59" s="3523"/>
      <c r="AH59" s="3523"/>
      <c r="AI59" s="3523"/>
      <c r="AJ59" s="3523"/>
      <c r="AK59" s="3523"/>
      <c r="AL59" s="3523"/>
      <c r="AM59" s="3523"/>
      <c r="AN59" s="3523"/>
      <c r="AO59" s="3523"/>
      <c r="AP59" s="3523"/>
      <c r="AQ59" s="3523"/>
      <c r="AR59" s="3523"/>
    </row>
    <row r="60" spans="1:44" ht="14.25">
      <c r="A60" s="3717" t="s">
        <v>1697</v>
      </c>
      <c r="B60" s="3718"/>
      <c r="C60" s="3531"/>
      <c r="D60" s="3659"/>
      <c r="E60" s="3531"/>
      <c r="F60" s="3531"/>
      <c r="G60" s="3531"/>
      <c r="H60" s="3531"/>
      <c r="I60" s="3531"/>
      <c r="J60" s="3531"/>
      <c r="K60" s="3657"/>
      <c r="L60" s="3657"/>
      <c r="M60" s="3523"/>
      <c r="N60" s="3523"/>
      <c r="O60" s="3523"/>
      <c r="P60" s="3523"/>
      <c r="Q60" s="3523"/>
      <c r="R60" s="3523"/>
      <c r="S60" s="3523"/>
      <c r="T60" s="3523"/>
      <c r="U60" s="3523"/>
      <c r="V60" s="3523"/>
      <c r="W60" s="3523"/>
      <c r="X60" s="3523"/>
      <c r="Y60" s="3523"/>
      <c r="Z60" s="3523"/>
      <c r="AA60" s="3523"/>
      <c r="AB60" s="3523"/>
      <c r="AC60" s="3523"/>
      <c r="AD60" s="3523"/>
      <c r="AE60" s="3523"/>
      <c r="AF60" s="3523"/>
      <c r="AG60" s="3523"/>
      <c r="AH60" s="3523"/>
      <c r="AI60" s="3523"/>
      <c r="AJ60" s="3523"/>
      <c r="AK60" s="3523"/>
      <c r="AL60" s="3523"/>
      <c r="AM60" s="3523"/>
      <c r="AN60" s="3523"/>
      <c r="AO60" s="3523"/>
      <c r="AP60" s="3523"/>
      <c r="AQ60" s="3523"/>
      <c r="AR60" s="3523"/>
    </row>
    <row r="61" spans="1:44" ht="14.25">
      <c r="A61" s="3717" t="s">
        <v>1698</v>
      </c>
      <c r="B61" s="3718"/>
      <c r="C61" s="3531"/>
      <c r="D61" s="3659"/>
      <c r="E61" s="3531"/>
      <c r="F61" s="3531"/>
      <c r="G61" s="3531"/>
      <c r="H61" s="3531"/>
      <c r="I61" s="3531"/>
      <c r="J61" s="3531"/>
      <c r="K61" s="3657"/>
      <c r="L61" s="3657"/>
      <c r="M61" s="3523"/>
      <c r="N61" s="3523"/>
      <c r="O61" s="3523"/>
      <c r="P61" s="3523"/>
      <c r="Q61" s="3523"/>
      <c r="R61" s="3523"/>
      <c r="S61" s="3523"/>
      <c r="T61" s="3523"/>
      <c r="U61" s="3523"/>
      <c r="V61" s="3523"/>
      <c r="W61" s="3523"/>
      <c r="X61" s="3523"/>
      <c r="Y61" s="3523"/>
      <c r="Z61" s="3523"/>
      <c r="AA61" s="3523"/>
      <c r="AB61" s="3523"/>
      <c r="AC61" s="3523"/>
      <c r="AD61" s="3523"/>
      <c r="AE61" s="3523"/>
      <c r="AF61" s="3523"/>
      <c r="AG61" s="3523"/>
      <c r="AH61" s="3523"/>
      <c r="AI61" s="3523"/>
      <c r="AJ61" s="3523"/>
      <c r="AK61" s="3523"/>
      <c r="AL61" s="3523"/>
      <c r="AM61" s="3523"/>
      <c r="AN61" s="3523"/>
      <c r="AO61" s="3523"/>
      <c r="AP61" s="3523"/>
      <c r="AQ61" s="3523"/>
      <c r="AR61" s="3523"/>
    </row>
    <row r="62" spans="1:44" ht="14.25">
      <c r="A62" s="3717" t="s">
        <v>1699</v>
      </c>
      <c r="B62" s="3718"/>
      <c r="C62" s="3531"/>
      <c r="D62" s="3659"/>
      <c r="E62" s="3531"/>
      <c r="F62" s="3531"/>
      <c r="G62" s="3531"/>
      <c r="H62" s="3531"/>
      <c r="I62" s="3531"/>
      <c r="J62" s="3531"/>
      <c r="K62" s="3657"/>
      <c r="L62" s="3657"/>
      <c r="M62" s="3523"/>
      <c r="N62" s="3523"/>
      <c r="O62" s="3523"/>
      <c r="P62" s="3523"/>
      <c r="Q62" s="3523"/>
      <c r="R62" s="3523"/>
      <c r="S62" s="3523"/>
      <c r="T62" s="3523"/>
      <c r="U62" s="3523"/>
      <c r="V62" s="3523"/>
      <c r="W62" s="3523"/>
      <c r="X62" s="3523"/>
      <c r="Y62" s="3523"/>
      <c r="Z62" s="3523"/>
      <c r="AA62" s="3523"/>
      <c r="AB62" s="3523"/>
      <c r="AC62" s="3523"/>
      <c r="AD62" s="3523"/>
      <c r="AE62" s="3523"/>
      <c r="AF62" s="3523"/>
      <c r="AG62" s="3523"/>
      <c r="AH62" s="3523"/>
      <c r="AI62" s="3523"/>
      <c r="AJ62" s="3523"/>
      <c r="AK62" s="3523"/>
      <c r="AL62" s="3523"/>
      <c r="AM62" s="3523"/>
      <c r="AN62" s="3523"/>
      <c r="AO62" s="3523"/>
      <c r="AP62" s="3523"/>
      <c r="AQ62" s="3523"/>
      <c r="AR62" s="3523"/>
    </row>
    <row r="63" spans="1:44" ht="15" thickBot="1">
      <c r="A63" s="3719" t="s">
        <v>1700</v>
      </c>
      <c r="B63" s="3720"/>
      <c r="C63" s="3531"/>
      <c r="D63" s="3659"/>
      <c r="E63" s="3531"/>
      <c r="F63" s="3531"/>
      <c r="G63" s="3531"/>
      <c r="H63" s="3531"/>
      <c r="I63" s="3531"/>
      <c r="J63" s="3531"/>
      <c r="K63" s="3657"/>
      <c r="L63" s="3657"/>
      <c r="M63" s="3523"/>
      <c r="N63" s="3523"/>
      <c r="O63" s="3523"/>
      <c r="P63" s="3523"/>
      <c r="Q63" s="3523"/>
      <c r="R63" s="3523"/>
      <c r="S63" s="3523"/>
      <c r="T63" s="3523"/>
      <c r="U63" s="3523"/>
      <c r="V63" s="3523"/>
      <c r="W63" s="3523"/>
      <c r="X63" s="3523"/>
      <c r="Y63" s="3523"/>
      <c r="Z63" s="3523"/>
      <c r="AA63" s="3523"/>
      <c r="AB63" s="3523"/>
      <c r="AC63" s="3523"/>
      <c r="AD63" s="3523"/>
      <c r="AE63" s="3523"/>
      <c r="AF63" s="3523"/>
      <c r="AG63" s="3523"/>
      <c r="AH63" s="3523"/>
      <c r="AI63" s="3523"/>
      <c r="AJ63" s="3523"/>
      <c r="AK63" s="3523"/>
      <c r="AL63" s="3523"/>
      <c r="AM63" s="3523"/>
      <c r="AN63" s="3523"/>
      <c r="AO63" s="3523"/>
      <c r="AP63" s="3523"/>
      <c r="AQ63" s="3523"/>
      <c r="AR63" s="3523"/>
    </row>
    <row r="64" spans="1:44" s="3722" customFormat="1">
      <c r="A64" s="3721"/>
      <c r="B64" s="3523"/>
      <c r="C64" s="3523"/>
      <c r="D64" s="3656"/>
      <c r="E64" s="3523"/>
      <c r="F64" s="3523"/>
      <c r="G64" s="3523"/>
      <c r="H64" s="3523"/>
      <c r="I64" s="3523"/>
      <c r="J64" s="3523"/>
      <c r="K64" s="3657"/>
      <c r="L64" s="3657"/>
      <c r="M64" s="3523"/>
      <c r="N64" s="3523"/>
      <c r="O64" s="3523"/>
      <c r="P64" s="3523"/>
      <c r="Q64" s="3523"/>
      <c r="R64" s="3523"/>
      <c r="S64" s="3523"/>
      <c r="T64" s="3523"/>
      <c r="U64" s="3523"/>
      <c r="V64" s="3523"/>
      <c r="W64" s="3523"/>
      <c r="X64" s="3523"/>
      <c r="Y64" s="3523"/>
      <c r="Z64" s="3523"/>
      <c r="AA64" s="3523"/>
      <c r="AB64" s="3523"/>
      <c r="AC64" s="3523"/>
      <c r="AD64" s="3523"/>
      <c r="AE64" s="3523"/>
      <c r="AF64" s="3523"/>
      <c r="AG64" s="3523"/>
      <c r="AH64" s="3523"/>
      <c r="AI64" s="3523"/>
      <c r="AJ64" s="3523"/>
      <c r="AK64" s="3523"/>
      <c r="AL64" s="3523"/>
      <c r="AM64" s="3523"/>
      <c r="AN64" s="3523"/>
      <c r="AO64" s="3523"/>
      <c r="AP64" s="3523"/>
      <c r="AQ64" s="3523"/>
      <c r="AR64" s="3523"/>
    </row>
    <row r="65" spans="1:44" s="3722" customFormat="1">
      <c r="A65" s="3721"/>
      <c r="B65" s="3523"/>
      <c r="C65" s="3523"/>
      <c r="D65" s="3656"/>
      <c r="E65" s="3523"/>
      <c r="F65" s="3523"/>
      <c r="G65" s="3523"/>
      <c r="H65" s="3523"/>
      <c r="I65" s="3523"/>
      <c r="J65" s="3523"/>
      <c r="K65" s="3657"/>
      <c r="L65" s="3657"/>
      <c r="M65" s="3523"/>
      <c r="N65" s="3523"/>
      <c r="O65" s="3523"/>
      <c r="P65" s="3523"/>
      <c r="Q65" s="3523"/>
      <c r="R65" s="3523"/>
      <c r="S65" s="3523"/>
      <c r="T65" s="3523"/>
      <c r="U65" s="3523"/>
      <c r="V65" s="3523"/>
      <c r="W65" s="3523"/>
      <c r="X65" s="3523"/>
      <c r="Y65" s="3523"/>
      <c r="Z65" s="3523"/>
      <c r="AA65" s="3523"/>
      <c r="AB65" s="3523"/>
      <c r="AC65" s="3523"/>
      <c r="AD65" s="3523"/>
      <c r="AE65" s="3523"/>
      <c r="AF65" s="3523"/>
      <c r="AG65" s="3523"/>
      <c r="AH65" s="3523"/>
      <c r="AI65" s="3523"/>
      <c r="AJ65" s="3523"/>
      <c r="AK65" s="3523"/>
      <c r="AL65" s="3523"/>
      <c r="AM65" s="3523"/>
      <c r="AN65" s="3523"/>
      <c r="AO65" s="3523"/>
      <c r="AP65" s="3523"/>
      <c r="AQ65" s="3523"/>
      <c r="AR65" s="3523"/>
    </row>
    <row r="66" spans="1:44" s="3722" customFormat="1">
      <c r="A66" s="3721"/>
      <c r="B66" s="3523"/>
      <c r="C66" s="3523"/>
      <c r="D66" s="3656"/>
      <c r="E66" s="3523"/>
      <c r="F66" s="3523"/>
      <c r="G66" s="3523"/>
      <c r="H66" s="3523"/>
      <c r="I66" s="3523"/>
      <c r="J66" s="3523"/>
      <c r="K66" s="3657"/>
      <c r="L66" s="3657"/>
      <c r="M66" s="3523"/>
      <c r="N66" s="3523"/>
      <c r="O66" s="3523"/>
      <c r="P66" s="3523"/>
      <c r="Q66" s="3523"/>
      <c r="R66" s="3523"/>
      <c r="S66" s="3523"/>
      <c r="T66" s="3523"/>
      <c r="U66" s="3523"/>
      <c r="V66" s="3523"/>
      <c r="W66" s="3523"/>
      <c r="X66" s="3523"/>
      <c r="Y66" s="3523"/>
      <c r="Z66" s="3523"/>
      <c r="AA66" s="3523"/>
      <c r="AB66" s="3523"/>
      <c r="AC66" s="3523"/>
      <c r="AD66" s="3523"/>
      <c r="AE66" s="3523"/>
      <c r="AF66" s="3523"/>
      <c r="AG66" s="3523"/>
      <c r="AH66" s="3523"/>
      <c r="AI66" s="3523"/>
      <c r="AJ66" s="3523"/>
      <c r="AK66" s="3523"/>
      <c r="AL66" s="3523"/>
      <c r="AM66" s="3523"/>
      <c r="AN66" s="3523"/>
      <c r="AO66" s="3523"/>
      <c r="AP66" s="3523"/>
      <c r="AQ66" s="3523"/>
      <c r="AR66" s="3523"/>
    </row>
    <row r="67" spans="1:44" s="3722" customFormat="1">
      <c r="A67" s="3721"/>
      <c r="B67" s="3523"/>
      <c r="C67" s="3523"/>
      <c r="D67" s="3656"/>
      <c r="E67" s="3523"/>
      <c r="F67" s="3523"/>
      <c r="G67" s="3523"/>
      <c r="H67" s="3523"/>
      <c r="I67" s="3523"/>
      <c r="J67" s="3523"/>
      <c r="K67" s="3657"/>
      <c r="L67" s="3657"/>
      <c r="M67" s="3523"/>
      <c r="N67" s="3523"/>
      <c r="O67" s="3523"/>
      <c r="P67" s="3523"/>
      <c r="Q67" s="3523"/>
      <c r="R67" s="3523"/>
      <c r="S67" s="3523"/>
      <c r="T67" s="3523"/>
      <c r="U67" s="3523"/>
      <c r="V67" s="3523"/>
      <c r="W67" s="3523"/>
      <c r="X67" s="3523"/>
      <c r="Y67" s="3523"/>
      <c r="Z67" s="3523"/>
      <c r="AA67" s="3523"/>
      <c r="AB67" s="3523"/>
      <c r="AC67" s="3523"/>
      <c r="AD67" s="3523"/>
      <c r="AE67" s="3523"/>
      <c r="AF67" s="3523"/>
      <c r="AG67" s="3523"/>
      <c r="AH67" s="3523"/>
      <c r="AI67" s="3523"/>
      <c r="AJ67" s="3523"/>
      <c r="AK67" s="3523"/>
      <c r="AL67" s="3523"/>
      <c r="AM67" s="3523"/>
      <c r="AN67" s="3523"/>
      <c r="AO67" s="3523"/>
      <c r="AP67" s="3523"/>
      <c r="AQ67" s="3523"/>
      <c r="AR67" s="3523"/>
    </row>
    <row r="68" spans="1:44" s="3722" customFormat="1">
      <c r="A68" s="3721"/>
      <c r="B68" s="3523"/>
      <c r="C68" s="3523"/>
      <c r="D68" s="3656"/>
      <c r="E68" s="3523"/>
      <c r="F68" s="3523"/>
      <c r="G68" s="3523"/>
      <c r="H68" s="3523"/>
      <c r="I68" s="3523"/>
      <c r="J68" s="3523"/>
      <c r="K68" s="3657"/>
      <c r="L68" s="3657"/>
      <c r="M68" s="3523"/>
      <c r="N68" s="3523"/>
      <c r="O68" s="3523"/>
      <c r="P68" s="3523"/>
      <c r="Q68" s="3523"/>
      <c r="R68" s="3523"/>
      <c r="S68" s="3523"/>
      <c r="T68" s="3523"/>
      <c r="U68" s="3523"/>
      <c r="V68" s="3523"/>
      <c r="W68" s="3523"/>
      <c r="X68" s="3523"/>
      <c r="Y68" s="3523"/>
      <c r="Z68" s="3523"/>
      <c r="AA68" s="3523"/>
      <c r="AB68" s="3523"/>
      <c r="AC68" s="3523"/>
      <c r="AD68" s="3523"/>
      <c r="AE68" s="3523"/>
      <c r="AF68" s="3523"/>
      <c r="AG68" s="3523"/>
      <c r="AH68" s="3523"/>
      <c r="AI68" s="3523"/>
      <c r="AJ68" s="3523"/>
      <c r="AK68" s="3523"/>
      <c r="AL68" s="3523"/>
      <c r="AM68" s="3523"/>
      <c r="AN68" s="3523"/>
      <c r="AO68" s="3523"/>
      <c r="AP68" s="3523"/>
      <c r="AQ68" s="3523"/>
      <c r="AR68" s="3523"/>
    </row>
    <row r="69" spans="1:44" s="3722" customFormat="1">
      <c r="A69" s="3723"/>
      <c r="D69" s="3724"/>
      <c r="K69" s="3725"/>
      <c r="L69" s="3725"/>
    </row>
    <row r="70" spans="1:44" s="3722" customFormat="1">
      <c r="A70" s="3723"/>
      <c r="D70" s="3724"/>
      <c r="K70" s="3725"/>
      <c r="L70" s="3725"/>
    </row>
    <row r="71" spans="1:44" s="3722" customFormat="1">
      <c r="A71" s="3723"/>
      <c r="D71" s="3724"/>
      <c r="K71" s="3725"/>
      <c r="L71" s="3725"/>
    </row>
    <row r="72" spans="1:44" s="3722" customFormat="1">
      <c r="A72" s="3723"/>
      <c r="D72" s="3724"/>
      <c r="K72" s="3725"/>
      <c r="L72" s="3725"/>
    </row>
    <row r="73" spans="1:44" s="3722" customFormat="1">
      <c r="A73" s="3723"/>
      <c r="D73" s="3724"/>
      <c r="K73" s="3725"/>
      <c r="L73" s="3725"/>
    </row>
    <row r="74" spans="1:44" s="3722" customFormat="1">
      <c r="A74" s="3723"/>
      <c r="D74" s="3724"/>
      <c r="K74" s="3725"/>
      <c r="L74" s="3725"/>
    </row>
    <row r="75" spans="1:44" s="3722" customFormat="1">
      <c r="A75" s="3723"/>
      <c r="D75" s="3724"/>
      <c r="K75" s="3725"/>
      <c r="L75" s="3725"/>
    </row>
    <row r="76" spans="1:44" s="3722" customFormat="1">
      <c r="A76" s="3723"/>
      <c r="D76" s="3724"/>
      <c r="K76" s="3725"/>
      <c r="L76" s="3725"/>
    </row>
    <row r="77" spans="1:44" s="3722" customFormat="1">
      <c r="A77" s="3723"/>
      <c r="D77" s="3724"/>
      <c r="K77" s="3725"/>
      <c r="L77" s="3725"/>
    </row>
    <row r="78" spans="1:44" s="3722" customFormat="1">
      <c r="A78" s="3723"/>
      <c r="D78" s="3724"/>
      <c r="K78" s="3725"/>
      <c r="L78" s="3725"/>
    </row>
    <row r="79" spans="1:44" s="3722" customFormat="1">
      <c r="A79" s="3723"/>
      <c r="D79" s="3724"/>
      <c r="K79" s="3725"/>
      <c r="L79" s="3725"/>
    </row>
    <row r="80" spans="1:44" s="3722" customFormat="1">
      <c r="A80" s="3723"/>
      <c r="D80" s="3724"/>
      <c r="K80" s="3725"/>
      <c r="L80" s="3725"/>
    </row>
    <row r="81" spans="1:12" s="3722" customFormat="1">
      <c r="A81" s="3723"/>
      <c r="D81" s="3724"/>
      <c r="K81" s="3725"/>
      <c r="L81" s="3725"/>
    </row>
    <row r="82" spans="1:12" s="3722" customFormat="1">
      <c r="A82" s="3723"/>
      <c r="D82" s="3724"/>
      <c r="K82" s="3725"/>
      <c r="L82" s="3725"/>
    </row>
    <row r="83" spans="1:12" s="3722" customFormat="1">
      <c r="A83" s="3723"/>
      <c r="D83" s="3724"/>
      <c r="K83" s="3725"/>
      <c r="L83" s="3725"/>
    </row>
    <row r="84" spans="1:12" s="3722" customFormat="1">
      <c r="A84" s="3723"/>
      <c r="D84" s="3724"/>
      <c r="K84" s="3725"/>
      <c r="L84" s="3725"/>
    </row>
    <row r="85" spans="1:12" s="3722" customFormat="1">
      <c r="A85" s="3723"/>
      <c r="D85" s="3724"/>
      <c r="K85" s="3725"/>
      <c r="L85" s="3725"/>
    </row>
    <row r="86" spans="1:12" s="3722" customFormat="1">
      <c r="A86" s="3723"/>
      <c r="D86" s="3724"/>
      <c r="K86" s="3725"/>
      <c r="L86" s="3725"/>
    </row>
    <row r="87" spans="1:12" s="3722" customFormat="1">
      <c r="A87" s="3723"/>
      <c r="D87" s="3724"/>
      <c r="K87" s="3725"/>
      <c r="L87" s="3725"/>
    </row>
    <row r="88" spans="1:12" s="3722" customFormat="1">
      <c r="A88" s="3723"/>
      <c r="D88" s="3724"/>
      <c r="K88" s="3725"/>
      <c r="L88" s="3725"/>
    </row>
    <row r="89" spans="1:12" s="3722" customFormat="1">
      <c r="A89" s="3723"/>
      <c r="D89" s="3724"/>
      <c r="K89" s="3725"/>
      <c r="L89" s="3725"/>
    </row>
    <row r="90" spans="1:12" s="3722" customFormat="1">
      <c r="A90" s="3723"/>
      <c r="D90" s="3724"/>
      <c r="K90" s="3725"/>
      <c r="L90" s="3725"/>
    </row>
    <row r="91" spans="1:12" s="3722" customFormat="1">
      <c r="A91" s="3723"/>
      <c r="D91" s="3724"/>
      <c r="K91" s="3725"/>
      <c r="L91" s="3725"/>
    </row>
    <row r="92" spans="1:12" s="3722" customFormat="1">
      <c r="A92" s="3723"/>
      <c r="D92" s="3724"/>
      <c r="K92" s="3725"/>
      <c r="L92" s="3725"/>
    </row>
    <row r="93" spans="1:12" s="3722" customFormat="1">
      <c r="A93" s="3723"/>
      <c r="D93" s="3724"/>
      <c r="K93" s="3725"/>
      <c r="L93" s="3725"/>
    </row>
    <row r="94" spans="1:12" s="3722" customFormat="1">
      <c r="A94" s="3723"/>
      <c r="D94" s="3724"/>
      <c r="K94" s="3725"/>
      <c r="L94" s="3725"/>
    </row>
    <row r="95" spans="1:12" s="3722" customFormat="1">
      <c r="A95" s="3723"/>
      <c r="D95" s="3724"/>
      <c r="K95" s="3725"/>
      <c r="L95" s="3725"/>
    </row>
    <row r="96" spans="1:12" s="3722" customFormat="1">
      <c r="A96" s="3723"/>
      <c r="D96" s="3724"/>
      <c r="K96" s="3725"/>
      <c r="L96" s="3725"/>
    </row>
    <row r="97" spans="1:12" s="3722" customFormat="1">
      <c r="A97" s="3723"/>
      <c r="D97" s="3724"/>
      <c r="K97" s="3725"/>
      <c r="L97" s="3725"/>
    </row>
    <row r="98" spans="1:12" s="3722" customFormat="1">
      <c r="A98" s="3723"/>
      <c r="D98" s="3724"/>
      <c r="K98" s="3725"/>
      <c r="L98" s="3725"/>
    </row>
    <row r="99" spans="1:12" s="3722" customFormat="1">
      <c r="A99" s="3723"/>
      <c r="D99" s="3724"/>
      <c r="K99" s="3725"/>
      <c r="L99" s="3725"/>
    </row>
    <row r="100" spans="1:12" s="3722" customFormat="1">
      <c r="A100" s="3723"/>
      <c r="D100" s="3724"/>
      <c r="K100" s="3725"/>
      <c r="L100" s="3725"/>
    </row>
    <row r="101" spans="1:12" s="3722" customFormat="1">
      <c r="A101" s="3723"/>
      <c r="D101" s="3724"/>
      <c r="K101" s="3725"/>
      <c r="L101" s="3725"/>
    </row>
    <row r="102" spans="1:12" s="3722" customFormat="1">
      <c r="A102" s="3723"/>
      <c r="D102" s="3724"/>
      <c r="K102" s="3725"/>
      <c r="L102" s="3725"/>
    </row>
    <row r="103" spans="1:12" s="3722" customFormat="1">
      <c r="A103" s="3723"/>
      <c r="D103" s="3724"/>
      <c r="K103" s="3725"/>
      <c r="L103" s="3725"/>
    </row>
    <row r="104" spans="1:12" s="3722" customFormat="1">
      <c r="A104" s="3723"/>
      <c r="D104" s="3724"/>
      <c r="K104" s="3725"/>
      <c r="L104" s="3725"/>
    </row>
    <row r="105" spans="1:12" s="3722" customFormat="1">
      <c r="A105" s="3723"/>
      <c r="D105" s="3724"/>
      <c r="K105" s="3725"/>
      <c r="L105" s="3725"/>
    </row>
    <row r="106" spans="1:12" s="3722" customFormat="1">
      <c r="A106" s="3723"/>
      <c r="D106" s="3724"/>
      <c r="K106" s="3725"/>
      <c r="L106" s="3725"/>
    </row>
    <row r="107" spans="1:12" s="3722" customFormat="1">
      <c r="A107" s="3723"/>
      <c r="D107" s="3724"/>
      <c r="K107" s="3725"/>
      <c r="L107" s="3725"/>
    </row>
    <row r="108" spans="1:12" s="3722" customFormat="1">
      <c r="A108" s="3723"/>
      <c r="D108" s="3724"/>
      <c r="K108" s="3725"/>
      <c r="L108" s="3725"/>
    </row>
    <row r="109" spans="1:12" s="3722" customFormat="1">
      <c r="A109" s="3723"/>
      <c r="D109" s="3724"/>
      <c r="K109" s="3725"/>
      <c r="L109" s="3725"/>
    </row>
    <row r="110" spans="1:12" s="3722" customFormat="1">
      <c r="A110" s="3723"/>
      <c r="D110" s="3724"/>
      <c r="K110" s="3725"/>
      <c r="L110" s="3725"/>
    </row>
    <row r="111" spans="1:12" s="3722" customFormat="1">
      <c r="A111" s="3723"/>
      <c r="D111" s="3724"/>
      <c r="K111" s="3725"/>
      <c r="L111" s="3725"/>
    </row>
    <row r="112" spans="1:12" s="3722" customFormat="1">
      <c r="A112" s="3723"/>
      <c r="D112" s="3724"/>
      <c r="K112" s="3725"/>
      <c r="L112" s="3725"/>
    </row>
    <row r="113" spans="1:12" s="3722" customFormat="1">
      <c r="A113" s="3723"/>
      <c r="D113" s="3724"/>
      <c r="K113" s="3725"/>
      <c r="L113" s="3725"/>
    </row>
    <row r="114" spans="1:12" s="3722" customFormat="1">
      <c r="A114" s="3723"/>
      <c r="D114" s="3724"/>
      <c r="K114" s="3725"/>
      <c r="L114" s="3725"/>
    </row>
    <row r="115" spans="1:12" s="3722" customFormat="1">
      <c r="A115" s="3723"/>
      <c r="D115" s="3724"/>
      <c r="K115" s="3725"/>
      <c r="L115" s="3725"/>
    </row>
    <row r="116" spans="1:12" s="3722" customFormat="1">
      <c r="A116" s="3723"/>
      <c r="D116" s="3724"/>
      <c r="K116" s="3725"/>
      <c r="L116" s="3725"/>
    </row>
    <row r="117" spans="1:12" s="3722" customFormat="1">
      <c r="A117" s="3723"/>
      <c r="D117" s="3724"/>
      <c r="K117" s="3725"/>
      <c r="L117" s="3725"/>
    </row>
    <row r="118" spans="1:12" s="3722" customFormat="1">
      <c r="A118" s="3723"/>
      <c r="D118" s="3724"/>
      <c r="K118" s="3725"/>
      <c r="L118" s="3725"/>
    </row>
    <row r="119" spans="1:12" s="3722" customFormat="1">
      <c r="A119" s="3723"/>
      <c r="D119" s="3724"/>
      <c r="K119" s="3725"/>
      <c r="L119" s="3725"/>
    </row>
    <row r="120" spans="1:12" s="3722" customFormat="1">
      <c r="A120" s="3723"/>
      <c r="D120" s="3724"/>
      <c r="K120" s="3725"/>
      <c r="L120" s="3725"/>
    </row>
    <row r="121" spans="1:12" s="3722" customFormat="1">
      <c r="A121" s="3723"/>
      <c r="D121" s="3724"/>
      <c r="K121" s="3725"/>
      <c r="L121" s="3725"/>
    </row>
    <row r="122" spans="1:12" s="3722" customFormat="1">
      <c r="A122" s="3723"/>
      <c r="D122" s="3724"/>
      <c r="K122" s="3725"/>
      <c r="L122" s="3725"/>
    </row>
    <row r="123" spans="1:12" s="3722" customFormat="1">
      <c r="A123" s="3723"/>
      <c r="D123" s="3724"/>
      <c r="K123" s="3725"/>
      <c r="L123" s="3725"/>
    </row>
    <row r="124" spans="1:12" s="3722" customFormat="1">
      <c r="A124" s="3723"/>
      <c r="D124" s="3724"/>
      <c r="K124" s="3725"/>
      <c r="L124" s="3725"/>
    </row>
    <row r="125" spans="1:12" s="3722" customFormat="1">
      <c r="A125" s="3723"/>
      <c r="D125" s="3724"/>
      <c r="K125" s="3725"/>
      <c r="L125" s="3725"/>
    </row>
    <row r="126" spans="1:12" s="3722" customFormat="1">
      <c r="A126" s="3723"/>
      <c r="D126" s="3724"/>
      <c r="K126" s="3725"/>
      <c r="L126" s="3725"/>
    </row>
    <row r="127" spans="1:12" s="3722" customFormat="1">
      <c r="A127" s="3723"/>
      <c r="D127" s="3724"/>
      <c r="K127" s="3725"/>
      <c r="L127" s="3725"/>
    </row>
    <row r="128" spans="1:12" s="3722" customFormat="1">
      <c r="A128" s="3723"/>
      <c r="D128" s="3724"/>
      <c r="K128" s="3725"/>
      <c r="L128" s="3725"/>
    </row>
    <row r="129" spans="1:12" s="3722" customFormat="1">
      <c r="A129" s="3723"/>
      <c r="D129" s="3724"/>
      <c r="K129" s="3725"/>
      <c r="L129" s="3725"/>
    </row>
    <row r="130" spans="1:12" s="3722" customFormat="1">
      <c r="A130" s="3723"/>
      <c r="D130" s="3724"/>
      <c r="K130" s="3725"/>
      <c r="L130" s="3725"/>
    </row>
    <row r="131" spans="1:12" s="3722" customFormat="1">
      <c r="A131" s="3723"/>
      <c r="D131" s="3724"/>
      <c r="K131" s="3725"/>
      <c r="L131" s="3725"/>
    </row>
    <row r="132" spans="1:12" s="3722" customFormat="1">
      <c r="A132" s="3723"/>
      <c r="D132" s="3724"/>
      <c r="K132" s="3725"/>
      <c r="L132" s="3725"/>
    </row>
    <row r="133" spans="1:12" s="3722" customFormat="1">
      <c r="A133" s="3723"/>
      <c r="D133" s="3724"/>
      <c r="K133" s="3725"/>
      <c r="L133" s="3725"/>
    </row>
    <row r="134" spans="1:12" s="3524" customFormat="1">
      <c r="A134" s="3726"/>
      <c r="D134" s="3727"/>
      <c r="K134" s="3728"/>
      <c r="L134" s="3728"/>
    </row>
    <row r="135" spans="1:12" s="3524" customFormat="1">
      <c r="A135" s="3726"/>
      <c r="D135" s="3727"/>
      <c r="K135" s="3728"/>
      <c r="L135" s="3728"/>
    </row>
    <row r="136" spans="1:12" s="3524" customFormat="1">
      <c r="A136" s="3726"/>
      <c r="D136" s="3727"/>
      <c r="K136" s="3728"/>
      <c r="L136" s="3728"/>
    </row>
    <row r="137" spans="1:12" s="3524" customFormat="1">
      <c r="A137" s="3726"/>
      <c r="D137" s="3727"/>
      <c r="K137" s="3728"/>
      <c r="L137" s="3728"/>
    </row>
    <row r="138" spans="1:12" s="3524" customFormat="1">
      <c r="A138" s="3726"/>
      <c r="D138" s="3727"/>
      <c r="K138" s="3728"/>
      <c r="L138" s="3728"/>
    </row>
    <row r="139" spans="1:12" s="3524" customFormat="1">
      <c r="A139" s="3726"/>
      <c r="D139" s="3727"/>
      <c r="K139" s="3728"/>
      <c r="L139" s="3728"/>
    </row>
    <row r="140" spans="1:12" s="3524" customFormat="1">
      <c r="A140" s="3726"/>
      <c r="D140" s="3727"/>
      <c r="K140" s="3728"/>
      <c r="L140" s="3728"/>
    </row>
    <row r="141" spans="1:12" s="3524" customFormat="1">
      <c r="A141" s="3726"/>
      <c r="D141" s="3727"/>
      <c r="K141" s="3728"/>
      <c r="L141" s="3728"/>
    </row>
    <row r="142" spans="1:12" s="3524" customFormat="1">
      <c r="A142" s="3726"/>
      <c r="D142" s="3727"/>
      <c r="K142" s="3728"/>
      <c r="L142" s="3728"/>
    </row>
    <row r="143" spans="1:12" s="3524" customFormat="1">
      <c r="A143" s="3726"/>
      <c r="D143" s="3727"/>
      <c r="K143" s="3728"/>
      <c r="L143" s="3728"/>
    </row>
    <row r="144" spans="1:12" s="3524" customFormat="1">
      <c r="A144" s="3726"/>
      <c r="D144" s="3727"/>
      <c r="K144" s="3728"/>
      <c r="L144" s="3728"/>
    </row>
    <row r="145" spans="1:12" s="3524" customFormat="1">
      <c r="A145" s="3726"/>
      <c r="D145" s="3727"/>
      <c r="K145" s="3728"/>
      <c r="L145" s="3728"/>
    </row>
    <row r="146" spans="1:12" s="3524" customFormat="1">
      <c r="A146" s="3726"/>
      <c r="D146" s="3727"/>
      <c r="K146" s="3728"/>
      <c r="L146" s="3728"/>
    </row>
    <row r="147" spans="1:12" s="3524" customFormat="1">
      <c r="A147" s="3726"/>
      <c r="D147" s="3727"/>
      <c r="K147" s="3728"/>
      <c r="L147" s="3728"/>
    </row>
    <row r="148" spans="1:12" s="3524" customFormat="1">
      <c r="A148" s="3726"/>
      <c r="D148" s="3727"/>
      <c r="K148" s="3728"/>
      <c r="L148" s="3728"/>
    </row>
    <row r="149" spans="1:12" s="3524" customFormat="1">
      <c r="A149" s="3726"/>
      <c r="D149" s="3727"/>
      <c r="K149" s="3728"/>
      <c r="L149" s="3728"/>
    </row>
    <row r="150" spans="1:12" s="3524" customFormat="1">
      <c r="A150" s="3726"/>
      <c r="D150" s="3727"/>
      <c r="K150" s="3728"/>
      <c r="L150" s="3728"/>
    </row>
    <row r="151" spans="1:12" s="3524" customFormat="1">
      <c r="A151" s="3726"/>
      <c r="D151" s="3727"/>
      <c r="K151" s="3728"/>
      <c r="L151" s="3728"/>
    </row>
    <row r="152" spans="1:12" s="3524" customFormat="1">
      <c r="A152" s="3726"/>
      <c r="D152" s="3727"/>
      <c r="K152" s="3728"/>
      <c r="L152" s="3728"/>
    </row>
    <row r="153" spans="1:12" s="3524" customFormat="1">
      <c r="A153" s="3726"/>
      <c r="D153" s="3727"/>
      <c r="K153" s="3728"/>
      <c r="L153" s="3728"/>
    </row>
    <row r="154" spans="1:12" s="3524" customFormat="1">
      <c r="A154" s="3726"/>
      <c r="D154" s="3727"/>
      <c r="K154" s="3728"/>
      <c r="L154" s="3728"/>
    </row>
    <row r="155" spans="1:12" s="3524" customFormat="1">
      <c r="A155" s="3726"/>
      <c r="D155" s="3727"/>
      <c r="K155" s="3728"/>
      <c r="L155" s="3728"/>
    </row>
    <row r="156" spans="1:12" s="3524" customFormat="1">
      <c r="A156" s="3726"/>
      <c r="D156" s="3727"/>
      <c r="K156" s="3728"/>
      <c r="L156" s="3728"/>
    </row>
    <row r="157" spans="1:12" s="3524" customFormat="1">
      <c r="A157" s="3726"/>
      <c r="D157" s="3727"/>
      <c r="K157" s="3728"/>
      <c r="L157" s="3728"/>
    </row>
    <row r="158" spans="1:12" s="3524" customFormat="1">
      <c r="A158" s="3726"/>
      <c r="D158" s="3727"/>
      <c r="K158" s="3728"/>
      <c r="L158" s="3728"/>
    </row>
    <row r="159" spans="1:12" s="3524" customFormat="1">
      <c r="A159" s="3726"/>
      <c r="D159" s="3727"/>
      <c r="K159" s="3728"/>
      <c r="L159" s="3728"/>
    </row>
    <row r="160" spans="1:12" s="3524" customFormat="1">
      <c r="A160" s="3726"/>
      <c r="D160" s="3727"/>
      <c r="K160" s="3728"/>
      <c r="L160" s="3728"/>
    </row>
    <row r="161" spans="1:12" s="3524" customFormat="1">
      <c r="A161" s="3726"/>
      <c r="D161" s="3727"/>
      <c r="K161" s="3728"/>
      <c r="L161" s="3728"/>
    </row>
    <row r="162" spans="1:12" s="3524" customFormat="1">
      <c r="A162" s="3726"/>
      <c r="D162" s="3727"/>
      <c r="K162" s="3728"/>
      <c r="L162" s="3728"/>
    </row>
    <row r="163" spans="1:12" s="3524" customFormat="1">
      <c r="A163" s="3726"/>
      <c r="D163" s="3727"/>
      <c r="K163" s="3728"/>
      <c r="L163" s="3728"/>
    </row>
    <row r="164" spans="1:12" s="3524" customFormat="1">
      <c r="A164" s="3726"/>
      <c r="D164" s="3727"/>
      <c r="K164" s="3728"/>
      <c r="L164" s="3728"/>
    </row>
    <row r="165" spans="1:12" s="3524" customFormat="1">
      <c r="A165" s="3726"/>
      <c r="D165" s="3727"/>
      <c r="K165" s="3728"/>
      <c r="L165" s="3728"/>
    </row>
    <row r="166" spans="1:12" s="3524" customFormat="1">
      <c r="A166" s="3726"/>
      <c r="D166" s="3727"/>
      <c r="K166" s="3728"/>
      <c r="L166" s="3728"/>
    </row>
    <row r="167" spans="1:12" s="3524" customFormat="1">
      <c r="A167" s="3726"/>
      <c r="D167" s="3727"/>
      <c r="K167" s="3728"/>
      <c r="L167" s="3728"/>
    </row>
    <row r="168" spans="1:12" s="3524" customFormat="1">
      <c r="A168" s="3726"/>
      <c r="D168" s="3727"/>
      <c r="K168" s="3728"/>
      <c r="L168" s="3728"/>
    </row>
    <row r="169" spans="1:12" s="3524" customFormat="1">
      <c r="A169" s="3726"/>
      <c r="D169" s="3727"/>
      <c r="K169" s="3728"/>
      <c r="L169" s="3728"/>
    </row>
    <row r="170" spans="1:12" s="3524" customFormat="1">
      <c r="A170" s="3726"/>
      <c r="D170" s="3727"/>
      <c r="K170" s="3728"/>
      <c r="L170" s="3728"/>
    </row>
    <row r="171" spans="1:12" s="3524" customFormat="1">
      <c r="A171" s="3726"/>
      <c r="D171" s="3727"/>
      <c r="K171" s="3728"/>
      <c r="L171" s="3728"/>
    </row>
    <row r="172" spans="1:12" s="3524" customFormat="1">
      <c r="A172" s="3726"/>
      <c r="D172" s="3727"/>
      <c r="K172" s="3728"/>
      <c r="L172" s="3728"/>
    </row>
    <row r="173" spans="1:12" s="3524" customFormat="1">
      <c r="A173" s="3726"/>
      <c r="D173" s="3727"/>
      <c r="K173" s="3728"/>
      <c r="L173" s="3728"/>
    </row>
    <row r="174" spans="1:12" s="3524" customFormat="1">
      <c r="A174" s="3726"/>
      <c r="D174" s="3727"/>
      <c r="K174" s="3728"/>
      <c r="L174" s="3728"/>
    </row>
  </sheetData>
  <sheetProtection password="CEE9" sheet="1" objects="1" scenarios="1" formatCells="0" formatColumns="0" formatRows="0"/>
  <phoneticPr fontId="148" type="noConversion"/>
  <dataValidations count="8">
    <dataValidation type="list" allowBlank="1" showInputMessage="1" showErrorMessage="1" sqref="A40" xr:uid="{A7BF3EBC-3FF4-4E1D-A8B8-06C4B386DDB1}">
      <formula1>"利息：取LPR,利息：取LPR加浮动点数"</formula1>
    </dataValidation>
    <dataValidation type="list" allowBlank="1" showInputMessage="1" showErrorMessage="1" sqref="AN6:AN13" xr:uid="{1764FF9A-6E8E-4FC0-8385-66FCCB336ED6}">
      <formula1>估价方法</formula1>
    </dataValidation>
    <dataValidation type="list" allowBlank="1" showInputMessage="1" showErrorMessage="1" sqref="B14:B15" xr:uid="{0B7707BF-1B93-4BB8-B902-4DA41438F519}">
      <formula1>类别</formula1>
    </dataValidation>
    <dataValidation type="list" showInputMessage="1" showErrorMessage="1" sqref="AI6:AI13" xr:uid="{9F099C19-DD98-419C-B945-416C026EC919}">
      <formula1>"365,12,1"</formula1>
    </dataValidation>
    <dataValidation type="list" allowBlank="1" showInputMessage="1" showErrorMessage="1" sqref="C6:C15" xr:uid="{663DD5F8-FD67-4BC4-809E-CD2A5DD0D5C2}">
      <formula1>地类判定</formula1>
    </dataValidation>
    <dataValidation type="list" allowBlank="1" showInputMessage="1" showErrorMessage="1" sqref="N5" xr:uid="{923DEF65-E722-408D-BFE5-2F55A988B590}">
      <formula1>"工程进度,成新度,工程进度/成新度"</formula1>
    </dataValidation>
    <dataValidation type="list" allowBlank="1" showInputMessage="1" showErrorMessage="1" sqref="B53" xr:uid="{1D308119-AE03-41E4-8B58-C4CA8E96C066}">
      <formula1>城镇土地纳税等级分级范围</formula1>
    </dataValidation>
    <dataValidation type="list" allowBlank="1" showInputMessage="1" showErrorMessage="1" sqref="B44" xr:uid="{41290803-FB26-4DD7-8A71-051B8BA06547}">
      <formula1>"7%,5%,1%"</formula1>
    </dataValidation>
  </dataValidations>
  <pageMargins left="0.7" right="0.7" top="0.75" bottom="0.75" header="0.3" footer="0.3"/>
  <pageSetup paperSize="9" scale="25"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59CB-CA80-4621-83ED-0BA1A83CF578}">
  <sheetPr codeName="Sheet35"/>
  <dimension ref="A1"/>
  <sheetViews>
    <sheetView workbookViewId="0"/>
  </sheetViews>
  <sheetFormatPr defaultRowHeight="13.5"/>
  <sheetData/>
  <phoneticPr fontId="148"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DAC6-6234-4748-A8AD-17D79BDDDEED}">
  <dimension ref="B1:AH92"/>
  <sheetViews>
    <sheetView topLeftCell="B1" workbookViewId="0">
      <pane xSplit="1" ySplit="3" topLeftCell="C4" activePane="bottomRight" state="frozen"/>
      <selection activeCell="F111" sqref="F111"/>
      <selection pane="topRight" activeCell="F111" sqref="F111"/>
      <selection pane="bottomLeft" activeCell="F111" sqref="F111"/>
      <selection pane="bottomRight" activeCell="I51" sqref="I51"/>
    </sheetView>
  </sheetViews>
  <sheetFormatPr defaultRowHeight="13.5"/>
  <cols>
    <col min="1" max="2" width="9" style="3172"/>
    <col min="3" max="4" width="9.875" style="3172" customWidth="1"/>
    <col min="5" max="5" width="7" style="3172" customWidth="1"/>
    <col min="6" max="6" width="6.75" style="3172" customWidth="1"/>
    <col min="7" max="7" width="7.75" style="3172" customWidth="1"/>
    <col min="8" max="8" width="9.25" style="3170" customWidth="1"/>
    <col min="9" max="9" width="7.5" style="3170" customWidth="1"/>
    <col min="10" max="10" width="14.125" style="3172" customWidth="1"/>
    <col min="11" max="11" width="0" style="3172" hidden="1" customWidth="1"/>
    <col min="12" max="12" width="16.75" style="3172" hidden="1" customWidth="1"/>
    <col min="13" max="13" width="9.5" style="3172" hidden="1" customWidth="1"/>
    <col min="14" max="14" width="9" style="3172" hidden="1" customWidth="1"/>
    <col min="15" max="15" width="11.625" style="3172" hidden="1" customWidth="1"/>
    <col min="16" max="16" width="12.75" style="3172" hidden="1" customWidth="1"/>
    <col min="17" max="20" width="9.75" style="3172" hidden="1" customWidth="1"/>
    <col min="21" max="21" width="9" style="3172"/>
    <col min="22" max="22" width="16.75" style="3172" customWidth="1"/>
    <col min="23" max="23" width="10.5" style="3172" bestFit="1" customWidth="1"/>
    <col min="24" max="24" width="9" style="3172" customWidth="1"/>
    <col min="25" max="25" width="11.625" style="3172" hidden="1" customWidth="1"/>
    <col min="26" max="26" width="12.75" style="3172" hidden="1" customWidth="1"/>
    <col min="27" max="30" width="9" style="3172"/>
    <col min="31" max="31" width="14" style="3172" customWidth="1"/>
    <col min="32" max="33" width="13.25" style="3172" customWidth="1"/>
    <col min="34" max="16384" width="9" style="3172"/>
  </cols>
  <sheetData>
    <row r="1" spans="2:34">
      <c r="B1" s="3172" t="s">
        <v>3382</v>
      </c>
      <c r="K1" s="3172" t="s">
        <v>3383</v>
      </c>
      <c r="U1" s="3172" t="s">
        <v>3384</v>
      </c>
    </row>
    <row r="2" spans="2:34">
      <c r="B2" s="4259" t="s">
        <v>3385</v>
      </c>
      <c r="C2" s="4259"/>
      <c r="D2" s="4259"/>
      <c r="E2" s="4259"/>
      <c r="F2" s="3434"/>
      <c r="G2" s="3434"/>
      <c r="K2" s="4259" t="s">
        <v>3385</v>
      </c>
      <c r="L2" s="4259"/>
      <c r="M2" s="4259"/>
      <c r="N2" s="4259"/>
      <c r="O2" s="3434"/>
      <c r="P2" s="3434"/>
      <c r="U2" s="4259" t="s">
        <v>3386</v>
      </c>
      <c r="V2" s="4259"/>
      <c r="W2" s="4259"/>
      <c r="X2" s="4259"/>
      <c r="Y2" s="3434"/>
      <c r="Z2" s="3434"/>
    </row>
    <row r="3" spans="2:34">
      <c r="B3" s="3434"/>
      <c r="C3" s="3434" t="s">
        <v>3387</v>
      </c>
      <c r="D3" s="3434" t="s">
        <v>3388</v>
      </c>
      <c r="E3" s="3172" t="s">
        <v>3389</v>
      </c>
      <c r="F3" s="3434" t="s">
        <v>3390</v>
      </c>
      <c r="G3" s="3434" t="s">
        <v>3391</v>
      </c>
      <c r="H3" s="3436" t="s">
        <v>3392</v>
      </c>
      <c r="I3" s="3436"/>
      <c r="K3" s="3434"/>
      <c r="L3" s="3434" t="s">
        <v>3387</v>
      </c>
      <c r="M3" s="3434" t="s">
        <v>3388</v>
      </c>
      <c r="N3" s="3172" t="s">
        <v>3393</v>
      </c>
      <c r="O3" s="3434" t="s">
        <v>3390</v>
      </c>
      <c r="P3" s="3434" t="s">
        <v>3394</v>
      </c>
      <c r="Q3" s="3434" t="s">
        <v>3394</v>
      </c>
      <c r="R3" s="3434" t="s">
        <v>3395</v>
      </c>
      <c r="S3" s="3434"/>
      <c r="T3" s="3434"/>
      <c r="U3" s="3434"/>
      <c r="V3" s="3434" t="s">
        <v>3387</v>
      </c>
      <c r="W3" s="3434" t="s">
        <v>3388</v>
      </c>
      <c r="X3" s="3172" t="s">
        <v>3393</v>
      </c>
      <c r="Y3" s="3434" t="s">
        <v>3390</v>
      </c>
      <c r="Z3" s="3434" t="s">
        <v>3396</v>
      </c>
      <c r="AA3" s="3434" t="s">
        <v>3394</v>
      </c>
    </row>
    <row r="4" spans="2:34">
      <c r="B4" s="3434" t="s">
        <v>3397</v>
      </c>
      <c r="C4" s="3434">
        <f>ROUND(C5*(1+0.4%),1)</f>
        <v>379.6</v>
      </c>
      <c r="D4" s="3435">
        <f>D5-1.7%</f>
        <v>5.5999999999999994E-2</v>
      </c>
      <c r="H4" s="3171">
        <v>1.2999999999999999E-2</v>
      </c>
      <c r="I4" s="3171"/>
      <c r="K4" s="3434" t="s">
        <v>3397</v>
      </c>
      <c r="L4" s="3434">
        <v>373</v>
      </c>
      <c r="M4" s="3435">
        <v>2.5999999999999999E-2</v>
      </c>
      <c r="N4" s="3173"/>
      <c r="P4" s="3172">
        <v>6753000</v>
      </c>
      <c r="Q4" s="3172">
        <f>P4/10000</f>
        <v>675.3</v>
      </c>
      <c r="R4" s="3173"/>
      <c r="U4" s="3434" t="s">
        <v>3397</v>
      </c>
      <c r="V4" s="3434">
        <v>339.8</v>
      </c>
      <c r="W4" s="3435">
        <v>3.9E-2</v>
      </c>
      <c r="X4" s="3173"/>
      <c r="Z4" s="3172">
        <v>9240000</v>
      </c>
      <c r="AA4" s="3172">
        <f>Z4/10000</f>
        <v>924</v>
      </c>
    </row>
    <row r="5" spans="2:34">
      <c r="B5" s="3434" t="s">
        <v>3398</v>
      </c>
      <c r="C5" s="3434">
        <v>378.1</v>
      </c>
      <c r="D5" s="3435">
        <v>7.2999999999999995E-2</v>
      </c>
      <c r="E5" s="3173">
        <f>(C5-C4)/C4</f>
        <v>-3.9515279241306633E-3</v>
      </c>
      <c r="G5" s="3172">
        <f>ROUND(8520836/10000,2)</f>
        <v>852.08</v>
      </c>
      <c r="H5" s="3171">
        <v>1.2E-2</v>
      </c>
      <c r="I5" s="3173">
        <f>AVERAGE(D4:D7)</f>
        <v>6.3250000000000001E-2</v>
      </c>
      <c r="K5" s="3434" t="s">
        <v>3398</v>
      </c>
      <c r="L5" s="3434">
        <v>374</v>
      </c>
      <c r="M5" s="3435">
        <v>4.5999999999999999E-2</v>
      </c>
      <c r="N5" s="3173">
        <f>(L5-L4)/L4</f>
        <v>2.6809651474530832E-3</v>
      </c>
      <c r="O5" s="3172">
        <f>P5-P4</f>
        <v>355400</v>
      </c>
      <c r="P5" s="3172">
        <v>7108400</v>
      </c>
      <c r="Q5" s="3172">
        <f t="shared" ref="Q5:Q23" si="0">P5/10000</f>
        <v>710.84</v>
      </c>
      <c r="R5" s="3173">
        <f>(L5-L4)/L4</f>
        <v>2.6809651474530832E-3</v>
      </c>
      <c r="U5" s="3434" t="s">
        <v>3398</v>
      </c>
      <c r="V5" s="3434">
        <v>337.8</v>
      </c>
      <c r="W5" s="3435">
        <v>4.3999999999999997E-2</v>
      </c>
      <c r="X5" s="3173">
        <f>(V5-V4)/V4</f>
        <v>-5.885815185403178E-3</v>
      </c>
      <c r="Y5" s="3172">
        <f>Z5-Z4</f>
        <v>300000</v>
      </c>
      <c r="Z5" s="3172">
        <v>9540000</v>
      </c>
      <c r="AA5" s="3172">
        <f t="shared" ref="AA5:AA23" si="1">Z5/10000</f>
        <v>954</v>
      </c>
      <c r="AB5" s="3173">
        <f>(V5-V4)/V4</f>
        <v>-5.885815185403178E-3</v>
      </c>
    </row>
    <row r="6" spans="2:34">
      <c r="B6" s="3434" t="s">
        <v>3399</v>
      </c>
      <c r="C6" s="3434">
        <v>383.7</v>
      </c>
      <c r="D6" s="3435">
        <v>5.8000000000000003E-2</v>
      </c>
      <c r="E6" s="3173">
        <f t="shared" ref="E6:E23" si="2">(C6-C5)/C5</f>
        <v>1.4810896588204088E-2</v>
      </c>
      <c r="F6" s="3172">
        <f>G6-G5</f>
        <v>53.309999999999945</v>
      </c>
      <c r="G6" s="3172">
        <f>ROUND(9053859/10000,2)</f>
        <v>905.39</v>
      </c>
      <c r="H6" s="3171">
        <v>1.2E-2</v>
      </c>
      <c r="I6" s="3172">
        <f>AVERAGE(C4:C7)</f>
        <v>382.15000000000003</v>
      </c>
      <c r="K6" s="3434" t="s">
        <v>3399</v>
      </c>
      <c r="L6" s="3434">
        <v>371</v>
      </c>
      <c r="M6" s="3435">
        <v>4.9000000000000002E-2</v>
      </c>
      <c r="N6" s="3173">
        <f t="shared" ref="N6:N23" si="3">(L6-L5)/L5</f>
        <v>-8.0213903743315516E-3</v>
      </c>
      <c r="O6" s="3172">
        <f t="shared" ref="O6:O23" si="4">P6-P5</f>
        <v>134000</v>
      </c>
      <c r="P6" s="3172">
        <v>7242400</v>
      </c>
      <c r="Q6" s="3172">
        <f t="shared" si="0"/>
        <v>724.24</v>
      </c>
      <c r="R6" s="3173">
        <f t="shared" ref="R6:R23" si="5">(L6-L5)/L5</f>
        <v>-8.0213903743315516E-3</v>
      </c>
      <c r="U6" s="3434" t="s">
        <v>3399</v>
      </c>
      <c r="V6" s="3434">
        <v>337.8</v>
      </c>
      <c r="W6" s="3435">
        <v>4.9000000000000002E-2</v>
      </c>
      <c r="X6" s="3173">
        <f t="shared" ref="X6:X31" si="6">(V6-V5)/V5</f>
        <v>0</v>
      </c>
      <c r="Y6" s="3172">
        <f t="shared" ref="Y6:Y23" si="7">Z6-Z5</f>
        <v>220000</v>
      </c>
      <c r="Z6" s="3172">
        <v>9760000</v>
      </c>
      <c r="AA6" s="3172">
        <f t="shared" si="1"/>
        <v>976</v>
      </c>
      <c r="AB6" s="3173">
        <f t="shared" ref="AB6:AB22" si="8">(V6-V5)/V5</f>
        <v>0</v>
      </c>
    </row>
    <row r="7" spans="2:34">
      <c r="B7" s="3434" t="s">
        <v>3400</v>
      </c>
      <c r="C7" s="3434">
        <v>387.2</v>
      </c>
      <c r="D7" s="3435">
        <v>6.6000000000000003E-2</v>
      </c>
      <c r="E7" s="3173">
        <f t="shared" si="2"/>
        <v>9.1217096690122488E-3</v>
      </c>
      <c r="F7" s="3172">
        <f t="shared" ref="F7:F24" si="9">G7-G6</f>
        <v>24.82000000000005</v>
      </c>
      <c r="G7" s="3172">
        <f>ROUND(9302079/10000,2)</f>
        <v>930.21</v>
      </c>
      <c r="H7" s="3171">
        <v>1.4E-2</v>
      </c>
      <c r="I7" s="3172">
        <f>G7</f>
        <v>930.21</v>
      </c>
      <c r="K7" s="3434" t="s">
        <v>3400</v>
      </c>
      <c r="L7" s="3434">
        <v>373</v>
      </c>
      <c r="M7" s="3435">
        <v>3.9E-2</v>
      </c>
      <c r="N7" s="3173">
        <f t="shared" si="3"/>
        <v>5.3908355795148251E-3</v>
      </c>
      <c r="O7" s="3172">
        <f t="shared" si="4"/>
        <v>115500</v>
      </c>
      <c r="P7" s="3172">
        <v>7357900</v>
      </c>
      <c r="Q7" s="3172">
        <f t="shared" si="0"/>
        <v>735.79</v>
      </c>
      <c r="R7" s="3173">
        <f t="shared" si="5"/>
        <v>5.3908355795148251E-3</v>
      </c>
      <c r="U7" s="3434" t="s">
        <v>3400</v>
      </c>
      <c r="V7" s="3434">
        <v>336.9</v>
      </c>
      <c r="W7" s="3435">
        <v>5.6000000000000001E-2</v>
      </c>
      <c r="X7" s="3173">
        <f t="shared" si="6"/>
        <v>-2.6642984014210599E-3</v>
      </c>
      <c r="Y7" s="3172">
        <f t="shared" si="7"/>
        <v>160000</v>
      </c>
      <c r="Z7" s="3172">
        <v>9920000</v>
      </c>
      <c r="AA7" s="3172">
        <f t="shared" si="1"/>
        <v>992</v>
      </c>
      <c r="AB7" s="3173">
        <f t="shared" si="8"/>
        <v>-2.6642984014210599E-3</v>
      </c>
    </row>
    <row r="8" spans="2:34">
      <c r="B8" s="3434" t="s">
        <v>3401</v>
      </c>
      <c r="C8" s="3434">
        <v>388.4</v>
      </c>
      <c r="D8" s="3435">
        <v>6.6000000000000003E-2</v>
      </c>
      <c r="E8" s="3173">
        <f t="shared" si="2"/>
        <v>3.0991735537189789E-3</v>
      </c>
      <c r="F8" s="3172">
        <f t="shared" si="9"/>
        <v>15.789999999999964</v>
      </c>
      <c r="G8" s="3172">
        <f>118+828</f>
        <v>946</v>
      </c>
      <c r="H8" s="3171">
        <v>1.6E-2</v>
      </c>
      <c r="I8" s="3172"/>
      <c r="K8" s="3434" t="s">
        <v>3401</v>
      </c>
      <c r="L8" s="3434">
        <v>371</v>
      </c>
      <c r="M8" s="3435">
        <v>4.5999999999999999E-2</v>
      </c>
      <c r="N8" s="3173">
        <f t="shared" si="3"/>
        <v>-5.3619302949061663E-3</v>
      </c>
      <c r="O8" s="3172">
        <f t="shared" si="4"/>
        <v>122300</v>
      </c>
      <c r="P8" s="3172">
        <v>7480200</v>
      </c>
      <c r="Q8" s="3172">
        <f t="shared" si="0"/>
        <v>748.02</v>
      </c>
      <c r="R8" s="3173">
        <f t="shared" si="5"/>
        <v>-5.3619302949061663E-3</v>
      </c>
      <c r="U8" s="3434" t="s">
        <v>3401</v>
      </c>
      <c r="V8" s="3434">
        <v>335.1</v>
      </c>
      <c r="W8" s="3435">
        <v>6.0999999999999999E-2</v>
      </c>
      <c r="X8" s="3173">
        <f t="shared" si="6"/>
        <v>-5.3428317008012904E-3</v>
      </c>
      <c r="Y8" s="3172">
        <f t="shared" si="7"/>
        <v>160000</v>
      </c>
      <c r="Z8" s="3172">
        <v>10080000</v>
      </c>
      <c r="AA8" s="3172">
        <f t="shared" si="1"/>
        <v>1008</v>
      </c>
      <c r="AB8" s="3173">
        <f t="shared" si="8"/>
        <v>-5.3428317008012904E-3</v>
      </c>
    </row>
    <row r="9" spans="2:34">
      <c r="B9" s="3434" t="s">
        <v>3402</v>
      </c>
      <c r="C9" s="3434">
        <v>392.1</v>
      </c>
      <c r="D9" s="3435">
        <v>7.1999999999999995E-2</v>
      </c>
      <c r="E9" s="3173">
        <f t="shared" si="2"/>
        <v>9.5262615859939385E-3</v>
      </c>
      <c r="F9" s="3172">
        <f t="shared" si="9"/>
        <v>21.059999999999945</v>
      </c>
      <c r="G9" s="3172">
        <v>967.06</v>
      </c>
      <c r="H9" s="3171">
        <v>0.02</v>
      </c>
      <c r="I9" s="3173">
        <f>AVERAGE(D8:D11)</f>
        <v>6.9500000000000006E-2</v>
      </c>
      <c r="K9" s="3434" t="s">
        <v>3402</v>
      </c>
      <c r="L9" s="3434">
        <v>374</v>
      </c>
      <c r="M9" s="3435">
        <v>6.3E-2</v>
      </c>
      <c r="N9" s="3173">
        <f t="shared" si="3"/>
        <v>8.0862533692722376E-3</v>
      </c>
      <c r="O9" s="3172">
        <f t="shared" si="4"/>
        <v>267800</v>
      </c>
      <c r="P9" s="3172">
        <v>7748000</v>
      </c>
      <c r="Q9" s="3172">
        <f t="shared" si="0"/>
        <v>774.8</v>
      </c>
      <c r="R9" s="3173">
        <f t="shared" si="5"/>
        <v>8.0862533692722376E-3</v>
      </c>
      <c r="U9" s="3434" t="s">
        <v>3402</v>
      </c>
      <c r="V9" s="3434">
        <v>338.1</v>
      </c>
      <c r="W9" s="3435">
        <v>6.5000000000000002E-2</v>
      </c>
      <c r="X9" s="3173">
        <f t="shared" si="6"/>
        <v>8.9525514771709933E-3</v>
      </c>
      <c r="Y9" s="3172">
        <f t="shared" si="7"/>
        <v>120000</v>
      </c>
      <c r="Z9" s="3172">
        <v>10200000</v>
      </c>
      <c r="AA9" s="3172">
        <f t="shared" si="1"/>
        <v>1020</v>
      </c>
      <c r="AB9" s="3173">
        <f t="shared" si="8"/>
        <v>8.9525514771709933E-3</v>
      </c>
    </row>
    <row r="10" spans="2:34">
      <c r="B10" s="3434" t="s">
        <v>3403</v>
      </c>
      <c r="C10" s="3434">
        <v>391.3</v>
      </c>
      <c r="D10" s="3435">
        <v>6.3E-2</v>
      </c>
      <c r="E10" s="3173">
        <f t="shared" si="2"/>
        <v>-2.0402958428972491E-3</v>
      </c>
      <c r="F10" s="3172">
        <f t="shared" si="9"/>
        <v>0</v>
      </c>
      <c r="G10" s="3172">
        <v>967.06</v>
      </c>
      <c r="H10" s="3171">
        <v>1.9E-2</v>
      </c>
      <c r="I10" s="3172">
        <f>AVERAGE(C8:C11)</f>
        <v>391.875</v>
      </c>
      <c r="K10" s="3434" t="s">
        <v>3403</v>
      </c>
      <c r="L10" s="3434">
        <v>377</v>
      </c>
      <c r="M10" s="3435">
        <v>5.6000000000000001E-2</v>
      </c>
      <c r="N10" s="3173">
        <f t="shared" si="3"/>
        <v>8.0213903743315516E-3</v>
      </c>
      <c r="O10" s="3172">
        <f t="shared" si="4"/>
        <v>0</v>
      </c>
      <c r="P10" s="3172">
        <v>7748000</v>
      </c>
      <c r="Q10" s="3172">
        <f t="shared" si="0"/>
        <v>774.8</v>
      </c>
      <c r="R10" s="3173">
        <f t="shared" si="5"/>
        <v>8.0213903743315516E-3</v>
      </c>
      <c r="U10" s="3434" t="s">
        <v>3403</v>
      </c>
      <c r="V10" s="3434">
        <v>338.2</v>
      </c>
      <c r="W10" s="3435">
        <v>5.5E-2</v>
      </c>
      <c r="X10" s="3173">
        <f t="shared" si="6"/>
        <v>2.9577048210578492E-4</v>
      </c>
      <c r="Y10" s="3172">
        <f t="shared" si="7"/>
        <v>100000</v>
      </c>
      <c r="Z10" s="3172">
        <v>10300000</v>
      </c>
      <c r="AA10" s="3172">
        <f t="shared" si="1"/>
        <v>1030</v>
      </c>
      <c r="AB10" s="3173">
        <f t="shared" si="8"/>
        <v>2.9577048210578492E-4</v>
      </c>
    </row>
    <row r="11" spans="2:34">
      <c r="B11" s="3434" t="s">
        <v>3404</v>
      </c>
      <c r="C11" s="3434">
        <v>395.7</v>
      </c>
      <c r="D11" s="3435">
        <v>7.6999999999999999E-2</v>
      </c>
      <c r="E11" s="3173">
        <f t="shared" si="2"/>
        <v>1.124456938410421E-2</v>
      </c>
      <c r="F11" s="3172">
        <f t="shared" si="9"/>
        <v>38.480000000000018</v>
      </c>
      <c r="G11" s="3172">
        <v>1005.54</v>
      </c>
      <c r="H11" s="3171">
        <v>1.9E-2</v>
      </c>
      <c r="I11" s="3172">
        <f>G11</f>
        <v>1005.54</v>
      </c>
      <c r="J11" s="3172">
        <f>I11-I7</f>
        <v>75.329999999999927</v>
      </c>
      <c r="K11" s="3434" t="s">
        <v>3404</v>
      </c>
      <c r="L11" s="3434">
        <v>374</v>
      </c>
      <c r="M11" s="3435">
        <v>7.0999999999999994E-2</v>
      </c>
      <c r="N11" s="3173">
        <f t="shared" si="3"/>
        <v>-7.9575596816976128E-3</v>
      </c>
      <c r="O11" s="3172">
        <f t="shared" si="4"/>
        <v>430900</v>
      </c>
      <c r="P11" s="3172">
        <v>8178900</v>
      </c>
      <c r="Q11" s="3172">
        <f t="shared" si="0"/>
        <v>817.89</v>
      </c>
      <c r="R11" s="3173">
        <f t="shared" si="5"/>
        <v>-7.9575596816976128E-3</v>
      </c>
      <c r="U11" s="3434" t="s">
        <v>3404</v>
      </c>
      <c r="V11" s="3434">
        <v>340</v>
      </c>
      <c r="W11" s="3435">
        <v>7.5999999999999998E-2</v>
      </c>
      <c r="X11" s="3173">
        <f t="shared" si="6"/>
        <v>5.3222945002957172E-3</v>
      </c>
      <c r="Y11" s="3172">
        <f t="shared" si="7"/>
        <v>440000</v>
      </c>
      <c r="Z11" s="3172">
        <v>10740000</v>
      </c>
      <c r="AA11" s="3172">
        <f t="shared" si="1"/>
        <v>1074</v>
      </c>
      <c r="AB11" s="3173">
        <f t="shared" si="8"/>
        <v>5.3222945002957172E-3</v>
      </c>
    </row>
    <row r="12" spans="2:34">
      <c r="B12" s="3434" t="s">
        <v>3405</v>
      </c>
      <c r="C12" s="3434">
        <v>391.3</v>
      </c>
      <c r="D12" s="3435">
        <v>8.4000000000000005E-2</v>
      </c>
      <c r="E12" s="3173">
        <f t="shared" si="2"/>
        <v>-1.1119535001263526E-2</v>
      </c>
      <c r="F12" s="3172">
        <f t="shared" si="9"/>
        <v>38.069999999999936</v>
      </c>
      <c r="G12" s="3172">
        <v>1043.6099999999999</v>
      </c>
      <c r="H12" s="3171">
        <v>2.3E-2</v>
      </c>
      <c r="I12" s="3172"/>
      <c r="K12" s="3434" t="s">
        <v>3405</v>
      </c>
      <c r="L12" s="3434">
        <v>370</v>
      </c>
      <c r="M12" s="3435">
        <v>4.2999999999999997E-2</v>
      </c>
      <c r="N12" s="3173">
        <f t="shared" si="3"/>
        <v>-1.06951871657754E-2</v>
      </c>
      <c r="O12" s="3172">
        <f t="shared" si="4"/>
        <v>0</v>
      </c>
      <c r="P12" s="3172">
        <v>8178900</v>
      </c>
      <c r="Q12" s="3172">
        <f t="shared" si="0"/>
        <v>817.89</v>
      </c>
      <c r="R12" s="3173">
        <f t="shared" si="5"/>
        <v>-1.06951871657754E-2</v>
      </c>
      <c r="U12" s="3434" t="s">
        <v>3405</v>
      </c>
      <c r="V12" s="3434">
        <v>345.3</v>
      </c>
      <c r="W12" s="3435">
        <v>6.8000000000000005E-2</v>
      </c>
      <c r="X12" s="3173">
        <f t="shared" si="6"/>
        <v>1.558823529411768E-2</v>
      </c>
      <c r="Y12" s="3172">
        <f t="shared" si="7"/>
        <v>-90000</v>
      </c>
      <c r="Z12" s="3172">
        <v>10650000</v>
      </c>
      <c r="AA12" s="3172">
        <f t="shared" si="1"/>
        <v>1065</v>
      </c>
      <c r="AB12" s="3173">
        <f t="shared" si="8"/>
        <v>1.558823529411768E-2</v>
      </c>
      <c r="AD12" s="3460" t="s">
        <v>2748</v>
      </c>
      <c r="AE12" s="3460" t="s">
        <v>3406</v>
      </c>
      <c r="AF12" s="3460" t="s">
        <v>3407</v>
      </c>
      <c r="AG12" s="3460"/>
      <c r="AH12" s="3460" t="s">
        <v>3408</v>
      </c>
    </row>
    <row r="13" spans="2:34">
      <c r="B13" s="3434" t="s">
        <v>3409</v>
      </c>
      <c r="C13" s="3434">
        <v>394.4</v>
      </c>
      <c r="D13" s="3435">
        <v>7.0999999999999994E-2</v>
      </c>
      <c r="E13" s="3173">
        <f t="shared" si="2"/>
        <v>7.9223102478915564E-3</v>
      </c>
      <c r="F13" s="3172">
        <f t="shared" si="9"/>
        <v>0</v>
      </c>
      <c r="G13" s="3172">
        <v>1043.6099999999999</v>
      </c>
      <c r="H13" s="3171">
        <v>2.3E-2</v>
      </c>
      <c r="I13" s="3173">
        <f>AVERAGE(D12:D15)</f>
        <v>7.8750000000000001E-2</v>
      </c>
      <c r="K13" s="3434" t="s">
        <v>3409</v>
      </c>
      <c r="L13" s="3434">
        <v>384</v>
      </c>
      <c r="M13" s="3435">
        <v>3.3000000000000002E-2</v>
      </c>
      <c r="N13" s="3173">
        <f t="shared" si="3"/>
        <v>3.783783783783784E-2</v>
      </c>
      <c r="O13" s="3172">
        <f t="shared" si="4"/>
        <v>80000</v>
      </c>
      <c r="P13" s="3172">
        <v>8258900</v>
      </c>
      <c r="Q13" s="3172">
        <f t="shared" si="0"/>
        <v>825.89</v>
      </c>
      <c r="R13" s="3173">
        <f t="shared" si="5"/>
        <v>3.783783783783784E-2</v>
      </c>
      <c r="U13" s="3434" t="s">
        <v>3409</v>
      </c>
      <c r="V13" s="3434">
        <v>355</v>
      </c>
      <c r="W13" s="3435">
        <v>5.8000000000000003E-2</v>
      </c>
      <c r="X13" s="3173">
        <f t="shared" si="6"/>
        <v>2.8091514624963766E-2</v>
      </c>
      <c r="Y13" s="3172">
        <f>Z13-Z12</f>
        <v>70000</v>
      </c>
      <c r="Z13" s="3172">
        <v>10720000</v>
      </c>
      <c r="AA13" s="3172">
        <f t="shared" si="1"/>
        <v>1072</v>
      </c>
      <c r="AB13" s="3173">
        <f t="shared" si="8"/>
        <v>2.8091514624963766E-2</v>
      </c>
      <c r="AD13" s="3461">
        <v>1</v>
      </c>
      <c r="AE13" s="3462" t="s">
        <v>3410</v>
      </c>
      <c r="AF13" s="3461">
        <v>238</v>
      </c>
      <c r="AG13" s="3461">
        <f>ROUND(AF13/30,2)</f>
        <v>7.93</v>
      </c>
      <c r="AH13" s="3463">
        <v>6.7100000000000007E-2</v>
      </c>
    </row>
    <row r="14" spans="2:34">
      <c r="B14" s="3434" t="s">
        <v>3411</v>
      </c>
      <c r="C14" s="3434">
        <v>403</v>
      </c>
      <c r="D14" s="3435">
        <v>7.9000000000000001E-2</v>
      </c>
      <c r="E14" s="3173">
        <f>(C14-C13)/C13</f>
        <v>2.1805273833671458E-2</v>
      </c>
      <c r="F14" s="3172">
        <f t="shared" si="9"/>
        <v>4.9900000000000091</v>
      </c>
      <c r="G14" s="3172">
        <f>117.5+931.1</f>
        <v>1048.5999999999999</v>
      </c>
      <c r="H14" s="3171">
        <v>2.5000000000000001E-2</v>
      </c>
      <c r="I14" s="3172">
        <f>AVERAGE(C12:C15)</f>
        <v>397.20000000000005</v>
      </c>
      <c r="K14" s="3434" t="s">
        <v>3411</v>
      </c>
      <c r="L14" s="3434">
        <v>390</v>
      </c>
      <c r="M14" s="3435">
        <v>3.2000000000000001E-2</v>
      </c>
      <c r="N14" s="3173">
        <f t="shared" si="3"/>
        <v>1.5625E-2</v>
      </c>
      <c r="O14" s="3172">
        <f t="shared" si="4"/>
        <v>45700</v>
      </c>
      <c r="P14" s="3172">
        <v>8304600</v>
      </c>
      <c r="Q14" s="3172">
        <f t="shared" si="0"/>
        <v>830.46</v>
      </c>
      <c r="R14" s="3173">
        <f t="shared" si="5"/>
        <v>1.5625E-2</v>
      </c>
      <c r="U14" s="3434" t="s">
        <v>3411</v>
      </c>
      <c r="V14" s="3434">
        <v>366.9</v>
      </c>
      <c r="W14" s="3435">
        <v>6.5000000000000002E-2</v>
      </c>
      <c r="X14" s="3173">
        <f t="shared" si="6"/>
        <v>3.3521126760563319E-2</v>
      </c>
      <c r="Y14" s="3172">
        <f t="shared" si="7"/>
        <v>145000</v>
      </c>
      <c r="Z14" s="3172">
        <v>10865000</v>
      </c>
      <c r="AA14" s="3172">
        <f t="shared" si="1"/>
        <v>1086.5</v>
      </c>
      <c r="AB14" s="3173">
        <f t="shared" si="8"/>
        <v>3.3521126760563319E-2</v>
      </c>
      <c r="AD14" s="3461">
        <v>2</v>
      </c>
      <c r="AE14" s="3462" t="s">
        <v>3412</v>
      </c>
      <c r="AF14" s="3461">
        <v>146</v>
      </c>
      <c r="AG14" s="3461">
        <f t="shared" ref="AG14:AG22" si="10">ROUND(AF14/30,2)</f>
        <v>4.87</v>
      </c>
      <c r="AH14" s="3463">
        <v>5.3E-3</v>
      </c>
    </row>
    <row r="15" spans="2:34">
      <c r="B15" s="3434" t="s">
        <v>3413</v>
      </c>
      <c r="C15" s="3434">
        <v>400.1</v>
      </c>
      <c r="D15" s="3435">
        <v>8.1000000000000003E-2</v>
      </c>
      <c r="E15" s="3173">
        <f t="shared" si="2"/>
        <v>-7.1960297766748811E-3</v>
      </c>
      <c r="F15" s="3172">
        <f t="shared" si="9"/>
        <v>9.4000000000000909</v>
      </c>
      <c r="G15" s="3172">
        <v>1058</v>
      </c>
      <c r="H15" s="3171"/>
      <c r="I15" s="3172">
        <f>G15</f>
        <v>1058</v>
      </c>
      <c r="J15" s="3172">
        <f>I15-I11</f>
        <v>52.460000000000036</v>
      </c>
      <c r="K15" s="3434" t="s">
        <v>3413</v>
      </c>
      <c r="L15" s="3434">
        <v>386</v>
      </c>
      <c r="M15" s="3435">
        <v>4.9000000000000002E-2</v>
      </c>
      <c r="N15" s="3173">
        <f t="shared" si="3"/>
        <v>-1.0256410256410256E-2</v>
      </c>
      <c r="O15" s="3172">
        <f t="shared" si="4"/>
        <v>251300</v>
      </c>
      <c r="P15" s="3172">
        <v>8555900</v>
      </c>
      <c r="Q15" s="3172">
        <f t="shared" si="0"/>
        <v>855.59</v>
      </c>
      <c r="R15" s="3173">
        <f t="shared" si="5"/>
        <v>-1.0256410256410256E-2</v>
      </c>
      <c r="U15" s="3434" t="s">
        <v>3413</v>
      </c>
      <c r="V15" s="3434">
        <v>369</v>
      </c>
      <c r="W15" s="3435">
        <v>7.0000000000000007E-2</v>
      </c>
      <c r="X15" s="3173">
        <f t="shared" si="6"/>
        <v>5.7236304170074212E-3</v>
      </c>
      <c r="Y15" s="3172">
        <f t="shared" si="7"/>
        <v>157000</v>
      </c>
      <c r="Z15" s="3172">
        <v>11022000</v>
      </c>
      <c r="AA15" s="3172">
        <f t="shared" si="1"/>
        <v>1102.2</v>
      </c>
      <c r="AB15" s="3173">
        <f t="shared" si="8"/>
        <v>5.7236304170074212E-3</v>
      </c>
      <c r="AD15" s="3461">
        <v>3</v>
      </c>
      <c r="AE15" s="3462" t="s">
        <v>3414</v>
      </c>
      <c r="AF15" s="3461">
        <v>180</v>
      </c>
      <c r="AG15" s="3461">
        <f t="shared" si="10"/>
        <v>6</v>
      </c>
      <c r="AH15" s="3463">
        <v>2.63E-2</v>
      </c>
    </row>
    <row r="16" spans="2:34">
      <c r="B16" s="3434" t="s">
        <v>3415</v>
      </c>
      <c r="C16" s="3434">
        <v>399.75</v>
      </c>
      <c r="D16" s="3435">
        <v>7.9200000000000007E-2</v>
      </c>
      <c r="E16" s="3173">
        <f t="shared" si="2"/>
        <v>-8.7478130467388837E-4</v>
      </c>
      <c r="F16" s="3172">
        <f t="shared" si="9"/>
        <v>0</v>
      </c>
      <c r="G16" s="3172">
        <v>1058</v>
      </c>
      <c r="H16" s="3171"/>
      <c r="I16" s="3172"/>
      <c r="K16" s="3434" t="s">
        <v>3415</v>
      </c>
      <c r="L16" s="3434">
        <f>ROUND(L17*(1+1.2%),0)</f>
        <v>382</v>
      </c>
      <c r="M16" s="3435">
        <v>5.8000000000000003E-2</v>
      </c>
      <c r="N16" s="3173">
        <f t="shared" si="3"/>
        <v>-1.0362694300518135E-2</v>
      </c>
      <c r="O16" s="3172">
        <f t="shared" si="4"/>
        <v>125600</v>
      </c>
      <c r="P16" s="3172">
        <f>P17-143000</f>
        <v>8681500</v>
      </c>
      <c r="Q16" s="3172">
        <f t="shared" si="0"/>
        <v>868.15</v>
      </c>
      <c r="R16" s="3173">
        <f t="shared" si="5"/>
        <v>-1.0362694300518135E-2</v>
      </c>
      <c r="U16" s="3434" t="s">
        <v>3415</v>
      </c>
      <c r="V16" s="3434">
        <v>368</v>
      </c>
      <c r="W16" s="3435">
        <v>6.9000000000000006E-2</v>
      </c>
      <c r="X16" s="3173">
        <f t="shared" si="6"/>
        <v>-2.7100271002710027E-3</v>
      </c>
      <c r="Y16" s="3172">
        <f t="shared" si="7"/>
        <v>0</v>
      </c>
      <c r="Z16" s="3172">
        <v>11022000</v>
      </c>
      <c r="AA16" s="3172">
        <f t="shared" si="1"/>
        <v>1102.2</v>
      </c>
      <c r="AB16" s="3173">
        <f t="shared" si="8"/>
        <v>-2.7100271002710027E-3</v>
      </c>
      <c r="AD16" s="3461">
        <v>4</v>
      </c>
      <c r="AE16" s="3462" t="s">
        <v>3416</v>
      </c>
      <c r="AF16" s="3461">
        <v>147</v>
      </c>
      <c r="AG16" s="3461">
        <f t="shared" si="10"/>
        <v>4.9000000000000004</v>
      </c>
      <c r="AH16" s="3463">
        <v>6.4799999999999996E-2</v>
      </c>
    </row>
    <row r="17" spans="2:34">
      <c r="B17" s="3434" t="s">
        <v>3417</v>
      </c>
      <c r="C17" s="3434">
        <v>396.19</v>
      </c>
      <c r="D17" s="3435">
        <v>8.8999999999999996E-2</v>
      </c>
      <c r="E17" s="3173">
        <f t="shared" si="2"/>
        <v>-8.9055659787367156E-3</v>
      </c>
      <c r="F17" s="3172">
        <f t="shared" si="9"/>
        <v>-23.319999999999936</v>
      </c>
      <c r="G17" s="3172">
        <v>1034.68</v>
      </c>
      <c r="H17" s="3171">
        <v>1.9E-2</v>
      </c>
      <c r="I17" s="3173">
        <f>AVERAGE(D16:D19)</f>
        <v>0.10117500000000001</v>
      </c>
      <c r="K17" s="3434" t="s">
        <v>3417</v>
      </c>
      <c r="L17" s="3434">
        <v>377</v>
      </c>
      <c r="M17" s="3435">
        <v>6.9000000000000006E-2</v>
      </c>
      <c r="N17" s="3173">
        <f t="shared" si="3"/>
        <v>-1.3089005235602094E-2</v>
      </c>
      <c r="O17" s="3172">
        <f t="shared" si="4"/>
        <v>143000</v>
      </c>
      <c r="P17" s="3172">
        <v>8824500</v>
      </c>
      <c r="Q17" s="3172">
        <f t="shared" si="0"/>
        <v>882.45</v>
      </c>
      <c r="R17" s="3173">
        <f t="shared" si="5"/>
        <v>-1.3089005235602094E-2</v>
      </c>
      <c r="U17" s="3434" t="s">
        <v>3417</v>
      </c>
      <c r="V17" s="3434">
        <v>368.3</v>
      </c>
      <c r="W17" s="3435">
        <v>8.5999999999999993E-2</v>
      </c>
      <c r="X17" s="3173">
        <f t="shared" si="6"/>
        <v>8.1521739130437868E-4</v>
      </c>
      <c r="Y17" s="3172">
        <f t="shared" si="7"/>
        <v>284000</v>
      </c>
      <c r="Z17" s="3172">
        <v>11306000</v>
      </c>
      <c r="AA17" s="3172">
        <f t="shared" si="1"/>
        <v>1130.5999999999999</v>
      </c>
      <c r="AB17" s="3173">
        <f t="shared" si="8"/>
        <v>8.1521739130437868E-4</v>
      </c>
      <c r="AD17" s="3461">
        <v>5</v>
      </c>
      <c r="AE17" s="3462" t="s">
        <v>3418</v>
      </c>
      <c r="AF17" s="3461">
        <v>146</v>
      </c>
      <c r="AG17" s="3461">
        <f t="shared" si="10"/>
        <v>4.87</v>
      </c>
      <c r="AH17" s="3464">
        <v>-2.9700000000000001E-2</v>
      </c>
    </row>
    <row r="18" spans="2:34">
      <c r="B18" s="3434" t="s">
        <v>3419</v>
      </c>
      <c r="C18" s="3434">
        <v>388.16</v>
      </c>
      <c r="D18" s="3435">
        <v>0.10150000000000001</v>
      </c>
      <c r="E18" s="3173">
        <f t="shared" si="2"/>
        <v>-2.0268053206794652E-2</v>
      </c>
      <c r="F18" s="3172">
        <f t="shared" si="9"/>
        <v>20.700000000000045</v>
      </c>
      <c r="G18" s="3172">
        <v>1055.3800000000001</v>
      </c>
      <c r="H18" s="3171">
        <v>2.1000000000000001E-2</v>
      </c>
      <c r="I18" s="3172">
        <f>AVERAGE(C16:C19)</f>
        <v>391.625</v>
      </c>
      <c r="K18" s="3434" t="s">
        <v>3419</v>
      </c>
      <c r="L18" s="3434">
        <v>374</v>
      </c>
      <c r="M18" s="3435">
        <v>7.0999999999999994E-2</v>
      </c>
      <c r="N18" s="3173">
        <f t="shared" si="3"/>
        <v>-7.9575596816976128E-3</v>
      </c>
      <c r="O18" s="3172">
        <f t="shared" si="4"/>
        <v>0</v>
      </c>
      <c r="P18" s="3172">
        <v>8824500</v>
      </c>
      <c r="Q18" s="3172">
        <f t="shared" si="0"/>
        <v>882.45</v>
      </c>
      <c r="R18" s="3173">
        <f t="shared" si="5"/>
        <v>-7.9575596816976128E-3</v>
      </c>
      <c r="U18" s="3434" t="s">
        <v>3419</v>
      </c>
      <c r="V18" s="3434">
        <v>367.6</v>
      </c>
      <c r="W18" s="3435">
        <v>9.1999999999999998E-2</v>
      </c>
      <c r="X18" s="3173">
        <f t="shared" si="6"/>
        <v>-1.9006244909041232E-3</v>
      </c>
      <c r="Y18" s="3172">
        <f t="shared" si="7"/>
        <v>180000</v>
      </c>
      <c r="Z18" s="3172">
        <v>11486000</v>
      </c>
      <c r="AA18" s="3172">
        <f t="shared" si="1"/>
        <v>1148.5999999999999</v>
      </c>
      <c r="AB18" s="3173">
        <f t="shared" si="8"/>
        <v>-1.9006244909041232E-3</v>
      </c>
      <c r="AD18" s="3461">
        <v>6</v>
      </c>
      <c r="AE18" s="3462" t="s">
        <v>3420</v>
      </c>
      <c r="AF18" s="3461">
        <v>225</v>
      </c>
      <c r="AG18" s="3461">
        <f t="shared" si="10"/>
        <v>7.5</v>
      </c>
      <c r="AH18" s="3463">
        <v>6.2399999999999997E-2</v>
      </c>
    </row>
    <row r="19" spans="2:34">
      <c r="B19" s="3434" t="s">
        <v>3421</v>
      </c>
      <c r="C19" s="3434">
        <v>382.4</v>
      </c>
      <c r="D19" s="3435">
        <v>0.13500000000000001</v>
      </c>
      <c r="E19" s="3173">
        <f t="shared" si="2"/>
        <v>-1.4839241549876462E-2</v>
      </c>
      <c r="F19" s="3172">
        <f t="shared" si="9"/>
        <v>58.799999999999955</v>
      </c>
      <c r="G19" s="3172">
        <v>1114.18</v>
      </c>
      <c r="H19" s="3171">
        <v>2.3E-2</v>
      </c>
      <c r="I19" s="3172">
        <f>G19</f>
        <v>1114.18</v>
      </c>
      <c r="J19" s="3172">
        <f>I19-I15</f>
        <v>56.180000000000064</v>
      </c>
      <c r="K19" s="3434" t="s">
        <v>3421</v>
      </c>
      <c r="L19" s="3434">
        <v>379</v>
      </c>
      <c r="M19" s="3435">
        <v>0.113</v>
      </c>
      <c r="N19" s="3173">
        <f t="shared" si="3"/>
        <v>1.3368983957219251E-2</v>
      </c>
      <c r="O19" s="3172">
        <f t="shared" si="4"/>
        <v>800700</v>
      </c>
      <c r="P19" s="3172">
        <v>9625200</v>
      </c>
      <c r="Q19" s="3172">
        <f t="shared" si="0"/>
        <v>962.52</v>
      </c>
      <c r="R19" s="3173">
        <f t="shared" si="5"/>
        <v>1.3368983957219251E-2</v>
      </c>
      <c r="U19" s="3434" t="s">
        <v>3421</v>
      </c>
      <c r="V19" s="3434">
        <v>364.9</v>
      </c>
      <c r="W19" s="3435">
        <v>0.127</v>
      </c>
      <c r="X19" s="3173">
        <f t="shared" si="6"/>
        <v>-7.344940152339623E-3</v>
      </c>
      <c r="Y19" s="3172">
        <f t="shared" si="7"/>
        <v>933000</v>
      </c>
      <c r="Z19" s="3172">
        <v>12419000</v>
      </c>
      <c r="AA19" s="3172">
        <f t="shared" si="1"/>
        <v>1241.9000000000001</v>
      </c>
      <c r="AB19" s="3173">
        <f t="shared" si="8"/>
        <v>-7.344940152339623E-3</v>
      </c>
      <c r="AD19" s="3461">
        <v>7</v>
      </c>
      <c r="AE19" s="3462" t="s">
        <v>3422</v>
      </c>
      <c r="AF19" s="3461">
        <v>132</v>
      </c>
      <c r="AG19" s="3461">
        <f t="shared" si="10"/>
        <v>4.4000000000000004</v>
      </c>
      <c r="AH19" s="3463">
        <v>7.0000000000000001E-3</v>
      </c>
    </row>
    <row r="20" spans="2:34">
      <c r="B20" s="3434" t="s">
        <v>3423</v>
      </c>
      <c r="C20" s="3434">
        <v>377.49</v>
      </c>
      <c r="D20" s="3435">
        <v>0.13800000000000001</v>
      </c>
      <c r="E20" s="3173">
        <f t="shared" si="2"/>
        <v>-1.2839958158995734E-2</v>
      </c>
      <c r="F20" s="3172">
        <f t="shared" si="9"/>
        <v>0</v>
      </c>
      <c r="G20" s="3172">
        <v>1114.18</v>
      </c>
      <c r="H20" s="3171">
        <v>3.1E-2</v>
      </c>
      <c r="I20" s="3172"/>
      <c r="K20" s="3434" t="s">
        <v>3423</v>
      </c>
      <c r="L20" s="3434">
        <v>374</v>
      </c>
      <c r="M20" s="3435">
        <v>0.113</v>
      </c>
      <c r="N20" s="3173">
        <f t="shared" si="3"/>
        <v>-1.3192612137203167E-2</v>
      </c>
      <c r="O20" s="3172">
        <f t="shared" si="4"/>
        <v>0</v>
      </c>
      <c r="P20" s="3172">
        <v>9625200</v>
      </c>
      <c r="Q20" s="3172">
        <f t="shared" si="0"/>
        <v>962.52</v>
      </c>
      <c r="R20" s="3173">
        <f t="shared" si="5"/>
        <v>-1.3192612137203167E-2</v>
      </c>
      <c r="U20" s="3434" t="s">
        <v>3423</v>
      </c>
      <c r="V20" s="3434">
        <v>363</v>
      </c>
      <c r="W20" s="3435">
        <v>0.13200000000000001</v>
      </c>
      <c r="X20" s="3173">
        <f t="shared" si="6"/>
        <v>-5.2069060016442245E-3</v>
      </c>
      <c r="Y20" s="3172">
        <f t="shared" si="7"/>
        <v>-41000</v>
      </c>
      <c r="Z20" s="3172">
        <v>12378000</v>
      </c>
      <c r="AA20" s="3172">
        <f t="shared" si="1"/>
        <v>1237.8</v>
      </c>
      <c r="AB20" s="3173">
        <f t="shared" si="8"/>
        <v>-5.2069060016442245E-3</v>
      </c>
      <c r="AD20" s="3461">
        <v>8</v>
      </c>
      <c r="AE20" s="3462" t="s">
        <v>3424</v>
      </c>
      <c r="AF20" s="3461">
        <v>161</v>
      </c>
      <c r="AG20" s="3461">
        <f t="shared" si="10"/>
        <v>5.37</v>
      </c>
      <c r="AH20" s="3463">
        <v>5.7799999999999997E-2</v>
      </c>
    </row>
    <row r="21" spans="2:34">
      <c r="B21" s="3434" t="s">
        <v>3425</v>
      </c>
      <c r="C21" s="3434">
        <v>358.51</v>
      </c>
      <c r="D21" s="3435">
        <v>0.16200000000000001</v>
      </c>
      <c r="E21" s="3173">
        <f t="shared" si="2"/>
        <v>-5.0279477602055728E-2</v>
      </c>
      <c r="F21" s="3172">
        <f t="shared" si="9"/>
        <v>36.240000000000009</v>
      </c>
      <c r="G21" s="3172">
        <v>1150.42</v>
      </c>
      <c r="H21" s="3171">
        <v>2.3E-2</v>
      </c>
      <c r="I21" s="3173">
        <f>AVERAGE(D20:D23)</f>
        <v>0.15900000000000003</v>
      </c>
      <c r="K21" s="3434" t="s">
        <v>3425</v>
      </c>
      <c r="L21" s="3434">
        <v>356</v>
      </c>
      <c r="M21" s="3435">
        <v>0.14000000000000001</v>
      </c>
      <c r="N21" s="3173">
        <f t="shared" si="3"/>
        <v>-4.8128342245989303E-2</v>
      </c>
      <c r="O21" s="3172">
        <f t="shared" si="4"/>
        <v>0</v>
      </c>
      <c r="P21" s="3172">
        <v>9625200</v>
      </c>
      <c r="Q21" s="3172">
        <f t="shared" si="0"/>
        <v>962.52</v>
      </c>
      <c r="R21" s="3173">
        <f t="shared" si="5"/>
        <v>-4.8128342245989303E-2</v>
      </c>
      <c r="U21" s="3434" t="s">
        <v>3425</v>
      </c>
      <c r="V21" s="3434">
        <v>360.5</v>
      </c>
      <c r="W21" s="3435">
        <v>0.13600000000000001</v>
      </c>
      <c r="X21" s="3173">
        <f t="shared" si="6"/>
        <v>-6.8870523415977963E-3</v>
      </c>
      <c r="Y21" s="3172">
        <f t="shared" si="7"/>
        <v>100000</v>
      </c>
      <c r="Z21" s="3172">
        <v>12478000</v>
      </c>
      <c r="AA21" s="3172">
        <f t="shared" si="1"/>
        <v>1247.8</v>
      </c>
      <c r="AB21" s="3173">
        <f t="shared" si="8"/>
        <v>-6.8870523415977963E-3</v>
      </c>
      <c r="AD21" s="3461">
        <v>9</v>
      </c>
      <c r="AE21" s="3462" t="s">
        <v>3426</v>
      </c>
      <c r="AF21" s="3461">
        <v>193</v>
      </c>
      <c r="AG21" s="3461">
        <f t="shared" si="10"/>
        <v>6.43</v>
      </c>
      <c r="AH21" s="3463">
        <v>1.3100000000000001E-2</v>
      </c>
    </row>
    <row r="22" spans="2:34">
      <c r="B22" s="3434" t="s">
        <v>3427</v>
      </c>
      <c r="C22" s="3434">
        <v>348.4</v>
      </c>
      <c r="D22" s="3435">
        <v>0.16600000000000001</v>
      </c>
      <c r="E22" s="3173">
        <f t="shared" si="2"/>
        <v>-2.8200050207804563E-2</v>
      </c>
      <c r="F22" s="3172">
        <f t="shared" si="9"/>
        <v>16.5</v>
      </c>
      <c r="G22" s="3172">
        <v>1166.92</v>
      </c>
      <c r="H22" s="3171">
        <v>1.9E-2</v>
      </c>
      <c r="I22" s="3172">
        <f>AVERAGE(C20:C23)</f>
        <v>355.40000000000003</v>
      </c>
      <c r="K22" s="3434" t="s">
        <v>3427</v>
      </c>
      <c r="L22" s="3434">
        <v>352</v>
      </c>
      <c r="M22" s="3435">
        <v>0.13900000000000001</v>
      </c>
      <c r="N22" s="3173">
        <f t="shared" si="3"/>
        <v>-1.1235955056179775E-2</v>
      </c>
      <c r="O22" s="3172">
        <f t="shared" si="4"/>
        <v>10000</v>
      </c>
      <c r="P22" s="3172">
        <v>9635200</v>
      </c>
      <c r="Q22" s="3172">
        <f t="shared" si="0"/>
        <v>963.52</v>
      </c>
      <c r="R22" s="3173">
        <f t="shared" si="5"/>
        <v>-1.1235955056179775E-2</v>
      </c>
      <c r="U22" s="3434" t="s">
        <v>3427</v>
      </c>
      <c r="V22" s="3434">
        <v>354.8</v>
      </c>
      <c r="W22" s="3435">
        <v>0.15</v>
      </c>
      <c r="X22" s="3173">
        <f t="shared" si="6"/>
        <v>-1.5811373092926458E-2</v>
      </c>
      <c r="Y22" s="3172">
        <f t="shared" si="7"/>
        <v>248000</v>
      </c>
      <c r="Z22" s="3172">
        <v>12726000</v>
      </c>
      <c r="AA22" s="3172">
        <f t="shared" si="1"/>
        <v>1272.5999999999999</v>
      </c>
      <c r="AB22" s="3173">
        <f t="shared" si="8"/>
        <v>-1.5811373092926458E-2</v>
      </c>
      <c r="AD22" s="3461">
        <v>10</v>
      </c>
      <c r="AE22" s="3462" t="s">
        <v>3428</v>
      </c>
      <c r="AF22" s="3461">
        <v>164</v>
      </c>
      <c r="AG22" s="3461">
        <f t="shared" si="10"/>
        <v>5.47</v>
      </c>
      <c r="AH22" s="3463">
        <v>2.75E-2</v>
      </c>
    </row>
    <row r="23" spans="2:34">
      <c r="B23" s="3434" t="s">
        <v>3429</v>
      </c>
      <c r="C23" s="3434">
        <v>337.2</v>
      </c>
      <c r="D23" s="3435">
        <v>0.17</v>
      </c>
      <c r="E23" s="3173">
        <f t="shared" si="2"/>
        <v>-3.2146957520091821E-2</v>
      </c>
      <c r="F23" s="3172">
        <f t="shared" si="9"/>
        <v>31.490000000000009</v>
      </c>
      <c r="G23" s="3172">
        <v>1198.4100000000001</v>
      </c>
      <c r="H23" s="3171"/>
      <c r="I23" s="3172">
        <f>G23</f>
        <v>1198.4100000000001</v>
      </c>
      <c r="J23" s="3172">
        <f>I23-I19</f>
        <v>84.230000000000018</v>
      </c>
      <c r="K23" s="3434" t="s">
        <v>3429</v>
      </c>
      <c r="L23" s="3434">
        <v>342</v>
      </c>
      <c r="M23" s="3435">
        <v>0.154</v>
      </c>
      <c r="N23" s="3173">
        <f t="shared" si="3"/>
        <v>-2.8409090909090908E-2</v>
      </c>
      <c r="O23" s="3172">
        <f t="shared" si="4"/>
        <v>540700</v>
      </c>
      <c r="P23" s="3172">
        <v>10175900</v>
      </c>
      <c r="Q23" s="3172">
        <f t="shared" si="0"/>
        <v>1017.59</v>
      </c>
      <c r="R23" s="3173">
        <f t="shared" si="5"/>
        <v>-2.8409090909090908E-2</v>
      </c>
      <c r="U23" s="3434" t="s">
        <v>3429</v>
      </c>
      <c r="V23" s="3434">
        <v>349.2</v>
      </c>
      <c r="W23" s="3435">
        <v>0.158</v>
      </c>
      <c r="X23" s="3173">
        <f t="shared" si="6"/>
        <v>-1.578354002254798E-2</v>
      </c>
      <c r="Y23" s="3172">
        <f t="shared" si="7"/>
        <v>164000</v>
      </c>
      <c r="Z23" s="3172">
        <v>12890000</v>
      </c>
      <c r="AA23" s="3172">
        <f t="shared" si="1"/>
        <v>1289</v>
      </c>
      <c r="AB23" s="3173">
        <f>(V23-V22)/V22</f>
        <v>-1.578354002254798E-2</v>
      </c>
    </row>
    <row r="24" spans="2:34" s="3468" customFormat="1">
      <c r="B24" s="3465" t="s">
        <v>3430</v>
      </c>
      <c r="C24" s="3465">
        <f>ROUND(C25*1.025,0)</f>
        <v>334</v>
      </c>
      <c r="D24" s="3466">
        <v>0.17199999999999999</v>
      </c>
      <c r="E24" s="3467">
        <f>C24/C23-1</f>
        <v>-9.4899169632265412E-3</v>
      </c>
      <c r="F24" s="3172">
        <f t="shared" si="9"/>
        <v>0</v>
      </c>
      <c r="G24" s="3468">
        <v>1198.4100000000001</v>
      </c>
      <c r="H24" s="3469"/>
      <c r="I24" s="3469"/>
      <c r="K24" s="3465" t="s">
        <v>3430</v>
      </c>
      <c r="L24" s="3465">
        <v>336</v>
      </c>
      <c r="M24" s="3470">
        <v>0.15</v>
      </c>
      <c r="U24" s="3465" t="s">
        <v>3430</v>
      </c>
      <c r="V24" s="3465">
        <v>344.9</v>
      </c>
      <c r="W24" s="3466">
        <v>0.16600000000000001</v>
      </c>
      <c r="X24" s="3467">
        <f t="shared" si="6"/>
        <v>-1.2313860252004614E-2</v>
      </c>
      <c r="AA24" s="3468">
        <v>1317</v>
      </c>
    </row>
    <row r="25" spans="2:34">
      <c r="B25" s="3434" t="s">
        <v>3431</v>
      </c>
      <c r="C25" s="3434">
        <v>326</v>
      </c>
      <c r="D25" s="3435">
        <v>0.17499999999999999</v>
      </c>
      <c r="E25" s="3173">
        <v>-2.5000000000000001E-2</v>
      </c>
      <c r="F25" s="3172">
        <v>26.3</v>
      </c>
      <c r="G25" s="3172">
        <v>1245.3599999999999</v>
      </c>
      <c r="H25" s="3171">
        <v>4.0000000000000001E-3</v>
      </c>
      <c r="I25" s="3172"/>
      <c r="K25" s="3434" t="s">
        <v>3431</v>
      </c>
      <c r="L25" s="3434">
        <v>332</v>
      </c>
      <c r="M25" s="3435">
        <v>0.14199999999999999</v>
      </c>
      <c r="N25" s="3173"/>
      <c r="R25" s="3173"/>
      <c r="U25" s="3434" t="s">
        <v>3431</v>
      </c>
      <c r="V25" s="3434">
        <v>341.3</v>
      </c>
      <c r="W25" s="3435">
        <v>0.17299999999999999</v>
      </c>
      <c r="X25" s="3173">
        <f t="shared" si="6"/>
        <v>-1.0437808060307236E-2</v>
      </c>
      <c r="AA25" s="3172">
        <v>1355</v>
      </c>
      <c r="AB25" s="3173"/>
    </row>
    <row r="26" spans="2:34">
      <c r="B26" s="3434" t="s">
        <v>3432</v>
      </c>
      <c r="C26" s="3434">
        <v>332</v>
      </c>
      <c r="D26" s="3435">
        <v>0.16200000000000001</v>
      </c>
      <c r="E26" s="3173">
        <v>1.7999999999999999E-2</v>
      </c>
      <c r="F26" s="3172">
        <v>9.6999999999999993</v>
      </c>
      <c r="G26" s="3172">
        <v>1255.1199999999999</v>
      </c>
      <c r="H26" s="3171">
        <v>7.0000000000000001E-3</v>
      </c>
      <c r="I26" s="3172"/>
      <c r="K26" s="3434" t="s">
        <v>3432</v>
      </c>
      <c r="L26" s="3434">
        <f>ROUND(L22*(1-5.7%),0)</f>
        <v>332</v>
      </c>
      <c r="M26" s="3435">
        <f>M22-1.7%</f>
        <v>0.12200000000000001</v>
      </c>
      <c r="N26" s="3173"/>
      <c r="R26" s="3173"/>
      <c r="U26" s="3434" t="s">
        <v>3432</v>
      </c>
      <c r="V26" s="3434">
        <v>341.7</v>
      </c>
      <c r="W26" s="3435">
        <v>0.16700000000000001</v>
      </c>
      <c r="X26" s="3173">
        <f t="shared" si="6"/>
        <v>1.1719894520948644E-3</v>
      </c>
      <c r="AA26" s="3172">
        <v>1396</v>
      </c>
      <c r="AB26" s="3173"/>
    </row>
    <row r="27" spans="2:34">
      <c r="B27" s="3434" t="s">
        <v>3433</v>
      </c>
      <c r="C27" s="3434">
        <v>337.6</v>
      </c>
      <c r="D27" s="3435">
        <v>0.14599999999999999</v>
      </c>
      <c r="E27" s="3173">
        <v>1.7000000000000001E-2</v>
      </c>
      <c r="F27" s="3172">
        <v>62.4</v>
      </c>
      <c r="G27" s="3172">
        <v>1260.82</v>
      </c>
      <c r="H27" s="3171">
        <v>0.01</v>
      </c>
      <c r="I27" s="3172"/>
      <c r="K27" s="3434" t="s">
        <v>3433</v>
      </c>
      <c r="L27" s="3434"/>
      <c r="M27" s="3435"/>
      <c r="N27" s="3173"/>
      <c r="R27" s="3173"/>
      <c r="U27" s="3434" t="s">
        <v>3433</v>
      </c>
      <c r="V27" s="3434">
        <v>341</v>
      </c>
      <c r="W27" s="3435">
        <v>0.15</v>
      </c>
      <c r="X27" s="3173">
        <f t="shared" si="6"/>
        <v>-2.0485806262803296E-3</v>
      </c>
      <c r="AA27" s="3172">
        <v>1416.4</v>
      </c>
      <c r="AB27" s="3173"/>
    </row>
    <row r="28" spans="2:34">
      <c r="B28" s="3434" t="s">
        <v>3434</v>
      </c>
      <c r="C28" s="3434">
        <v>334.6</v>
      </c>
      <c r="D28" s="3435">
        <v>0.14299999999999999</v>
      </c>
      <c r="E28" s="3173">
        <v>-8.9999999999999993E-3</v>
      </c>
      <c r="F28" s="3172">
        <v>17.5</v>
      </c>
      <c r="G28" s="3172">
        <v>1278.3499999999999</v>
      </c>
      <c r="H28" s="3171">
        <v>1.0999999999999999E-2</v>
      </c>
      <c r="I28" s="3172"/>
      <c r="K28" s="3434" t="s">
        <v>3434</v>
      </c>
      <c r="L28" s="3434"/>
      <c r="M28" s="3435"/>
      <c r="N28" s="3173"/>
      <c r="R28" s="3173"/>
      <c r="U28" s="3434" t="s">
        <v>3434</v>
      </c>
      <c r="V28" s="3434">
        <v>339</v>
      </c>
      <c r="W28" s="3435">
        <v>0.153</v>
      </c>
      <c r="X28" s="3173">
        <f t="shared" si="6"/>
        <v>-5.8651026392961877E-3</v>
      </c>
      <c r="AA28" s="3172">
        <v>1430.5</v>
      </c>
      <c r="AB28" s="3173"/>
    </row>
    <row r="29" spans="2:34">
      <c r="B29" s="3434" t="s">
        <v>3435</v>
      </c>
      <c r="C29" s="3434">
        <v>332.7</v>
      </c>
      <c r="D29" s="3435">
        <v>0.13900000000000001</v>
      </c>
      <c r="E29" s="3173">
        <v>-6.0000000000000001E-3</v>
      </c>
      <c r="F29" s="3172">
        <v>0</v>
      </c>
      <c r="G29" s="3172">
        <v>1280.3499999999999</v>
      </c>
      <c r="H29" s="3171">
        <v>1.4E-2</v>
      </c>
      <c r="I29" s="3172"/>
      <c r="K29" s="3434" t="s">
        <v>3435</v>
      </c>
      <c r="L29" s="3434"/>
      <c r="M29" s="3435"/>
      <c r="N29" s="3173"/>
      <c r="R29" s="3173"/>
      <c r="U29" s="3434" t="s">
        <v>3435</v>
      </c>
      <c r="V29" s="3434">
        <v>337.5</v>
      </c>
      <c r="W29" s="3435">
        <v>0.158</v>
      </c>
      <c r="X29" s="3173">
        <f t="shared" si="6"/>
        <v>-4.4247787610619468E-3</v>
      </c>
      <c r="AA29" s="3172">
        <v>1437.9</v>
      </c>
      <c r="AB29" s="3173"/>
    </row>
    <row r="30" spans="2:34">
      <c r="B30" s="3434" t="s">
        <v>3436</v>
      </c>
      <c r="C30" s="3434">
        <v>330.8</v>
      </c>
      <c r="D30" s="3435">
        <v>0.14599999999999999</v>
      </c>
      <c r="E30" s="3173">
        <v>-6.0000000000000001E-3</v>
      </c>
      <c r="F30" s="3172">
        <v>15</v>
      </c>
      <c r="G30" s="3172">
        <v>1295.5</v>
      </c>
      <c r="H30" s="3171">
        <v>1.7999999999999999E-2</v>
      </c>
      <c r="I30" s="3172"/>
      <c r="K30" s="3434" t="s">
        <v>3436</v>
      </c>
      <c r="L30" s="3434"/>
      <c r="M30" s="3435"/>
      <c r="N30" s="3173"/>
      <c r="R30" s="3173"/>
      <c r="U30" s="3434" t="s">
        <v>3436</v>
      </c>
      <c r="V30" s="3434">
        <v>331.5</v>
      </c>
      <c r="W30" s="3435">
        <v>0.158</v>
      </c>
      <c r="X30" s="3173">
        <f t="shared" si="6"/>
        <v>-1.7777777777777778E-2</v>
      </c>
      <c r="AA30" s="3172">
        <v>1437.9</v>
      </c>
      <c r="AB30" s="3173"/>
    </row>
    <row r="31" spans="2:34">
      <c r="B31" s="3434" t="s">
        <v>3437</v>
      </c>
      <c r="C31" s="3434">
        <v>321.5</v>
      </c>
      <c r="D31" s="3435">
        <v>0.16</v>
      </c>
      <c r="E31" s="3173">
        <v>-2.8000000000000001E-2</v>
      </c>
      <c r="F31" s="3172">
        <v>7.7</v>
      </c>
      <c r="G31" s="3172">
        <v>1303.2</v>
      </c>
      <c r="H31" s="3171">
        <v>1.9E-2</v>
      </c>
      <c r="I31" s="3172"/>
      <c r="K31" s="3434" t="s">
        <v>3437</v>
      </c>
      <c r="L31" s="3434"/>
      <c r="M31" s="3435"/>
      <c r="N31" s="3173"/>
      <c r="R31" s="3173"/>
      <c r="U31" s="3434" t="s">
        <v>3437</v>
      </c>
      <c r="V31" s="3434">
        <v>325.8</v>
      </c>
      <c r="W31" s="3435">
        <v>0.16300000000000001</v>
      </c>
      <c r="X31" s="3173">
        <f t="shared" si="6"/>
        <v>-1.7194570135746573E-2</v>
      </c>
      <c r="AA31" s="3172">
        <v>1445.6</v>
      </c>
      <c r="AB31" s="3173"/>
    </row>
    <row r="32" spans="2:34">
      <c r="B32" s="3434"/>
      <c r="C32" s="3434"/>
      <c r="D32" s="3434"/>
      <c r="J32" s="3173"/>
      <c r="K32" s="3434"/>
      <c r="L32" s="3434"/>
      <c r="M32" s="3434"/>
      <c r="U32" s="3434"/>
      <c r="V32" s="3434"/>
      <c r="W32" s="3434"/>
    </row>
    <row r="33" spans="2:30">
      <c r="B33" s="4259" t="s">
        <v>3463</v>
      </c>
      <c r="C33" s="4259"/>
      <c r="D33" s="4259"/>
      <c r="E33" s="4259"/>
      <c r="F33" s="4259"/>
      <c r="G33" s="4259"/>
      <c r="H33" s="4259"/>
      <c r="I33" s="3434"/>
      <c r="K33" s="4258" t="s">
        <v>3440</v>
      </c>
      <c r="L33" s="4258"/>
      <c r="M33" s="4258"/>
      <c r="N33" s="4258"/>
      <c r="O33" s="3471"/>
      <c r="P33" s="3471"/>
      <c r="Q33" s="3472"/>
      <c r="R33" s="3472"/>
      <c r="U33" s="4260" t="s">
        <v>3464</v>
      </c>
      <c r="V33" s="4260"/>
      <c r="W33" s="4260"/>
      <c r="X33" s="4260"/>
      <c r="Y33" s="4260"/>
      <c r="Z33" s="4260"/>
      <c r="AA33" s="4260"/>
    </row>
    <row r="34" spans="2:30">
      <c r="C34" s="3434" t="s">
        <v>3387</v>
      </c>
      <c r="D34" s="3434" t="s">
        <v>3388</v>
      </c>
      <c r="E34" s="3172" t="s">
        <v>3393</v>
      </c>
      <c r="F34" s="3434" t="s">
        <v>3390</v>
      </c>
      <c r="G34" s="3434" t="s">
        <v>3391</v>
      </c>
      <c r="K34" s="3471"/>
      <c r="L34" s="3471" t="s">
        <v>3387</v>
      </c>
      <c r="M34" s="3471" t="s">
        <v>3388</v>
      </c>
      <c r="N34" s="3472" t="s">
        <v>3393</v>
      </c>
      <c r="O34" s="3471" t="s">
        <v>3390</v>
      </c>
      <c r="P34" s="3471" t="s">
        <v>3438</v>
      </c>
      <c r="Q34" s="3471" t="s">
        <v>3394</v>
      </c>
      <c r="R34" s="3471"/>
      <c r="U34" s="3473" t="s">
        <v>3465</v>
      </c>
      <c r="V34" s="3474" t="s">
        <v>3461</v>
      </c>
      <c r="W34" s="3474" t="s">
        <v>3449</v>
      </c>
      <c r="X34" s="3473" t="s">
        <v>3466</v>
      </c>
      <c r="Y34" s="3474"/>
      <c r="Z34" s="3474"/>
      <c r="AA34" s="3474" t="s">
        <v>3462</v>
      </c>
    </row>
    <row r="35" spans="2:30">
      <c r="B35" s="3434" t="s">
        <v>3397</v>
      </c>
      <c r="C35" s="3434" t="s">
        <v>3439</v>
      </c>
      <c r="D35" s="3434" t="s">
        <v>3439</v>
      </c>
      <c r="F35" s="3434"/>
      <c r="G35" s="3434"/>
      <c r="I35" s="3173"/>
      <c r="K35" s="3471"/>
      <c r="L35" s="3471"/>
      <c r="M35" s="3475"/>
      <c r="N35" s="3472"/>
      <c r="O35" s="3472"/>
      <c r="P35" s="3472"/>
      <c r="Q35" s="3472"/>
      <c r="R35" s="3472"/>
      <c r="U35" s="3474" t="s">
        <v>3397</v>
      </c>
      <c r="V35" s="3474">
        <f>ROUND((C4+V4)/2,1)</f>
        <v>359.7</v>
      </c>
      <c r="W35" s="3478">
        <f>ROUND((D4+W4)/2,4)</f>
        <v>4.7500000000000001E-2</v>
      </c>
      <c r="X35" s="3509">
        <f>AA4</f>
        <v>924</v>
      </c>
      <c r="Y35" s="3474"/>
      <c r="Z35" s="3474"/>
      <c r="AA35" s="3476" t="s">
        <v>3439</v>
      </c>
      <c r="AB35" s="4257" t="s">
        <v>3467</v>
      </c>
      <c r="AC35" s="3173">
        <f>AVERAGE(W35:W38)</f>
        <v>5.5125E-2</v>
      </c>
    </row>
    <row r="36" spans="2:30">
      <c r="B36" s="3434" t="s">
        <v>3398</v>
      </c>
      <c r="C36" s="3434">
        <v>311.2</v>
      </c>
      <c r="D36" s="3435">
        <v>1.6E-2</v>
      </c>
      <c r="E36" s="3173" t="s">
        <v>3439</v>
      </c>
      <c r="G36" s="3172">
        <v>92.4</v>
      </c>
      <c r="H36" s="4257" t="s">
        <v>3484</v>
      </c>
      <c r="I36" s="3173">
        <f>AVERAGE(D37:D40)</f>
        <v>2.4E-2</v>
      </c>
      <c r="K36" s="3471" t="s">
        <v>3398</v>
      </c>
      <c r="L36" s="3471">
        <f t="shared" ref="L36:L57" si="11">ROUND((C5+L5+V5)/3,0)</f>
        <v>363</v>
      </c>
      <c r="M36" s="3475">
        <f t="shared" ref="M36:M57" si="12">ROUND((D5+M5+W5)/3,4)</f>
        <v>5.4300000000000001E-2</v>
      </c>
      <c r="N36" s="3477" t="e">
        <f t="shared" ref="N36:N54" si="13">(L36-L35)/L35</f>
        <v>#DIV/0!</v>
      </c>
      <c r="O36" s="3472">
        <f>P36-P35</f>
        <v>843800</v>
      </c>
      <c r="P36" s="3472">
        <v>843800</v>
      </c>
      <c r="Q36" s="3472">
        <f t="shared" ref="Q36:Q54" si="14">ROUND((G5+Q5+AA5)/3,0)</f>
        <v>839</v>
      </c>
      <c r="R36" s="3477"/>
      <c r="U36" s="3474" t="s">
        <v>3398</v>
      </c>
      <c r="V36" s="3474">
        <f t="shared" ref="V36:V62" si="15">ROUND((C5+V5)/2,1)</f>
        <v>358</v>
      </c>
      <c r="W36" s="3478">
        <f t="shared" ref="W36:W62" si="16">ROUND((D5+W5)/2,4)</f>
        <v>5.8500000000000003E-2</v>
      </c>
      <c r="X36" s="3509">
        <f t="shared" ref="X36:X62" si="17">ROUND((G5+AA5)/2,1)</f>
        <v>903</v>
      </c>
      <c r="Y36" s="3473"/>
      <c r="Z36" s="3473"/>
      <c r="AA36" s="3176">
        <f>(V36-V35)/V35</f>
        <v>-4.7261606894634101E-3</v>
      </c>
      <c r="AB36" s="4257"/>
      <c r="AC36" s="3172">
        <f>AVERAGE(V37:V40)</f>
        <v>362.45000000000005</v>
      </c>
    </row>
    <row r="37" spans="2:30">
      <c r="B37" s="3434" t="s">
        <v>3399</v>
      </c>
      <c r="C37" s="3434">
        <v>330.2</v>
      </c>
      <c r="D37" s="3435">
        <v>2.5000000000000001E-2</v>
      </c>
      <c r="E37" s="3173">
        <f t="shared" ref="E37:E53" si="18">(C37-C36)/C36</f>
        <v>6.1053984575835475E-2</v>
      </c>
      <c r="F37" s="3172">
        <f>G37-G36</f>
        <v>6.8999999999999915</v>
      </c>
      <c r="G37" s="3172">
        <v>99.3</v>
      </c>
      <c r="H37" s="4257"/>
      <c r="I37" s="3172">
        <f>AVERAGE(C37:C40)</f>
        <v>348.69999999999993</v>
      </c>
      <c r="K37" s="3471" t="s">
        <v>3399</v>
      </c>
      <c r="L37" s="3471">
        <f t="shared" si="11"/>
        <v>364</v>
      </c>
      <c r="M37" s="3475">
        <f t="shared" si="12"/>
        <v>5.1999999999999998E-2</v>
      </c>
      <c r="N37" s="3477">
        <f t="shared" si="13"/>
        <v>2.7548209366391185E-3</v>
      </c>
      <c r="O37" s="3472">
        <f t="shared" ref="O37:O54" si="19">P37-P36</f>
        <v>0</v>
      </c>
      <c r="P37" s="3472">
        <v>843800</v>
      </c>
      <c r="Q37" s="3472">
        <f t="shared" si="14"/>
        <v>869</v>
      </c>
      <c r="R37" s="3477">
        <f t="shared" ref="R37:R62" si="20">(L37-L36)/L36</f>
        <v>2.7548209366391185E-3</v>
      </c>
      <c r="U37" s="3474" t="s">
        <v>3399</v>
      </c>
      <c r="V37" s="3474">
        <f t="shared" si="15"/>
        <v>360.8</v>
      </c>
      <c r="W37" s="3478">
        <f t="shared" si="16"/>
        <v>5.3499999999999999E-2</v>
      </c>
      <c r="X37" s="3509">
        <f t="shared" si="17"/>
        <v>940.7</v>
      </c>
      <c r="Y37" s="3473"/>
      <c r="Z37" s="3473"/>
      <c r="AA37" s="3176">
        <f t="shared" ref="AA37:AA62" si="21">(V37-V36)/V36</f>
        <v>7.8212290502793613E-3</v>
      </c>
      <c r="AB37" s="4257"/>
      <c r="AC37" s="3510">
        <f>X38</f>
        <v>961.1</v>
      </c>
    </row>
    <row r="38" spans="2:30">
      <c r="B38" s="3434" t="s">
        <v>3400</v>
      </c>
      <c r="C38" s="3434">
        <v>358.9</v>
      </c>
      <c r="D38" s="3435">
        <v>2.5999999999999999E-2</v>
      </c>
      <c r="E38" s="3173">
        <f t="shared" si="18"/>
        <v>8.6917019987886104E-2</v>
      </c>
      <c r="F38" s="3172">
        <f t="shared" ref="F38:F53" si="22">G38-G37</f>
        <v>0</v>
      </c>
      <c r="G38" s="3172">
        <v>99.3</v>
      </c>
      <c r="H38" s="4257"/>
      <c r="I38" s="3170">
        <f>G40</f>
        <v>104.7</v>
      </c>
      <c r="K38" s="3471" t="s">
        <v>3400</v>
      </c>
      <c r="L38" s="3471">
        <f t="shared" si="11"/>
        <v>366</v>
      </c>
      <c r="M38" s="3475">
        <f t="shared" si="12"/>
        <v>5.3699999999999998E-2</v>
      </c>
      <c r="N38" s="3477">
        <f t="shared" si="13"/>
        <v>5.4945054945054949E-3</v>
      </c>
      <c r="O38" s="3472">
        <f t="shared" si="19"/>
        <v>-71500</v>
      </c>
      <c r="P38" s="3472">
        <v>772300</v>
      </c>
      <c r="Q38" s="3472">
        <f t="shared" si="14"/>
        <v>886</v>
      </c>
      <c r="R38" s="3477">
        <f t="shared" si="20"/>
        <v>5.4945054945054949E-3</v>
      </c>
      <c r="S38" s="3172">
        <f>ROUND(AVERAGE(L36:L38),0)</f>
        <v>364</v>
      </c>
      <c r="T38" s="3173">
        <f>ROUND(AVERAGE(M36:M38),4)</f>
        <v>5.33E-2</v>
      </c>
      <c r="U38" s="3474" t="s">
        <v>3400</v>
      </c>
      <c r="V38" s="3474">
        <f t="shared" si="15"/>
        <v>362.1</v>
      </c>
      <c r="W38" s="3478">
        <f t="shared" si="16"/>
        <v>6.0999999999999999E-2</v>
      </c>
      <c r="X38" s="3509">
        <f t="shared" si="17"/>
        <v>961.1</v>
      </c>
      <c r="Y38" s="3473"/>
      <c r="Z38" s="3473"/>
      <c r="AA38" s="3176">
        <f t="shared" si="21"/>
        <v>3.603104212860342E-3</v>
      </c>
      <c r="AB38" s="3170"/>
      <c r="AC38" s="3173"/>
    </row>
    <row r="39" spans="2:30">
      <c r="B39" s="3434" t="s">
        <v>3401</v>
      </c>
      <c r="C39" s="3434">
        <v>351.6</v>
      </c>
      <c r="D39" s="3435">
        <v>2.5999999999999999E-2</v>
      </c>
      <c r="E39" s="3173">
        <f t="shared" si="18"/>
        <v>-2.0339927556422277E-2</v>
      </c>
      <c r="F39" s="3172">
        <f t="shared" si="22"/>
        <v>5.4000000000000057</v>
      </c>
      <c r="G39" s="3172">
        <v>104.7</v>
      </c>
      <c r="I39" s="3173"/>
      <c r="K39" s="3471" t="s">
        <v>3401</v>
      </c>
      <c r="L39" s="3471">
        <f t="shared" si="11"/>
        <v>365</v>
      </c>
      <c r="M39" s="3475">
        <f t="shared" si="12"/>
        <v>5.7700000000000001E-2</v>
      </c>
      <c r="N39" s="3477">
        <f t="shared" si="13"/>
        <v>-2.7322404371584699E-3</v>
      </c>
      <c r="O39" s="3472">
        <f t="shared" si="19"/>
        <v>0</v>
      </c>
      <c r="P39" s="3472">
        <v>772300</v>
      </c>
      <c r="Q39" s="3472">
        <f t="shared" si="14"/>
        <v>901</v>
      </c>
      <c r="R39" s="3477">
        <f t="shared" si="20"/>
        <v>-2.7322404371584699E-3</v>
      </c>
      <c r="U39" s="3474" t="s">
        <v>3401</v>
      </c>
      <c r="V39" s="3474">
        <f t="shared" si="15"/>
        <v>361.8</v>
      </c>
      <c r="W39" s="3478">
        <f t="shared" si="16"/>
        <v>6.3500000000000001E-2</v>
      </c>
      <c r="X39" s="3509">
        <f t="shared" si="17"/>
        <v>977</v>
      </c>
      <c r="Y39" s="3473"/>
      <c r="Z39" s="3473"/>
      <c r="AA39" s="3176">
        <f t="shared" si="21"/>
        <v>-8.2850041425023852E-4</v>
      </c>
      <c r="AB39" s="4257" t="s">
        <v>3468</v>
      </c>
      <c r="AC39" s="3173">
        <f>AVERAGE(W39:W42)</f>
        <v>6.6875000000000004E-2</v>
      </c>
    </row>
    <row r="40" spans="2:30">
      <c r="B40" s="3434" t="s">
        <v>3402</v>
      </c>
      <c r="C40" s="3434">
        <v>354.1</v>
      </c>
      <c r="D40" s="3435">
        <v>1.9E-2</v>
      </c>
      <c r="E40" s="3173">
        <f t="shared" si="18"/>
        <v>7.1103526734926049E-3</v>
      </c>
      <c r="F40" s="3172">
        <f t="shared" si="22"/>
        <v>0</v>
      </c>
      <c r="G40" s="3172">
        <v>104.7</v>
      </c>
      <c r="H40" s="4257" t="s">
        <v>3485</v>
      </c>
      <c r="I40" s="3173">
        <f>AVERAGE(D41:D44)</f>
        <v>1.175E-2</v>
      </c>
      <c r="K40" s="3471" t="s">
        <v>3402</v>
      </c>
      <c r="L40" s="3471">
        <f t="shared" si="11"/>
        <v>368</v>
      </c>
      <c r="M40" s="3475">
        <f t="shared" si="12"/>
        <v>6.6699999999999995E-2</v>
      </c>
      <c r="N40" s="3477">
        <f t="shared" si="13"/>
        <v>8.21917808219178E-3</v>
      </c>
      <c r="O40" s="3472">
        <f t="shared" si="19"/>
        <v>0</v>
      </c>
      <c r="P40" s="3472">
        <v>772300</v>
      </c>
      <c r="Q40" s="3472">
        <f t="shared" si="14"/>
        <v>921</v>
      </c>
      <c r="R40" s="3477">
        <f t="shared" si="20"/>
        <v>8.21917808219178E-3</v>
      </c>
      <c r="U40" s="3474" t="s">
        <v>3402</v>
      </c>
      <c r="V40" s="3474">
        <f t="shared" si="15"/>
        <v>365.1</v>
      </c>
      <c r="W40" s="3478">
        <f t="shared" si="16"/>
        <v>6.8500000000000005E-2</v>
      </c>
      <c r="X40" s="3509">
        <f t="shared" si="17"/>
        <v>993.5</v>
      </c>
      <c r="Y40" s="3473"/>
      <c r="Z40" s="3473"/>
      <c r="AA40" s="3176">
        <f t="shared" si="21"/>
        <v>9.1210613598673614E-3</v>
      </c>
      <c r="AB40" s="4257"/>
      <c r="AC40" s="3172">
        <f>AVERAGE(V41:V44)</f>
        <v>368.92500000000001</v>
      </c>
      <c r="AD40" s="3173">
        <f>(AC40-AC36)/AC36</f>
        <v>1.786453303903977E-2</v>
      </c>
    </row>
    <row r="41" spans="2:30">
      <c r="B41" s="3434" t="s">
        <v>3403</v>
      </c>
      <c r="C41" s="3434">
        <v>359.2</v>
      </c>
      <c r="D41" s="3435">
        <v>1.7000000000000001E-2</v>
      </c>
      <c r="E41" s="3173">
        <f t="shared" si="18"/>
        <v>1.4402711098559631E-2</v>
      </c>
      <c r="F41" s="3172">
        <f t="shared" si="22"/>
        <v>0</v>
      </c>
      <c r="G41" s="3172">
        <v>104.7</v>
      </c>
      <c r="H41" s="4257"/>
      <c r="I41" s="3172">
        <f>AVERAGE(C41:C44)</f>
        <v>378.82500000000005</v>
      </c>
      <c r="J41" s="3173">
        <f>(I41-I37)/I37</f>
        <v>8.6392314310295731E-2</v>
      </c>
      <c r="K41" s="3471" t="s">
        <v>3403</v>
      </c>
      <c r="L41" s="3471">
        <f t="shared" si="11"/>
        <v>369</v>
      </c>
      <c r="M41" s="3475">
        <f t="shared" si="12"/>
        <v>5.8000000000000003E-2</v>
      </c>
      <c r="N41" s="3477">
        <f t="shared" si="13"/>
        <v>2.717391304347826E-3</v>
      </c>
      <c r="O41" s="3472">
        <f t="shared" si="19"/>
        <v>0</v>
      </c>
      <c r="P41" s="3472">
        <v>772300</v>
      </c>
      <c r="Q41" s="3472">
        <f t="shared" si="14"/>
        <v>924</v>
      </c>
      <c r="R41" s="3477">
        <f t="shared" si="20"/>
        <v>2.717391304347826E-3</v>
      </c>
      <c r="U41" s="3474" t="s">
        <v>3403</v>
      </c>
      <c r="V41" s="3474">
        <f t="shared" si="15"/>
        <v>364.8</v>
      </c>
      <c r="W41" s="3478">
        <f t="shared" si="16"/>
        <v>5.8999999999999997E-2</v>
      </c>
      <c r="X41" s="3509">
        <f t="shared" si="17"/>
        <v>998.5</v>
      </c>
      <c r="Y41" s="3473"/>
      <c r="Z41" s="3473"/>
      <c r="AA41" s="3176">
        <f t="shared" si="21"/>
        <v>-8.2169268693511736E-4</v>
      </c>
      <c r="AB41" s="4257"/>
      <c r="AC41" s="3510">
        <f>X42</f>
        <v>1039.8</v>
      </c>
    </row>
    <row r="42" spans="2:30">
      <c r="B42" s="3434" t="s">
        <v>3404</v>
      </c>
      <c r="C42" s="3434">
        <v>380.3</v>
      </c>
      <c r="D42" s="3435">
        <v>1.2E-2</v>
      </c>
      <c r="E42" s="3173">
        <f t="shared" si="18"/>
        <v>5.8741648106904298E-2</v>
      </c>
      <c r="F42" s="3172">
        <f t="shared" si="22"/>
        <v>0</v>
      </c>
      <c r="G42" s="3172">
        <v>104.7</v>
      </c>
      <c r="H42" s="4257"/>
      <c r="I42" s="3170">
        <f>G44</f>
        <v>104.7</v>
      </c>
      <c r="K42" s="3471" t="s">
        <v>3404</v>
      </c>
      <c r="L42" s="3471">
        <f t="shared" si="11"/>
        <v>370</v>
      </c>
      <c r="M42" s="3475">
        <f t="shared" si="12"/>
        <v>7.4700000000000003E-2</v>
      </c>
      <c r="N42" s="3477">
        <f t="shared" si="13"/>
        <v>2.7100271002710027E-3</v>
      </c>
      <c r="O42" s="3472">
        <f t="shared" si="19"/>
        <v>0</v>
      </c>
      <c r="P42" s="3472">
        <v>772300</v>
      </c>
      <c r="Q42" s="3472">
        <f t="shared" si="14"/>
        <v>966</v>
      </c>
      <c r="R42" s="3477">
        <f t="shared" si="20"/>
        <v>2.7100271002710027E-3</v>
      </c>
      <c r="S42" s="3172">
        <f>ROUND(AVERAGE(L39:L42),0)</f>
        <v>368</v>
      </c>
      <c r="T42" s="3173">
        <f>ROUND(AVERAGE(M39:M42),4)</f>
        <v>6.4299999999999996E-2</v>
      </c>
      <c r="U42" s="3474" t="s">
        <v>3404</v>
      </c>
      <c r="V42" s="3474">
        <f t="shared" si="15"/>
        <v>367.9</v>
      </c>
      <c r="W42" s="3478">
        <f t="shared" si="16"/>
        <v>7.6499999999999999E-2</v>
      </c>
      <c r="X42" s="3509">
        <f t="shared" si="17"/>
        <v>1039.8</v>
      </c>
      <c r="Y42" s="3473"/>
      <c r="Z42" s="3473"/>
      <c r="AA42" s="3176">
        <f t="shared" si="21"/>
        <v>8.4978070175437664E-3</v>
      </c>
      <c r="AB42" s="3170"/>
      <c r="AC42" s="3173"/>
    </row>
    <row r="43" spans="2:30">
      <c r="B43" s="3434" t="s">
        <v>3405</v>
      </c>
      <c r="C43" s="3434">
        <v>387.9</v>
      </c>
      <c r="D43" s="3435">
        <v>4.0000000000000001E-3</v>
      </c>
      <c r="E43" s="3173">
        <f t="shared" si="18"/>
        <v>1.9984222981856339E-2</v>
      </c>
      <c r="F43" s="3172">
        <f t="shared" si="22"/>
        <v>0</v>
      </c>
      <c r="G43" s="3172">
        <v>104.7</v>
      </c>
      <c r="I43" s="3173"/>
      <c r="K43" s="3471" t="s">
        <v>3405</v>
      </c>
      <c r="L43" s="3471">
        <f t="shared" si="11"/>
        <v>369</v>
      </c>
      <c r="M43" s="3475">
        <f t="shared" si="12"/>
        <v>6.5000000000000002E-2</v>
      </c>
      <c r="N43" s="3477">
        <f t="shared" si="13"/>
        <v>-2.7027027027027029E-3</v>
      </c>
      <c r="O43" s="3472">
        <f t="shared" si="19"/>
        <v>0</v>
      </c>
      <c r="P43" s="3472">
        <v>772300</v>
      </c>
      <c r="Q43" s="3472">
        <f t="shared" si="14"/>
        <v>976</v>
      </c>
      <c r="R43" s="3477">
        <f t="shared" si="20"/>
        <v>-2.7027027027027029E-3</v>
      </c>
      <c r="U43" s="3474" t="s">
        <v>3405</v>
      </c>
      <c r="V43" s="3474">
        <f t="shared" si="15"/>
        <v>368.3</v>
      </c>
      <c r="W43" s="3478">
        <f t="shared" si="16"/>
        <v>7.5999999999999998E-2</v>
      </c>
      <c r="X43" s="3509">
        <f t="shared" si="17"/>
        <v>1054.3</v>
      </c>
      <c r="Y43" s="3473"/>
      <c r="Z43" s="3473"/>
      <c r="AA43" s="3176">
        <f t="shared" si="21"/>
        <v>1.0872519706442896E-3</v>
      </c>
      <c r="AB43" s="4257" t="s">
        <v>3469</v>
      </c>
      <c r="AC43" s="3173">
        <f>AVERAGE(W43:W46)</f>
        <v>7.2000000000000008E-2</v>
      </c>
    </row>
    <row r="44" spans="2:30">
      <c r="B44" s="3434" t="s">
        <v>3409</v>
      </c>
      <c r="C44" s="3434">
        <v>387.9</v>
      </c>
      <c r="D44" s="3435">
        <v>1.4E-2</v>
      </c>
      <c r="E44" s="3173">
        <f t="shared" si="18"/>
        <v>0</v>
      </c>
      <c r="F44" s="3172">
        <f t="shared" si="22"/>
        <v>0</v>
      </c>
      <c r="G44" s="3172">
        <v>104.7</v>
      </c>
      <c r="H44" s="4257" t="s">
        <v>3486</v>
      </c>
      <c r="I44" s="3173">
        <f>AVERAGE(D45:D48)</f>
        <v>6.5500000000000003E-3</v>
      </c>
      <c r="K44" s="3471" t="s">
        <v>3409</v>
      </c>
      <c r="L44" s="3471">
        <f t="shared" si="11"/>
        <v>378</v>
      </c>
      <c r="M44" s="3475">
        <f t="shared" si="12"/>
        <v>5.3999999999999999E-2</v>
      </c>
      <c r="N44" s="3477">
        <f t="shared" si="13"/>
        <v>2.4390243902439025E-2</v>
      </c>
      <c r="O44" s="3472">
        <f t="shared" si="19"/>
        <v>0</v>
      </c>
      <c r="P44" s="3472">
        <v>772300</v>
      </c>
      <c r="Q44" s="3472">
        <f t="shared" si="14"/>
        <v>981</v>
      </c>
      <c r="R44" s="3477">
        <f t="shared" si="20"/>
        <v>2.4390243902439025E-2</v>
      </c>
      <c r="U44" s="3474" t="s">
        <v>3409</v>
      </c>
      <c r="V44" s="3474">
        <f t="shared" si="15"/>
        <v>374.7</v>
      </c>
      <c r="W44" s="3478">
        <f t="shared" si="16"/>
        <v>6.4500000000000002E-2</v>
      </c>
      <c r="X44" s="3509">
        <f t="shared" si="17"/>
        <v>1057.8</v>
      </c>
      <c r="Y44" s="3473"/>
      <c r="Z44" s="3473"/>
      <c r="AA44" s="3176">
        <f t="shared" si="21"/>
        <v>1.7377138202552204E-2</v>
      </c>
      <c r="AB44" s="4257"/>
      <c r="AC44" s="3172">
        <f>AVERAGE(V45:V48)</f>
        <v>383.92500000000001</v>
      </c>
      <c r="AD44" s="3173">
        <f>(AC44-AC40)/AC40</f>
        <v>4.0658670461475907E-2</v>
      </c>
    </row>
    <row r="45" spans="2:30">
      <c r="B45" s="3434" t="s">
        <v>3411</v>
      </c>
      <c r="C45" s="3434">
        <v>402.3</v>
      </c>
      <c r="D45" s="3435">
        <v>7.0000000000000001E-3</v>
      </c>
      <c r="E45" s="3173">
        <f t="shared" si="18"/>
        <v>3.7122969837587096E-2</v>
      </c>
      <c r="F45" s="3172">
        <f t="shared" si="22"/>
        <v>0</v>
      </c>
      <c r="G45" s="3172">
        <v>104.7</v>
      </c>
      <c r="H45" s="4257"/>
      <c r="I45" s="3172">
        <f>AVERAGE(C45:C48)</f>
        <v>401.94749999999999</v>
      </c>
      <c r="J45" s="3173">
        <f>(I45-I41)/I41</f>
        <v>6.1037418333003211E-2</v>
      </c>
      <c r="K45" s="3471" t="s">
        <v>3411</v>
      </c>
      <c r="L45" s="3471">
        <f t="shared" si="11"/>
        <v>387</v>
      </c>
      <c r="M45" s="3475">
        <f t="shared" si="12"/>
        <v>5.8700000000000002E-2</v>
      </c>
      <c r="N45" s="3477">
        <f t="shared" si="13"/>
        <v>2.3809523809523808E-2</v>
      </c>
      <c r="O45" s="3472">
        <f t="shared" si="19"/>
        <v>0</v>
      </c>
      <c r="P45" s="3472">
        <v>772300</v>
      </c>
      <c r="Q45" s="3472">
        <f t="shared" si="14"/>
        <v>989</v>
      </c>
      <c r="R45" s="3477">
        <f t="shared" si="20"/>
        <v>2.3809523809523808E-2</v>
      </c>
      <c r="U45" s="3474" t="s">
        <v>3411</v>
      </c>
      <c r="V45" s="3474">
        <f t="shared" si="15"/>
        <v>385</v>
      </c>
      <c r="W45" s="3478">
        <f t="shared" si="16"/>
        <v>7.1999999999999995E-2</v>
      </c>
      <c r="X45" s="3509">
        <f t="shared" si="17"/>
        <v>1067.5999999999999</v>
      </c>
      <c r="Y45" s="3473"/>
      <c r="Z45" s="3473"/>
      <c r="AA45" s="3176">
        <f t="shared" si="21"/>
        <v>2.7488657592740891E-2</v>
      </c>
      <c r="AB45" s="4257"/>
      <c r="AC45" s="3510">
        <f>X46</f>
        <v>1080.0999999999999</v>
      </c>
    </row>
    <row r="46" spans="2:30">
      <c r="B46" s="3434" t="s">
        <v>3413</v>
      </c>
      <c r="C46" s="3434">
        <v>401.82</v>
      </c>
      <c r="D46" s="3435">
        <v>3.0000000000000001E-3</v>
      </c>
      <c r="E46" s="3173">
        <f t="shared" si="18"/>
        <v>-1.1931394481730505E-3</v>
      </c>
      <c r="F46" s="3172">
        <f t="shared" si="22"/>
        <v>0</v>
      </c>
      <c r="G46" s="3172">
        <v>104.7</v>
      </c>
      <c r="H46" s="4257"/>
      <c r="I46" s="3170">
        <f>G48</f>
        <v>104.7</v>
      </c>
      <c r="K46" s="3471" t="s">
        <v>3413</v>
      </c>
      <c r="L46" s="3471">
        <f t="shared" si="11"/>
        <v>385</v>
      </c>
      <c r="M46" s="3475">
        <f t="shared" si="12"/>
        <v>6.6699999999999995E-2</v>
      </c>
      <c r="N46" s="3477">
        <f t="shared" si="13"/>
        <v>-5.1679586563307496E-3</v>
      </c>
      <c r="O46" s="3472">
        <f t="shared" si="19"/>
        <v>0</v>
      </c>
      <c r="P46" s="3472">
        <v>772300</v>
      </c>
      <c r="Q46" s="3472">
        <f t="shared" si="14"/>
        <v>1005</v>
      </c>
      <c r="R46" s="3477">
        <f t="shared" si="20"/>
        <v>-5.1679586563307496E-3</v>
      </c>
      <c r="S46" s="3172">
        <f>ROUND(AVERAGE(L43:L46),0)</f>
        <v>380</v>
      </c>
      <c r="T46" s="3173">
        <f>ROUND(AVERAGE(M43:M46),4)</f>
        <v>6.1100000000000002E-2</v>
      </c>
      <c r="U46" s="3474" t="s">
        <v>3413</v>
      </c>
      <c r="V46" s="3474">
        <f t="shared" si="15"/>
        <v>384.6</v>
      </c>
      <c r="W46" s="3478">
        <f t="shared" si="16"/>
        <v>7.5499999999999998E-2</v>
      </c>
      <c r="X46" s="3509">
        <f t="shared" si="17"/>
        <v>1080.0999999999999</v>
      </c>
      <c r="Y46" s="3473"/>
      <c r="Z46" s="3473"/>
      <c r="AA46" s="3176">
        <f t="shared" si="21"/>
        <v>-1.03896103896098E-3</v>
      </c>
      <c r="AB46" s="3170"/>
      <c r="AC46" s="3173"/>
    </row>
    <row r="47" spans="2:30">
      <c r="B47" s="3434" t="s">
        <v>3415</v>
      </c>
      <c r="C47" s="3434">
        <v>400.67</v>
      </c>
      <c r="D47" s="3435">
        <v>4.1999999999999997E-3</v>
      </c>
      <c r="E47" s="3173">
        <f t="shared" si="18"/>
        <v>-2.8619780000994906E-3</v>
      </c>
      <c r="F47" s="3172">
        <f t="shared" si="22"/>
        <v>0</v>
      </c>
      <c r="G47" s="3172">
        <v>104.7</v>
      </c>
      <c r="I47" s="3173"/>
      <c r="K47" s="3471" t="s">
        <v>3415</v>
      </c>
      <c r="L47" s="3471">
        <f t="shared" si="11"/>
        <v>383</v>
      </c>
      <c r="M47" s="3475">
        <f t="shared" si="12"/>
        <v>6.8699999999999997E-2</v>
      </c>
      <c r="N47" s="3477">
        <f t="shared" si="13"/>
        <v>-5.1948051948051948E-3</v>
      </c>
      <c r="O47" s="3472">
        <f t="shared" si="19"/>
        <v>0</v>
      </c>
      <c r="P47" s="3472">
        <v>772300</v>
      </c>
      <c r="Q47" s="3472">
        <f t="shared" si="14"/>
        <v>1009</v>
      </c>
      <c r="R47" s="3477">
        <f t="shared" si="20"/>
        <v>-5.1948051948051948E-3</v>
      </c>
      <c r="U47" s="3474" t="s">
        <v>3415</v>
      </c>
      <c r="V47" s="3474">
        <f t="shared" si="15"/>
        <v>383.9</v>
      </c>
      <c r="W47" s="3478">
        <f t="shared" si="16"/>
        <v>7.4099999999999999E-2</v>
      </c>
      <c r="X47" s="3509">
        <f t="shared" si="17"/>
        <v>1080.0999999999999</v>
      </c>
      <c r="Y47" s="3473"/>
      <c r="Z47" s="3473"/>
      <c r="AA47" s="3176">
        <f t="shared" si="21"/>
        <v>-1.8200728029122346E-3</v>
      </c>
      <c r="AB47" s="4257" t="s">
        <v>3470</v>
      </c>
      <c r="AC47" s="3173">
        <f>AVERAGE(W47:W50)</f>
        <v>9.7349999999999992E-2</v>
      </c>
    </row>
    <row r="48" spans="2:30">
      <c r="B48" s="3434" t="s">
        <v>3417</v>
      </c>
      <c r="C48" s="3434">
        <v>403</v>
      </c>
      <c r="D48" s="3435">
        <v>1.2E-2</v>
      </c>
      <c r="E48" s="3173">
        <f t="shared" si="18"/>
        <v>5.8152594404372272E-3</v>
      </c>
      <c r="F48" s="3172">
        <f t="shared" si="22"/>
        <v>0</v>
      </c>
      <c r="G48" s="3172">
        <v>104.7</v>
      </c>
      <c r="H48" s="4257" t="s">
        <v>3487</v>
      </c>
      <c r="I48" s="3173">
        <f>AVERAGE(D49:D52)</f>
        <v>2.1999999999999999E-2</v>
      </c>
      <c r="K48" s="3471" t="s">
        <v>3417</v>
      </c>
      <c r="L48" s="3471">
        <f t="shared" si="11"/>
        <v>380</v>
      </c>
      <c r="M48" s="3475">
        <f t="shared" si="12"/>
        <v>8.1299999999999997E-2</v>
      </c>
      <c r="N48" s="3477">
        <f t="shared" si="13"/>
        <v>-7.832898172323759E-3</v>
      </c>
      <c r="O48" s="3472">
        <f t="shared" si="19"/>
        <v>0</v>
      </c>
      <c r="P48" s="3472">
        <v>772300</v>
      </c>
      <c r="Q48" s="3472">
        <f t="shared" si="14"/>
        <v>1016</v>
      </c>
      <c r="R48" s="3477">
        <f t="shared" si="20"/>
        <v>-7.832898172323759E-3</v>
      </c>
      <c r="U48" s="3474" t="s">
        <v>3417</v>
      </c>
      <c r="V48" s="3474">
        <f t="shared" si="15"/>
        <v>382.2</v>
      </c>
      <c r="W48" s="3478">
        <f t="shared" si="16"/>
        <v>8.7499999999999994E-2</v>
      </c>
      <c r="X48" s="3509">
        <f t="shared" si="17"/>
        <v>1082.5999999999999</v>
      </c>
      <c r="Y48" s="3473"/>
      <c r="Z48" s="3473"/>
      <c r="AA48" s="3176">
        <f t="shared" si="21"/>
        <v>-4.4282365199270349E-3</v>
      </c>
      <c r="AB48" s="4257"/>
      <c r="AC48" s="3172">
        <f>AVERAGE(V49:V52)</f>
        <v>370.32499999999999</v>
      </c>
      <c r="AD48" s="3173">
        <f>(AC48-AC44)/AC44</f>
        <v>-3.5423585335677597E-2</v>
      </c>
    </row>
    <row r="49" spans="2:30">
      <c r="B49" s="3434" t="s">
        <v>3419</v>
      </c>
      <c r="C49" s="3434">
        <v>403.09</v>
      </c>
      <c r="D49" s="3435">
        <v>1.7000000000000001E-2</v>
      </c>
      <c r="E49" s="3173">
        <f t="shared" si="18"/>
        <v>2.2332506203467738E-4</v>
      </c>
      <c r="F49" s="3172">
        <f t="shared" si="22"/>
        <v>0</v>
      </c>
      <c r="G49" s="3172">
        <v>104.7</v>
      </c>
      <c r="H49" s="4257"/>
      <c r="I49" s="3172">
        <f>AVERAGE(C49:C52)</f>
        <v>400.63499999999999</v>
      </c>
      <c r="J49" s="3173">
        <f>(I49-I45)/I45</f>
        <v>-3.265351818334484E-3</v>
      </c>
      <c r="K49" s="3471" t="s">
        <v>3419</v>
      </c>
      <c r="L49" s="3471">
        <f t="shared" si="11"/>
        <v>377</v>
      </c>
      <c r="M49" s="3475">
        <f t="shared" si="12"/>
        <v>8.8200000000000001E-2</v>
      </c>
      <c r="N49" s="3477">
        <f t="shared" si="13"/>
        <v>-7.8947368421052634E-3</v>
      </c>
      <c r="O49" s="3472">
        <f t="shared" si="19"/>
        <v>0</v>
      </c>
      <c r="P49" s="3472">
        <v>772300</v>
      </c>
      <c r="Q49" s="3472">
        <f t="shared" si="14"/>
        <v>1029</v>
      </c>
      <c r="R49" s="3477">
        <f t="shared" si="20"/>
        <v>-7.8947368421052634E-3</v>
      </c>
      <c r="U49" s="3474" t="s">
        <v>3419</v>
      </c>
      <c r="V49" s="3474">
        <f t="shared" si="15"/>
        <v>377.9</v>
      </c>
      <c r="W49" s="3478">
        <f t="shared" si="16"/>
        <v>9.6799999999999997E-2</v>
      </c>
      <c r="X49" s="3509">
        <f t="shared" si="17"/>
        <v>1102</v>
      </c>
      <c r="Y49" s="3473"/>
      <c r="Z49" s="3473"/>
      <c r="AA49" s="3176">
        <f t="shared" si="21"/>
        <v>-1.1250654107796996E-2</v>
      </c>
      <c r="AB49" s="4257"/>
      <c r="AC49" s="3510">
        <f>X50</f>
        <v>1178</v>
      </c>
    </row>
    <row r="50" spans="2:30">
      <c r="B50" s="3434" t="s">
        <v>3421</v>
      </c>
      <c r="C50" s="3434">
        <v>401.97</v>
      </c>
      <c r="D50" s="3435">
        <v>2.5000000000000001E-2</v>
      </c>
      <c r="E50" s="3173">
        <f t="shared" si="18"/>
        <v>-2.7785358108609686E-3</v>
      </c>
      <c r="F50" s="3172">
        <f t="shared" si="22"/>
        <v>0</v>
      </c>
      <c r="G50" s="3172">
        <v>104.7</v>
      </c>
      <c r="H50" s="4257"/>
      <c r="I50" s="3170">
        <f>G52</f>
        <v>104.7</v>
      </c>
      <c r="K50" s="3471" t="s">
        <v>3421</v>
      </c>
      <c r="L50" s="3471">
        <f t="shared" si="11"/>
        <v>375</v>
      </c>
      <c r="M50" s="3475">
        <f t="shared" si="12"/>
        <v>0.125</v>
      </c>
      <c r="N50" s="3477">
        <f t="shared" si="13"/>
        <v>-5.3050397877984082E-3</v>
      </c>
      <c r="O50" s="3472">
        <f t="shared" si="19"/>
        <v>0</v>
      </c>
      <c r="P50" s="3472">
        <v>772300</v>
      </c>
      <c r="Q50" s="3472">
        <f t="shared" si="14"/>
        <v>1106</v>
      </c>
      <c r="R50" s="3477">
        <f t="shared" si="20"/>
        <v>-5.3050397877984082E-3</v>
      </c>
      <c r="S50" s="3172">
        <f>ROUND(AVERAGE(L47:L50),0)</f>
        <v>379</v>
      </c>
      <c r="T50" s="3173">
        <f>ROUND(AVERAGE(M47:M50),4)</f>
        <v>9.0800000000000006E-2</v>
      </c>
      <c r="U50" s="3474" t="s">
        <v>3421</v>
      </c>
      <c r="V50" s="3474">
        <f t="shared" si="15"/>
        <v>373.7</v>
      </c>
      <c r="W50" s="3478">
        <f t="shared" si="16"/>
        <v>0.13100000000000001</v>
      </c>
      <c r="X50" s="3509">
        <f t="shared" si="17"/>
        <v>1178</v>
      </c>
      <c r="Y50" s="3473"/>
      <c r="Z50" s="3473"/>
      <c r="AA50" s="3176">
        <f t="shared" si="21"/>
        <v>-1.1114051336332333E-2</v>
      </c>
      <c r="AB50" s="3170"/>
      <c r="AC50" s="3173"/>
    </row>
    <row r="51" spans="2:30">
      <c r="B51" s="3434" t="s">
        <v>3423</v>
      </c>
      <c r="C51" s="3434">
        <v>401.79</v>
      </c>
      <c r="D51" s="3435">
        <v>2.1000000000000001E-2</v>
      </c>
      <c r="E51" s="3173">
        <f t="shared" si="18"/>
        <v>-4.4779461153819145E-4</v>
      </c>
      <c r="F51" s="3172">
        <f t="shared" si="22"/>
        <v>0</v>
      </c>
      <c r="G51" s="3172">
        <v>104.7</v>
      </c>
      <c r="I51" s="3173"/>
      <c r="K51" s="3471" t="s">
        <v>3423</v>
      </c>
      <c r="L51" s="3471">
        <f t="shared" si="11"/>
        <v>371</v>
      </c>
      <c r="M51" s="3475">
        <f t="shared" si="12"/>
        <v>0.12770000000000001</v>
      </c>
      <c r="N51" s="3477">
        <f t="shared" si="13"/>
        <v>-1.0666666666666666E-2</v>
      </c>
      <c r="O51" s="3472">
        <f t="shared" si="19"/>
        <v>0</v>
      </c>
      <c r="P51" s="3472">
        <v>772300</v>
      </c>
      <c r="Q51" s="3472">
        <f t="shared" si="14"/>
        <v>1105</v>
      </c>
      <c r="R51" s="3477">
        <f t="shared" si="20"/>
        <v>-1.0666666666666666E-2</v>
      </c>
      <c r="U51" s="3474" t="s">
        <v>3423</v>
      </c>
      <c r="V51" s="3474">
        <f t="shared" si="15"/>
        <v>370.2</v>
      </c>
      <c r="W51" s="3478">
        <f t="shared" si="16"/>
        <v>0.13500000000000001</v>
      </c>
      <c r="X51" s="3509">
        <f t="shared" si="17"/>
        <v>1176</v>
      </c>
      <c r="Y51" s="3473"/>
      <c r="Z51" s="3473"/>
      <c r="AA51" s="3176">
        <f t="shared" si="21"/>
        <v>-9.3658014450093661E-3</v>
      </c>
      <c r="AB51" s="4257" t="s">
        <v>3471</v>
      </c>
      <c r="AC51" s="3173">
        <f>AVERAGE(W51:W54)</f>
        <v>0.15150000000000002</v>
      </c>
    </row>
    <row r="52" spans="2:30">
      <c r="B52" s="3434" t="s">
        <v>3425</v>
      </c>
      <c r="C52" s="3434">
        <v>395.69</v>
      </c>
      <c r="D52" s="3435">
        <v>2.5000000000000001E-2</v>
      </c>
      <c r="E52" s="3173">
        <f t="shared" si="18"/>
        <v>-1.5182060280245956E-2</v>
      </c>
      <c r="F52" s="3172">
        <f t="shared" si="22"/>
        <v>0</v>
      </c>
      <c r="G52" s="3172">
        <v>104.7</v>
      </c>
      <c r="H52" s="4257" t="s">
        <v>3488</v>
      </c>
      <c r="I52" s="3173">
        <f>AVERAGE(D53:D56)</f>
        <v>3.3500000000000002E-2</v>
      </c>
      <c r="K52" s="3471" t="s">
        <v>3425</v>
      </c>
      <c r="L52" s="3471">
        <f t="shared" si="11"/>
        <v>358</v>
      </c>
      <c r="M52" s="3475">
        <f t="shared" si="12"/>
        <v>0.14599999999999999</v>
      </c>
      <c r="N52" s="3477">
        <f t="shared" si="13"/>
        <v>-3.5040431266846361E-2</v>
      </c>
      <c r="O52" s="3472">
        <f t="shared" si="19"/>
        <v>0</v>
      </c>
      <c r="P52" s="3472">
        <v>772300</v>
      </c>
      <c r="Q52" s="3472">
        <f t="shared" si="14"/>
        <v>1120</v>
      </c>
      <c r="R52" s="3477">
        <f t="shared" si="20"/>
        <v>-3.5040431266846361E-2</v>
      </c>
      <c r="U52" s="3474" t="s">
        <v>3425</v>
      </c>
      <c r="V52" s="3474">
        <f t="shared" si="15"/>
        <v>359.5</v>
      </c>
      <c r="W52" s="3478">
        <f t="shared" si="16"/>
        <v>0.14899999999999999</v>
      </c>
      <c r="X52" s="3509">
        <f t="shared" si="17"/>
        <v>1199.0999999999999</v>
      </c>
      <c r="Y52" s="3473"/>
      <c r="Z52" s="3473"/>
      <c r="AA52" s="3176">
        <f t="shared" si="21"/>
        <v>-2.8903295515937302E-2</v>
      </c>
      <c r="AB52" s="4257"/>
      <c r="AC52" s="3172">
        <f>AVERAGE(V53:V56)</f>
        <v>342</v>
      </c>
      <c r="AD52" s="3173">
        <f>(AC52-AC48)/AC48</f>
        <v>-7.6486869641531063E-2</v>
      </c>
    </row>
    <row r="53" spans="2:30">
      <c r="B53" s="3434" t="s">
        <v>3427</v>
      </c>
      <c r="C53" s="3434">
        <v>386.09</v>
      </c>
      <c r="D53" s="3435">
        <v>3.9E-2</v>
      </c>
      <c r="E53" s="3173">
        <f t="shared" si="18"/>
        <v>-2.4261416765649937E-2</v>
      </c>
      <c r="F53" s="3172">
        <f t="shared" si="22"/>
        <v>0</v>
      </c>
      <c r="G53" s="3172">
        <v>104.7</v>
      </c>
      <c r="H53" s="4257"/>
      <c r="I53" s="3172">
        <f>AVERAGE(C53:C56)</f>
        <v>384.34249999999997</v>
      </c>
      <c r="J53" s="3173">
        <f>(I53-I49)/I49</f>
        <v>-4.0666691627042117E-2</v>
      </c>
      <c r="K53" s="3471" t="s">
        <v>3427</v>
      </c>
      <c r="L53" s="3471">
        <f t="shared" si="11"/>
        <v>352</v>
      </c>
      <c r="M53" s="3475">
        <f t="shared" si="12"/>
        <v>0.1517</v>
      </c>
      <c r="N53" s="3477">
        <f t="shared" si="13"/>
        <v>-1.6759776536312849E-2</v>
      </c>
      <c r="O53" s="3472">
        <f t="shared" si="19"/>
        <v>0</v>
      </c>
      <c r="P53" s="3472">
        <v>772300</v>
      </c>
      <c r="Q53" s="3472">
        <f t="shared" si="14"/>
        <v>1134</v>
      </c>
      <c r="R53" s="3477">
        <f t="shared" si="20"/>
        <v>-1.6759776536312849E-2</v>
      </c>
      <c r="U53" s="3474" t="s">
        <v>3427</v>
      </c>
      <c r="V53" s="3474">
        <f t="shared" si="15"/>
        <v>351.6</v>
      </c>
      <c r="W53" s="3478">
        <f t="shared" si="16"/>
        <v>0.158</v>
      </c>
      <c r="X53" s="3509">
        <f t="shared" si="17"/>
        <v>1219.8</v>
      </c>
      <c r="Y53" s="3473"/>
      <c r="Z53" s="3473"/>
      <c r="AA53" s="3176">
        <f t="shared" si="21"/>
        <v>-2.1974965229485333E-2</v>
      </c>
      <c r="AB53" s="4257"/>
      <c r="AC53" s="3510">
        <f>X54</f>
        <v>1243.7</v>
      </c>
    </row>
    <row r="54" spans="2:30">
      <c r="B54" s="3434" t="s">
        <v>3429</v>
      </c>
      <c r="C54" s="3434">
        <v>384.99</v>
      </c>
      <c r="D54" s="3435">
        <v>3.9E-2</v>
      </c>
      <c r="E54" s="3173">
        <f t="shared" ref="E54:E62" si="23">(C54-C53)/C53</f>
        <v>-2.8490766401615322E-3</v>
      </c>
      <c r="F54" s="3172">
        <f t="shared" ref="F54:F62" si="24">G54-G53</f>
        <v>0</v>
      </c>
      <c r="G54" s="3172">
        <v>104.7</v>
      </c>
      <c r="H54" s="4257"/>
      <c r="I54" s="3170">
        <f>G56</f>
        <v>104.7</v>
      </c>
      <c r="K54" s="3471" t="s">
        <v>3429</v>
      </c>
      <c r="L54" s="3471">
        <f t="shared" si="11"/>
        <v>343</v>
      </c>
      <c r="M54" s="3475">
        <f t="shared" si="12"/>
        <v>0.16070000000000001</v>
      </c>
      <c r="N54" s="3477">
        <f t="shared" si="13"/>
        <v>-2.556818181818182E-2</v>
      </c>
      <c r="O54" s="3472">
        <f t="shared" si="19"/>
        <v>124000</v>
      </c>
      <c r="P54" s="3472">
        <v>896300</v>
      </c>
      <c r="Q54" s="3472">
        <f t="shared" si="14"/>
        <v>1168</v>
      </c>
      <c r="R54" s="3477">
        <f t="shared" si="20"/>
        <v>-2.556818181818182E-2</v>
      </c>
      <c r="S54" s="3172">
        <f>ROUND(AVERAGE(L51:L54),0)</f>
        <v>356</v>
      </c>
      <c r="T54" s="3173">
        <f>ROUND(AVERAGE(M51:M54),4)</f>
        <v>0.14649999999999999</v>
      </c>
      <c r="U54" s="3474" t="s">
        <v>3429</v>
      </c>
      <c r="V54" s="3474">
        <f t="shared" si="15"/>
        <v>343.2</v>
      </c>
      <c r="W54" s="3478">
        <f t="shared" si="16"/>
        <v>0.16400000000000001</v>
      </c>
      <c r="X54" s="3509">
        <f t="shared" si="17"/>
        <v>1243.7</v>
      </c>
      <c r="Y54" s="3473"/>
      <c r="Z54" s="3473"/>
      <c r="AA54" s="3176">
        <f t="shared" si="21"/>
        <v>-2.3890784982935249E-2</v>
      </c>
      <c r="AB54" s="3170"/>
      <c r="AC54" s="3173"/>
    </row>
    <row r="55" spans="2:30">
      <c r="B55" s="3434" t="s">
        <v>3430</v>
      </c>
      <c r="C55" s="3172">
        <v>383.95</v>
      </c>
      <c r="D55" s="3435">
        <v>3.4000000000000002E-2</v>
      </c>
      <c r="E55" s="3173">
        <f t="shared" si="23"/>
        <v>-2.7013688667238641E-3</v>
      </c>
      <c r="F55" s="3172">
        <f t="shared" si="24"/>
        <v>0</v>
      </c>
      <c r="G55" s="3172">
        <v>104.7</v>
      </c>
      <c r="I55" s="3173"/>
      <c r="K55" s="3465" t="s">
        <v>3430</v>
      </c>
      <c r="L55" s="3471">
        <f t="shared" si="11"/>
        <v>338</v>
      </c>
      <c r="M55" s="3475">
        <f t="shared" si="12"/>
        <v>0.16270000000000001</v>
      </c>
      <c r="Q55" s="3479">
        <f>ROUND((G24+Q24+AA24)/1,0)</f>
        <v>2515</v>
      </c>
      <c r="R55" s="3477">
        <f t="shared" si="20"/>
        <v>-1.4577259475218658E-2</v>
      </c>
      <c r="U55" s="3474" t="s">
        <v>3430</v>
      </c>
      <c r="V55" s="3474">
        <f t="shared" si="15"/>
        <v>339.5</v>
      </c>
      <c r="W55" s="3478">
        <f t="shared" si="16"/>
        <v>0.16900000000000001</v>
      </c>
      <c r="X55" s="3509">
        <f t="shared" si="17"/>
        <v>1257.7</v>
      </c>
      <c r="Y55" s="3473"/>
      <c r="Z55" s="3473"/>
      <c r="AA55" s="3176">
        <f t="shared" si="21"/>
        <v>-1.0780885780885749E-2</v>
      </c>
      <c r="AB55" s="4257" t="s">
        <v>3472</v>
      </c>
      <c r="AC55" s="3173">
        <f>AVERAGE(W55:W58)</f>
        <v>0.16387499999999999</v>
      </c>
    </row>
    <row r="56" spans="2:30">
      <c r="B56" s="3434" t="s">
        <v>3431</v>
      </c>
      <c r="C56" s="3172">
        <v>382.34</v>
      </c>
      <c r="D56" s="3435">
        <v>2.1999999999999999E-2</v>
      </c>
      <c r="E56" s="3173">
        <f t="shared" si="23"/>
        <v>-4.1932543299909196E-3</v>
      </c>
      <c r="F56" s="3172">
        <f t="shared" si="24"/>
        <v>0</v>
      </c>
      <c r="G56" s="3172">
        <v>104.7</v>
      </c>
      <c r="H56" s="4257" t="s">
        <v>3489</v>
      </c>
      <c r="I56" s="3173">
        <f>AVERAGE(D57:D60)</f>
        <v>4.7149999999999997E-2</v>
      </c>
      <c r="K56" s="3434" t="s">
        <v>3431</v>
      </c>
      <c r="L56" s="3471">
        <f t="shared" si="11"/>
        <v>333</v>
      </c>
      <c r="M56" s="3475">
        <f t="shared" si="12"/>
        <v>0.1633</v>
      </c>
      <c r="Q56" s="3480">
        <f>ROUND((G25+Q25+AA25)/2,0)</f>
        <v>1300</v>
      </c>
      <c r="R56" s="3477">
        <f t="shared" si="20"/>
        <v>-1.4792899408284023E-2</v>
      </c>
      <c r="U56" s="3474" t="s">
        <v>3431</v>
      </c>
      <c r="V56" s="3474">
        <f t="shared" si="15"/>
        <v>333.7</v>
      </c>
      <c r="W56" s="3478">
        <f t="shared" si="16"/>
        <v>0.17399999999999999</v>
      </c>
      <c r="X56" s="3509">
        <f t="shared" si="17"/>
        <v>1300.2</v>
      </c>
      <c r="Y56" s="3473"/>
      <c r="Z56" s="3473"/>
      <c r="AA56" s="3176">
        <f t="shared" si="21"/>
        <v>-1.708394698085423E-2</v>
      </c>
      <c r="AB56" s="4257"/>
      <c r="AC56" s="3172">
        <f>AVERAGE(V57:V60)</f>
        <v>337.02499999999998</v>
      </c>
      <c r="AD56" s="3173">
        <f>(AC56-AC52)/AC52</f>
        <v>-1.4546783625731061E-2</v>
      </c>
    </row>
    <row r="57" spans="2:30">
      <c r="B57" s="3434" t="s">
        <v>3432</v>
      </c>
      <c r="C57" s="3172">
        <v>384.91</v>
      </c>
      <c r="D57" s="3435">
        <v>1.47E-2</v>
      </c>
      <c r="E57" s="3173">
        <f t="shared" si="23"/>
        <v>6.721765967463645E-3</v>
      </c>
      <c r="F57" s="3172">
        <f t="shared" si="24"/>
        <v>0</v>
      </c>
      <c r="G57" s="3172">
        <v>104.7</v>
      </c>
      <c r="H57" s="4257"/>
      <c r="I57" s="3172">
        <f>AVERAGE(C57:C60)</f>
        <v>386.23250000000002</v>
      </c>
      <c r="J57" s="3173">
        <f>(I57-I53)/I53</f>
        <v>4.9174889584161089E-3</v>
      </c>
      <c r="K57" s="3434" t="s">
        <v>3432</v>
      </c>
      <c r="L57" s="3471">
        <f t="shared" si="11"/>
        <v>335</v>
      </c>
      <c r="M57" s="3475">
        <f t="shared" si="12"/>
        <v>0.15029999999999999</v>
      </c>
      <c r="Q57" s="3480">
        <f>ROUND((G26+Q26+AA26)/2,0)</f>
        <v>1326</v>
      </c>
      <c r="R57" s="3477">
        <f t="shared" si="20"/>
        <v>6.006006006006006E-3</v>
      </c>
      <c r="U57" s="3474" t="s">
        <v>3432</v>
      </c>
      <c r="V57" s="3474">
        <f t="shared" si="15"/>
        <v>336.9</v>
      </c>
      <c r="W57" s="3478">
        <f t="shared" si="16"/>
        <v>0.16450000000000001</v>
      </c>
      <c r="X57" s="3509">
        <f t="shared" si="17"/>
        <v>1325.6</v>
      </c>
      <c r="Y57" s="3473"/>
      <c r="Z57" s="3473"/>
      <c r="AA57" s="3176">
        <f t="shared" si="21"/>
        <v>9.5894516032364058E-3</v>
      </c>
      <c r="AB57" s="4257"/>
      <c r="AC57" s="3510">
        <f>X58</f>
        <v>1338.6</v>
      </c>
    </row>
    <row r="58" spans="2:30">
      <c r="B58" s="3434" t="s">
        <v>3433</v>
      </c>
      <c r="C58" s="3172">
        <v>391.71</v>
      </c>
      <c r="D58" s="3435">
        <v>5.5899999999999998E-2</v>
      </c>
      <c r="E58" s="3173">
        <f t="shared" si="23"/>
        <v>1.7666467485905678E-2</v>
      </c>
      <c r="F58" s="3172">
        <f t="shared" si="24"/>
        <v>5.7000000000000028</v>
      </c>
      <c r="G58" s="3172">
        <v>110.4</v>
      </c>
      <c r="H58" s="4257"/>
      <c r="I58" s="3170">
        <f>G60</f>
        <v>110.4</v>
      </c>
      <c r="K58" s="3434" t="s">
        <v>3433</v>
      </c>
      <c r="L58" s="3481">
        <f>ROUND((C27+L27+V27)/2,0)</f>
        <v>339</v>
      </c>
      <c r="M58" s="3482">
        <f>ROUND((D27+M27+W27)/2,4)</f>
        <v>0.14799999999999999</v>
      </c>
      <c r="Q58" s="3480">
        <f>ROUND((G27+Q27+AA27)/2,0)</f>
        <v>1339</v>
      </c>
      <c r="R58" s="3477">
        <f t="shared" si="20"/>
        <v>1.1940298507462687E-2</v>
      </c>
      <c r="S58" s="3172">
        <f>ROUND(AVERAGE(L55:L58),0)</f>
        <v>336</v>
      </c>
      <c r="T58" s="3173">
        <f>ROUND(AVERAGE(M55:M58),4)</f>
        <v>0.15609999999999999</v>
      </c>
      <c r="U58" s="3474" t="s">
        <v>3433</v>
      </c>
      <c r="V58" s="3474">
        <f t="shared" si="15"/>
        <v>339.3</v>
      </c>
      <c r="W58" s="3478">
        <f t="shared" si="16"/>
        <v>0.14799999999999999</v>
      </c>
      <c r="X58" s="3509">
        <f t="shared" si="17"/>
        <v>1338.6</v>
      </c>
      <c r="Y58" s="3473"/>
      <c r="Z58" s="3473"/>
      <c r="AA58" s="3176">
        <f t="shared" si="21"/>
        <v>7.1237756010686677E-3</v>
      </c>
      <c r="AB58" s="3170"/>
      <c r="AC58" s="3173"/>
    </row>
    <row r="59" spans="2:30">
      <c r="B59" s="3434" t="s">
        <v>3434</v>
      </c>
      <c r="C59" s="3172">
        <v>384.64</v>
      </c>
      <c r="D59" s="3435">
        <v>5.6000000000000001E-2</v>
      </c>
      <c r="E59" s="3173">
        <f t="shared" si="23"/>
        <v>-1.8049066911745917E-2</v>
      </c>
      <c r="F59" s="3172">
        <f t="shared" si="24"/>
        <v>0</v>
      </c>
      <c r="G59" s="3172">
        <v>110.4</v>
      </c>
      <c r="I59" s="3173"/>
      <c r="K59" s="3434" t="s">
        <v>3434</v>
      </c>
      <c r="L59" s="3481">
        <f>ROUND((C28+L28+V28)/2,0)</f>
        <v>337</v>
      </c>
      <c r="M59" s="3482">
        <f>ROUND((D28+M28+W28)/2,4)</f>
        <v>0.14799999999999999</v>
      </c>
      <c r="Q59" s="3480">
        <f>ROUND((G28+Q28+AA28)/2,0)</f>
        <v>1354</v>
      </c>
      <c r="R59" s="3477">
        <f t="shared" si="20"/>
        <v>-5.8997050147492625E-3</v>
      </c>
      <c r="U59" s="3474" t="s">
        <v>3434</v>
      </c>
      <c r="V59" s="3474">
        <f t="shared" si="15"/>
        <v>336.8</v>
      </c>
      <c r="W59" s="3478">
        <f t="shared" si="16"/>
        <v>0.14799999999999999</v>
      </c>
      <c r="X59" s="3509">
        <f t="shared" si="17"/>
        <v>1354.4</v>
      </c>
      <c r="Y59" s="3473"/>
      <c r="Z59" s="3473"/>
      <c r="AA59" s="3176">
        <f t="shared" si="21"/>
        <v>-7.3681108163866785E-3</v>
      </c>
      <c r="AB59" s="4257" t="s">
        <v>3473</v>
      </c>
      <c r="AC59" s="3173">
        <f>AVERAGE(W59:W62)</f>
        <v>0.1525</v>
      </c>
    </row>
    <row r="60" spans="2:30">
      <c r="B60" s="3434" t="s">
        <v>3435</v>
      </c>
      <c r="C60" s="3172">
        <v>383.67</v>
      </c>
      <c r="D60" s="3435">
        <v>6.2E-2</v>
      </c>
      <c r="E60" s="3173">
        <f t="shared" si="23"/>
        <v>-2.5218386023293741E-3</v>
      </c>
      <c r="F60" s="3172">
        <f t="shared" si="24"/>
        <v>0</v>
      </c>
      <c r="G60" s="3172">
        <v>110.4</v>
      </c>
      <c r="H60" s="4257"/>
      <c r="I60" s="3173"/>
      <c r="K60" s="3434" t="s">
        <v>3435</v>
      </c>
      <c r="L60" s="3481">
        <f>ROUND((C29+L29+V29)/2,0)</f>
        <v>335</v>
      </c>
      <c r="M60" s="3482">
        <f>ROUND((D29+M29+W29)/2,4)</f>
        <v>0.14849999999999999</v>
      </c>
      <c r="Q60" s="3480">
        <f>ROUND((G29+Q29+AA29)/2,0)</f>
        <v>1359</v>
      </c>
      <c r="R60" s="3477">
        <f t="shared" si="20"/>
        <v>-5.9347181008902079E-3</v>
      </c>
      <c r="U60" s="3474" t="s">
        <v>3435</v>
      </c>
      <c r="V60" s="3474">
        <f t="shared" si="15"/>
        <v>335.1</v>
      </c>
      <c r="W60" s="3478">
        <f t="shared" si="16"/>
        <v>0.14849999999999999</v>
      </c>
      <c r="X60" s="3509">
        <f t="shared" si="17"/>
        <v>1359.1</v>
      </c>
      <c r="Y60" s="3473"/>
      <c r="Z60" s="3473"/>
      <c r="AA60" s="3176">
        <f t="shared" si="21"/>
        <v>-5.0475059382422468E-3</v>
      </c>
      <c r="AB60" s="4257"/>
      <c r="AC60" s="3172">
        <f>AVERAGE(V61:V64)</f>
        <v>327.45</v>
      </c>
      <c r="AD60" s="3173">
        <f>(AC60-AC56)/AC56</f>
        <v>-2.8410355314887586E-2</v>
      </c>
    </row>
    <row r="61" spans="2:30">
      <c r="B61" s="3434" t="s">
        <v>3436</v>
      </c>
      <c r="C61" s="3172">
        <v>381.22</v>
      </c>
      <c r="D61" s="3435">
        <v>0.111</v>
      </c>
      <c r="E61" s="3173">
        <f t="shared" si="23"/>
        <v>-6.3856960408684247E-3</v>
      </c>
      <c r="F61" s="3172">
        <f t="shared" si="24"/>
        <v>8</v>
      </c>
      <c r="G61" s="3172">
        <v>118.4</v>
      </c>
      <c r="H61" s="4257"/>
      <c r="I61" s="3172"/>
      <c r="J61" s="3173"/>
      <c r="K61" s="3434" t="s">
        <v>3436</v>
      </c>
      <c r="L61" s="3483">
        <f>ROUND((C30+L30+V30)/1,0)</f>
        <v>662</v>
      </c>
      <c r="M61" s="3484">
        <f>ROUND((D30+M30+W30)/1,4)</f>
        <v>0.30399999999999999</v>
      </c>
      <c r="Q61" s="3479">
        <f>ROUND((G30+Q30+AA30)/1,0)</f>
        <v>2733</v>
      </c>
      <c r="R61" s="3477">
        <f t="shared" si="20"/>
        <v>0.9761194029850746</v>
      </c>
      <c r="U61" s="3474" t="s">
        <v>3436</v>
      </c>
      <c r="V61" s="3474">
        <f t="shared" si="15"/>
        <v>331.2</v>
      </c>
      <c r="W61" s="3478">
        <f t="shared" si="16"/>
        <v>0.152</v>
      </c>
      <c r="X61" s="3509">
        <f t="shared" si="17"/>
        <v>1366.7</v>
      </c>
      <c r="Y61" s="3473"/>
      <c r="Z61" s="3473"/>
      <c r="AA61" s="3176">
        <f t="shared" si="21"/>
        <v>-1.1638316920322392E-2</v>
      </c>
      <c r="AB61" s="4257"/>
      <c r="AC61" s="3510">
        <f>X62</f>
        <v>1374.4</v>
      </c>
    </row>
    <row r="62" spans="2:30">
      <c r="B62" s="3434" t="s">
        <v>3437</v>
      </c>
      <c r="C62" s="3172">
        <v>362.87</v>
      </c>
      <c r="D62" s="3435">
        <v>0.14599999999999999</v>
      </c>
      <c r="E62" s="3173">
        <f t="shared" si="23"/>
        <v>-4.8134935208016427E-2</v>
      </c>
      <c r="F62" s="3172">
        <f t="shared" si="24"/>
        <v>0</v>
      </c>
      <c r="G62" s="3172">
        <v>118.4</v>
      </c>
      <c r="H62" s="4257"/>
      <c r="K62" s="3434" t="s">
        <v>3437</v>
      </c>
      <c r="L62" s="3483">
        <f>ROUND((C31+L31+V31)/1,0)</f>
        <v>647</v>
      </c>
      <c r="M62" s="3484">
        <f>ROUND((D31+M31+W31)/1,4)</f>
        <v>0.32300000000000001</v>
      </c>
      <c r="Q62" s="3479">
        <f>ROUND((G31+Q31+AA31)/1,0)</f>
        <v>2749</v>
      </c>
      <c r="R62" s="3477">
        <f t="shared" si="20"/>
        <v>-2.2658610271903322E-2</v>
      </c>
      <c r="S62" s="3172">
        <f>ROUND(AVERAGE(L59:L62),0)</f>
        <v>495</v>
      </c>
      <c r="T62" s="3173">
        <f>ROUND(AVERAGE(M59:M62),4)</f>
        <v>0.23089999999999999</v>
      </c>
      <c r="U62" s="3474" t="s">
        <v>3437</v>
      </c>
      <c r="V62" s="3474">
        <f t="shared" si="15"/>
        <v>323.7</v>
      </c>
      <c r="W62" s="3478">
        <f t="shared" si="16"/>
        <v>0.1615</v>
      </c>
      <c r="X62" s="3509">
        <f t="shared" si="17"/>
        <v>1374.4</v>
      </c>
      <c r="Y62" s="3473"/>
      <c r="Z62" s="3473"/>
      <c r="AA62" s="3176">
        <f t="shared" si="21"/>
        <v>-2.2644927536231884E-2</v>
      </c>
    </row>
    <row r="64" spans="2:30">
      <c r="M64" s="3472"/>
      <c r="Q64" s="3434" t="s">
        <v>3441</v>
      </c>
    </row>
    <row r="65" spans="11:28">
      <c r="M65" s="3480"/>
      <c r="Q65" s="3434" t="s">
        <v>3442</v>
      </c>
      <c r="AB65" s="3472"/>
    </row>
    <row r="66" spans="11:28">
      <c r="M66" s="3479"/>
      <c r="Q66" s="3434" t="s">
        <v>3444</v>
      </c>
      <c r="AB66" s="3471"/>
    </row>
    <row r="67" spans="11:28">
      <c r="AB67" s="3472"/>
    </row>
    <row r="68" spans="11:28">
      <c r="AB68" s="3477"/>
    </row>
    <row r="69" spans="11:28">
      <c r="AB69" s="3477"/>
    </row>
    <row r="70" spans="11:28">
      <c r="AB70" s="3477"/>
    </row>
    <row r="71" spans="11:28">
      <c r="K71" s="4258" t="s">
        <v>3443</v>
      </c>
      <c r="L71" s="4258"/>
      <c r="M71" s="4258"/>
      <c r="N71" s="4258"/>
      <c r="O71" s="3471"/>
      <c r="P71" s="3471"/>
      <c r="Q71" s="3472"/>
      <c r="AB71" s="3477"/>
    </row>
    <row r="72" spans="11:28">
      <c r="K72" s="3471"/>
      <c r="L72" s="3471" t="s">
        <v>3387</v>
      </c>
      <c r="M72" s="3471" t="s">
        <v>3388</v>
      </c>
      <c r="N72" s="3472" t="s">
        <v>3393</v>
      </c>
      <c r="O72" s="3471" t="s">
        <v>3390</v>
      </c>
      <c r="P72" s="3471" t="s">
        <v>3438</v>
      </c>
      <c r="Q72" s="3471" t="s">
        <v>3394</v>
      </c>
      <c r="AB72" s="3477"/>
    </row>
    <row r="73" spans="11:28">
      <c r="K73" s="3471"/>
      <c r="L73" s="3471"/>
      <c r="M73" s="3475"/>
      <c r="N73" s="3472"/>
      <c r="O73" s="3472"/>
      <c r="P73" s="3472"/>
      <c r="Q73" s="3472"/>
      <c r="AB73" s="3477"/>
    </row>
    <row r="74" spans="11:28">
      <c r="K74" s="3471" t="s">
        <v>3398</v>
      </c>
      <c r="L74" s="3471">
        <f t="shared" ref="L74:L92" si="25">ROUND((C5+L5)/2,0)</f>
        <v>376</v>
      </c>
      <c r="M74" s="3475">
        <f t="shared" ref="M74:M92" si="26">ROUND((D5+M5)/2,4)</f>
        <v>5.9499999999999997E-2</v>
      </c>
      <c r="N74" s="3477"/>
      <c r="O74" s="3472">
        <f>P74-P73</f>
        <v>843800</v>
      </c>
      <c r="P74" s="3472">
        <v>843800</v>
      </c>
      <c r="Q74" s="3472">
        <f t="shared" ref="Q74:Q92" si="27">ROUND((G5+Q5)/2,0)</f>
        <v>781</v>
      </c>
      <c r="AB74" s="3477"/>
    </row>
    <row r="75" spans="11:28">
      <c r="K75" s="3471" t="s">
        <v>3399</v>
      </c>
      <c r="L75" s="3471">
        <f t="shared" si="25"/>
        <v>377</v>
      </c>
      <c r="M75" s="3475">
        <f t="shared" si="26"/>
        <v>5.3499999999999999E-2</v>
      </c>
      <c r="N75" s="3477">
        <f>(L75-L74)/L74</f>
        <v>2.6595744680851063E-3</v>
      </c>
      <c r="O75" s="3472">
        <f t="shared" ref="O75:O92" si="28">P75-P74</f>
        <v>0</v>
      </c>
      <c r="P75" s="3472">
        <v>843800</v>
      </c>
      <c r="Q75" s="3472">
        <f t="shared" si="27"/>
        <v>815</v>
      </c>
      <c r="AB75" s="3477"/>
    </row>
    <row r="76" spans="11:28">
      <c r="K76" s="3471" t="s">
        <v>3400</v>
      </c>
      <c r="L76" s="3471">
        <f t="shared" si="25"/>
        <v>380</v>
      </c>
      <c r="M76" s="3475">
        <f t="shared" si="26"/>
        <v>5.2499999999999998E-2</v>
      </c>
      <c r="N76" s="3477">
        <f t="shared" ref="N76:N92" si="29">(L76-L75)/L75</f>
        <v>7.9575596816976128E-3</v>
      </c>
      <c r="O76" s="3472">
        <f t="shared" si="28"/>
        <v>-71500</v>
      </c>
      <c r="P76" s="3472">
        <v>772300</v>
      </c>
      <c r="Q76" s="3472">
        <f t="shared" si="27"/>
        <v>833</v>
      </c>
      <c r="AB76" s="3477"/>
    </row>
    <row r="77" spans="11:28">
      <c r="K77" s="3471" t="s">
        <v>3401</v>
      </c>
      <c r="L77" s="3471">
        <f t="shared" si="25"/>
        <v>380</v>
      </c>
      <c r="M77" s="3475">
        <f t="shared" si="26"/>
        <v>5.6000000000000001E-2</v>
      </c>
      <c r="N77" s="3477">
        <f t="shared" si="29"/>
        <v>0</v>
      </c>
      <c r="O77" s="3472">
        <f t="shared" si="28"/>
        <v>0</v>
      </c>
      <c r="P77" s="3472">
        <v>772300</v>
      </c>
      <c r="Q77" s="3472">
        <f t="shared" si="27"/>
        <v>847</v>
      </c>
      <c r="AB77" s="3477"/>
    </row>
    <row r="78" spans="11:28">
      <c r="K78" s="3471" t="s">
        <v>3402</v>
      </c>
      <c r="L78" s="3471">
        <f t="shared" si="25"/>
        <v>383</v>
      </c>
      <c r="M78" s="3475">
        <f t="shared" si="26"/>
        <v>6.7500000000000004E-2</v>
      </c>
      <c r="N78" s="3477">
        <f t="shared" si="29"/>
        <v>7.8947368421052634E-3</v>
      </c>
      <c r="O78" s="3472">
        <f t="shared" si="28"/>
        <v>0</v>
      </c>
      <c r="P78" s="3472">
        <v>772300</v>
      </c>
      <c r="Q78" s="3472">
        <f t="shared" si="27"/>
        <v>871</v>
      </c>
      <c r="AB78" s="3477"/>
    </row>
    <row r="79" spans="11:28">
      <c r="K79" s="3471" t="s">
        <v>3403</v>
      </c>
      <c r="L79" s="3471">
        <f t="shared" si="25"/>
        <v>384</v>
      </c>
      <c r="M79" s="3475">
        <f t="shared" si="26"/>
        <v>5.9499999999999997E-2</v>
      </c>
      <c r="N79" s="3477">
        <f t="shared" si="29"/>
        <v>2.6109660574412533E-3</v>
      </c>
      <c r="O79" s="3472">
        <f t="shared" si="28"/>
        <v>0</v>
      </c>
      <c r="P79" s="3472">
        <v>772300</v>
      </c>
      <c r="Q79" s="3472">
        <f t="shared" si="27"/>
        <v>871</v>
      </c>
      <c r="AB79" s="3477"/>
    </row>
    <row r="80" spans="11:28">
      <c r="K80" s="3471" t="s">
        <v>3404</v>
      </c>
      <c r="L80" s="3471">
        <f t="shared" si="25"/>
        <v>385</v>
      </c>
      <c r="M80" s="3475">
        <f t="shared" si="26"/>
        <v>7.3999999999999996E-2</v>
      </c>
      <c r="N80" s="3477">
        <f t="shared" si="29"/>
        <v>2.6041666666666665E-3</v>
      </c>
      <c r="O80" s="3472">
        <f t="shared" si="28"/>
        <v>0</v>
      </c>
      <c r="P80" s="3472">
        <v>772300</v>
      </c>
      <c r="Q80" s="3472">
        <f t="shared" si="27"/>
        <v>912</v>
      </c>
      <c r="AB80" s="3477"/>
    </row>
    <row r="81" spans="7:28">
      <c r="K81" s="3471" t="s">
        <v>3405</v>
      </c>
      <c r="L81" s="3471">
        <f t="shared" si="25"/>
        <v>381</v>
      </c>
      <c r="M81" s="3475">
        <f t="shared" si="26"/>
        <v>6.3500000000000001E-2</v>
      </c>
      <c r="N81" s="3477">
        <f t="shared" si="29"/>
        <v>-1.038961038961039E-2</v>
      </c>
      <c r="O81" s="3472">
        <f t="shared" si="28"/>
        <v>0</v>
      </c>
      <c r="P81" s="3472">
        <v>772300</v>
      </c>
      <c r="Q81" s="3472">
        <f t="shared" si="27"/>
        <v>931</v>
      </c>
      <c r="AB81" s="3477"/>
    </row>
    <row r="82" spans="7:28">
      <c r="G82" s="3170"/>
      <c r="H82" s="3172"/>
      <c r="I82" s="3172"/>
      <c r="K82" s="3471" t="s">
        <v>3409</v>
      </c>
      <c r="L82" s="3471">
        <f t="shared" si="25"/>
        <v>389</v>
      </c>
      <c r="M82" s="3475">
        <f t="shared" si="26"/>
        <v>5.1999999999999998E-2</v>
      </c>
      <c r="N82" s="3477">
        <f t="shared" si="29"/>
        <v>2.0997375328083989E-2</v>
      </c>
      <c r="O82" s="3472">
        <f t="shared" si="28"/>
        <v>0</v>
      </c>
      <c r="P82" s="3472">
        <v>772300</v>
      </c>
      <c r="Q82" s="3472">
        <f t="shared" si="27"/>
        <v>935</v>
      </c>
      <c r="AB82" s="3477"/>
    </row>
    <row r="83" spans="7:28">
      <c r="G83" s="3170"/>
      <c r="H83" s="3172"/>
      <c r="I83" s="3172"/>
      <c r="K83" s="3471" t="s">
        <v>3411</v>
      </c>
      <c r="L83" s="3471">
        <f t="shared" si="25"/>
        <v>397</v>
      </c>
      <c r="M83" s="3475">
        <f t="shared" si="26"/>
        <v>5.5500000000000001E-2</v>
      </c>
      <c r="N83" s="3477">
        <f t="shared" si="29"/>
        <v>2.056555269922879E-2</v>
      </c>
      <c r="O83" s="3472">
        <f t="shared" si="28"/>
        <v>0</v>
      </c>
      <c r="P83" s="3472">
        <v>772300</v>
      </c>
      <c r="Q83" s="3472">
        <f t="shared" si="27"/>
        <v>940</v>
      </c>
      <c r="AB83" s="3477"/>
    </row>
    <row r="84" spans="7:28">
      <c r="G84" s="3170"/>
      <c r="H84" s="3172"/>
      <c r="I84" s="3172"/>
      <c r="K84" s="3471" t="s">
        <v>3413</v>
      </c>
      <c r="L84" s="3471">
        <f t="shared" si="25"/>
        <v>393</v>
      </c>
      <c r="M84" s="3475">
        <f t="shared" si="26"/>
        <v>6.5000000000000002E-2</v>
      </c>
      <c r="N84" s="3477">
        <f t="shared" si="29"/>
        <v>-1.0075566750629723E-2</v>
      </c>
      <c r="O84" s="3472">
        <f t="shared" si="28"/>
        <v>0</v>
      </c>
      <c r="P84" s="3472">
        <v>772300</v>
      </c>
      <c r="Q84" s="3472">
        <f t="shared" si="27"/>
        <v>957</v>
      </c>
      <c r="AB84" s="3477"/>
    </row>
    <row r="85" spans="7:28">
      <c r="G85" s="3170"/>
      <c r="H85" s="3172"/>
      <c r="I85" s="3172"/>
      <c r="K85" s="3471" t="s">
        <v>3415</v>
      </c>
      <c r="L85" s="3471">
        <f t="shared" si="25"/>
        <v>391</v>
      </c>
      <c r="M85" s="3475">
        <f t="shared" si="26"/>
        <v>6.8599999999999994E-2</v>
      </c>
      <c r="N85" s="3477">
        <f t="shared" si="29"/>
        <v>-5.0890585241730284E-3</v>
      </c>
      <c r="O85" s="3472">
        <f t="shared" si="28"/>
        <v>0</v>
      </c>
      <c r="P85" s="3472">
        <v>772300</v>
      </c>
      <c r="Q85" s="3472">
        <f t="shared" si="27"/>
        <v>963</v>
      </c>
      <c r="AB85" s="3477"/>
    </row>
    <row r="86" spans="7:28">
      <c r="G86" s="3170"/>
      <c r="H86" s="3172"/>
      <c r="I86" s="3172"/>
      <c r="K86" s="3471" t="s">
        <v>3417</v>
      </c>
      <c r="L86" s="3471">
        <f t="shared" si="25"/>
        <v>387</v>
      </c>
      <c r="M86" s="3475">
        <f t="shared" si="26"/>
        <v>7.9000000000000001E-2</v>
      </c>
      <c r="N86" s="3477">
        <f t="shared" si="29"/>
        <v>-1.0230179028132993E-2</v>
      </c>
      <c r="O86" s="3472">
        <f t="shared" si="28"/>
        <v>0</v>
      </c>
      <c r="P86" s="3472">
        <v>772300</v>
      </c>
      <c r="Q86" s="3472">
        <f t="shared" si="27"/>
        <v>959</v>
      </c>
      <c r="AB86" s="3477"/>
    </row>
    <row r="87" spans="7:28">
      <c r="G87" s="3170"/>
      <c r="K87" s="3471" t="s">
        <v>3419</v>
      </c>
      <c r="L87" s="3471">
        <f t="shared" si="25"/>
        <v>381</v>
      </c>
      <c r="M87" s="3475">
        <f t="shared" si="26"/>
        <v>8.6300000000000002E-2</v>
      </c>
      <c r="N87" s="3477">
        <f t="shared" si="29"/>
        <v>-1.5503875968992248E-2</v>
      </c>
      <c r="O87" s="3472">
        <f t="shared" si="28"/>
        <v>0</v>
      </c>
      <c r="P87" s="3472">
        <v>772300</v>
      </c>
      <c r="Q87" s="3472">
        <f t="shared" si="27"/>
        <v>969</v>
      </c>
    </row>
    <row r="88" spans="7:28">
      <c r="K88" s="3471" t="s">
        <v>3421</v>
      </c>
      <c r="L88" s="3471">
        <f t="shared" si="25"/>
        <v>381</v>
      </c>
      <c r="M88" s="3475">
        <f t="shared" si="26"/>
        <v>0.124</v>
      </c>
      <c r="N88" s="3477">
        <f t="shared" si="29"/>
        <v>0</v>
      </c>
      <c r="O88" s="3472">
        <f t="shared" si="28"/>
        <v>0</v>
      </c>
      <c r="P88" s="3472">
        <v>772300</v>
      </c>
      <c r="Q88" s="3472">
        <f t="shared" si="27"/>
        <v>1038</v>
      </c>
    </row>
    <row r="89" spans="7:28">
      <c r="K89" s="3471" t="s">
        <v>3423</v>
      </c>
      <c r="L89" s="3471">
        <f t="shared" si="25"/>
        <v>376</v>
      </c>
      <c r="M89" s="3475">
        <f t="shared" si="26"/>
        <v>0.1255</v>
      </c>
      <c r="N89" s="3477">
        <f t="shared" si="29"/>
        <v>-1.3123359580052493E-2</v>
      </c>
      <c r="O89" s="3472">
        <f t="shared" si="28"/>
        <v>0</v>
      </c>
      <c r="P89" s="3472">
        <v>772300</v>
      </c>
      <c r="Q89" s="3472">
        <f t="shared" si="27"/>
        <v>1038</v>
      </c>
    </row>
    <row r="90" spans="7:28">
      <c r="K90" s="3471" t="s">
        <v>3425</v>
      </c>
      <c r="L90" s="3471">
        <f t="shared" si="25"/>
        <v>357</v>
      </c>
      <c r="M90" s="3475">
        <f t="shared" si="26"/>
        <v>0.151</v>
      </c>
      <c r="N90" s="3477">
        <f t="shared" si="29"/>
        <v>-5.0531914893617018E-2</v>
      </c>
      <c r="O90" s="3472">
        <f t="shared" si="28"/>
        <v>0</v>
      </c>
      <c r="P90" s="3472">
        <v>772300</v>
      </c>
      <c r="Q90" s="3472">
        <f t="shared" si="27"/>
        <v>1056</v>
      </c>
    </row>
    <row r="91" spans="7:28">
      <c r="K91" s="3471" t="s">
        <v>3427</v>
      </c>
      <c r="L91" s="3471">
        <f t="shared" si="25"/>
        <v>350</v>
      </c>
      <c r="M91" s="3475">
        <f t="shared" si="26"/>
        <v>0.1525</v>
      </c>
      <c r="N91" s="3477">
        <f t="shared" si="29"/>
        <v>-1.9607843137254902E-2</v>
      </c>
      <c r="O91" s="3472">
        <f t="shared" si="28"/>
        <v>0</v>
      </c>
      <c r="P91" s="3472">
        <v>772300</v>
      </c>
      <c r="Q91" s="3472">
        <f t="shared" si="27"/>
        <v>1065</v>
      </c>
    </row>
    <row r="92" spans="7:28">
      <c r="K92" s="3471" t="s">
        <v>3429</v>
      </c>
      <c r="L92" s="3471">
        <f t="shared" si="25"/>
        <v>340</v>
      </c>
      <c r="M92" s="3475">
        <f t="shared" si="26"/>
        <v>0.16200000000000001</v>
      </c>
      <c r="N92" s="3477">
        <f t="shared" si="29"/>
        <v>-2.8571428571428571E-2</v>
      </c>
      <c r="O92" s="3472">
        <f t="shared" si="28"/>
        <v>124000</v>
      </c>
      <c r="P92" s="3472">
        <v>896300</v>
      </c>
      <c r="Q92" s="3472">
        <f t="shared" si="27"/>
        <v>1108</v>
      </c>
    </row>
  </sheetData>
  <mergeCells count="21">
    <mergeCell ref="B33:H33"/>
    <mergeCell ref="K33:N33"/>
    <mergeCell ref="U33:AA33"/>
    <mergeCell ref="B2:E2"/>
    <mergeCell ref="K2:N2"/>
    <mergeCell ref="U2:X2"/>
    <mergeCell ref="K71:N71"/>
    <mergeCell ref="H36:H38"/>
    <mergeCell ref="H40:H42"/>
    <mergeCell ref="H44:H46"/>
    <mergeCell ref="H48:H50"/>
    <mergeCell ref="H52:H54"/>
    <mergeCell ref="H56:H58"/>
    <mergeCell ref="H60:H62"/>
    <mergeCell ref="AB59:AB61"/>
    <mergeCell ref="AB35:AB37"/>
    <mergeCell ref="AB39:AB41"/>
    <mergeCell ref="AB43:AB45"/>
    <mergeCell ref="AB47:AB49"/>
    <mergeCell ref="AB51:AB53"/>
    <mergeCell ref="AB55:AB57"/>
  </mergeCells>
  <phoneticPr fontId="148" type="noConversion"/>
  <hyperlinks>
    <hyperlink ref="AE13" r:id="rId1" display="http://bj.cityhouse.cn/lmarketha/pa00025093dc043/" xr:uid="{4B1DC864-8EC8-471B-8886-CA94B4BB285E}"/>
    <hyperlink ref="AE14" r:id="rId2" display="http://bj.cityhouse.cn/lmarketha/pa00022420dc689/" xr:uid="{63C6715D-C08D-4128-AF03-B82AA4166C48}"/>
    <hyperlink ref="AE15" r:id="rId3" display="http://bj.cityhouse.cn/lmarketha/pa00024376dc680/" xr:uid="{6AF811B7-BFAA-4B7D-A17C-B7E509B93094}"/>
    <hyperlink ref="AE16" r:id="rId4" display="http://bj.cityhouse.cn/lmarketha/pa00024048dc020/" xr:uid="{E7A44F9A-1CBE-493B-BBC5-3C17F533EBBC}"/>
    <hyperlink ref="AE17" r:id="rId5" display="http://bj.cityhouse.cn/lmarketha/pa0123004cy866/" xr:uid="{24E444C0-EB7E-4F59-8013-6C01AE0F3A8F}"/>
    <hyperlink ref="AE18" r:id="rId6" display="http://bj.cityhouse.cn/lmarketha/sa0036900dc705/" xr:uid="{F9891F8B-6898-484F-A6D9-9EEE0F4A34A1}"/>
    <hyperlink ref="AE19" r:id="rId7" display="http://bj.cityhouse.cn/lmarketha/0163022498/" xr:uid="{4583C238-C89A-4A21-A229-A686F2EA8D63}"/>
    <hyperlink ref="AE20" r:id="rId8" display="http://bj.cityhouse.cn/lmarketha/pa00022566dc977/" xr:uid="{EF8E5AEA-2E5B-4834-A21E-3F3EEE103ACC}"/>
    <hyperlink ref="AE21" r:id="rId9" display="http://bj.cityhouse.cn/lmarketha/pa00025908dc061/" xr:uid="{0B30CD51-FBB9-46E5-ACCC-62F9E42F6F79}"/>
    <hyperlink ref="AE22" r:id="rId10" display="http://bj.cityhouse.cn/lmarketha/pa00023555dc402/" xr:uid="{09A9C386-1EC1-487A-AB49-A1E700EB15F0}"/>
  </hyperlinks>
  <pageMargins left="0.7" right="0.7" top="0.75" bottom="0.75" header="0.3" footer="0.3"/>
  <drawing r:id="rId1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5382-052D-4205-9226-68DC4DC36BAB}">
  <dimension ref="A1:M71"/>
  <sheetViews>
    <sheetView workbookViewId="0">
      <selection activeCell="L9" sqref="L9"/>
    </sheetView>
  </sheetViews>
  <sheetFormatPr defaultRowHeight="13.5"/>
  <cols>
    <col min="1" max="1" width="9" style="3434"/>
    <col min="2" max="2" width="13.375" style="3434" customWidth="1"/>
    <col min="3" max="3" width="16.5" style="3434" customWidth="1"/>
    <col min="4" max="4" width="11.5" style="3434" customWidth="1"/>
    <col min="5" max="5" width="15.5" style="3434" customWidth="1"/>
    <col min="6" max="6" width="17.625" style="3434" customWidth="1"/>
    <col min="7" max="7" width="9" style="3434"/>
    <col min="8" max="11" width="14.125" style="3434" customWidth="1"/>
    <col min="12" max="12" width="20.375" style="3172" customWidth="1"/>
    <col min="13" max="16384" width="9" style="3172"/>
  </cols>
  <sheetData>
    <row r="1" spans="1:13">
      <c r="A1" s="4261" t="s">
        <v>3445</v>
      </c>
      <c r="B1" s="4261"/>
      <c r="C1" s="4261"/>
      <c r="D1" s="4261"/>
      <c r="E1" s="4261"/>
      <c r="G1" s="4262" t="s">
        <v>3446</v>
      </c>
      <c r="H1" s="4262"/>
      <c r="I1" s="4262"/>
      <c r="J1" s="4262"/>
      <c r="K1" s="4262"/>
    </row>
    <row r="2" spans="1:13" ht="40.5">
      <c r="A2" s="3485"/>
      <c r="B2" s="3485" t="s">
        <v>3447</v>
      </c>
      <c r="C2" s="3486" t="s">
        <v>3448</v>
      </c>
      <c r="D2" s="3485" t="s">
        <v>3449</v>
      </c>
      <c r="E2" s="3486" t="s">
        <v>3450</v>
      </c>
      <c r="G2" s="3487"/>
      <c r="H2" s="3488" t="s">
        <v>3451</v>
      </c>
      <c r="I2" s="3488" t="s">
        <v>3448</v>
      </c>
      <c r="J2" s="3488" t="s">
        <v>3452</v>
      </c>
      <c r="K2" s="3488" t="s">
        <v>3453</v>
      </c>
    </row>
    <row r="3" spans="1:13">
      <c r="A3" s="3485">
        <v>2007</v>
      </c>
      <c r="B3" s="3489"/>
      <c r="C3" s="3489"/>
      <c r="D3" s="3489"/>
      <c r="E3" s="3490"/>
      <c r="F3" s="3491"/>
      <c r="G3" s="3487">
        <v>2007</v>
      </c>
      <c r="H3" s="3490"/>
      <c r="I3" s="3490"/>
      <c r="J3" s="3490"/>
      <c r="K3" s="3490"/>
    </row>
    <row r="4" spans="1:13">
      <c r="A4" s="3485">
        <v>2008</v>
      </c>
      <c r="B4" s="3492">
        <v>0.14499999999999999</v>
      </c>
      <c r="C4" s="3492">
        <v>-0.34100000000000003</v>
      </c>
      <c r="D4" s="3492">
        <v>0.2465</v>
      </c>
      <c r="E4" s="3493"/>
      <c r="F4" s="3491"/>
      <c r="G4" s="3487">
        <v>2008</v>
      </c>
      <c r="H4" s="3494">
        <v>1.1973</v>
      </c>
      <c r="I4" s="3495">
        <v>0.09</v>
      </c>
      <c r="J4" s="3494">
        <v>0.1492</v>
      </c>
      <c r="K4" s="3489"/>
      <c r="M4" s="3172" t="s">
        <v>3454</v>
      </c>
    </row>
    <row r="5" spans="1:13">
      <c r="A5" s="3485">
        <v>2009</v>
      </c>
      <c r="B5" s="3492"/>
      <c r="C5" s="3492">
        <v>1.107</v>
      </c>
      <c r="D5" s="3492"/>
      <c r="E5" s="3493"/>
      <c r="F5" s="3491"/>
      <c r="G5" s="3487">
        <v>2009</v>
      </c>
      <c r="H5" s="3494">
        <v>0.245</v>
      </c>
      <c r="I5" s="3494">
        <v>1.387</v>
      </c>
      <c r="J5" s="3496" t="s">
        <v>3455</v>
      </c>
      <c r="K5" s="3490"/>
    </row>
    <row r="6" spans="1:13">
      <c r="A6" s="3485">
        <v>2010</v>
      </c>
      <c r="B6" s="3492">
        <v>-0.30199999999999999</v>
      </c>
      <c r="C6" s="3492">
        <v>0.26800000000000002</v>
      </c>
      <c r="D6" s="3492">
        <f>ROUND((22.7%+20.3%+20.6%+19.7%)/4,2)</f>
        <v>0.21</v>
      </c>
      <c r="E6" s="3493">
        <v>538</v>
      </c>
      <c r="F6" s="3491"/>
      <c r="G6" s="3487">
        <v>2010</v>
      </c>
      <c r="H6" s="3494">
        <v>0.107</v>
      </c>
      <c r="I6" s="3494">
        <v>3.5999999999999997E-2</v>
      </c>
      <c r="J6" s="3497">
        <f>J7+10.6%</f>
        <v>0.19700000000000001</v>
      </c>
      <c r="K6" s="3490"/>
    </row>
    <row r="7" spans="1:13">
      <c r="A7" s="3485">
        <v>2011</v>
      </c>
      <c r="B7" s="3492">
        <v>2.5999999999999999E-2</v>
      </c>
      <c r="C7" s="3492">
        <v>-0.23</v>
      </c>
      <c r="D7" s="3492">
        <f>ROUND((20%+18%+16%)/3,2)</f>
        <v>0.18</v>
      </c>
      <c r="E7" s="3493">
        <v>672</v>
      </c>
      <c r="F7" s="3498">
        <f>ROUND(E7/E6-1,4)</f>
        <v>0.24909999999999999</v>
      </c>
      <c r="G7" s="3487">
        <v>2011</v>
      </c>
      <c r="H7" s="3494">
        <v>0.36</v>
      </c>
      <c r="I7" s="3494">
        <v>-0.16900000000000001</v>
      </c>
      <c r="J7" s="3497">
        <v>9.0999999999999998E-2</v>
      </c>
      <c r="K7" s="3496">
        <f>ROUND((187+205+227+246)/4,0)</f>
        <v>216</v>
      </c>
    </row>
    <row r="8" spans="1:13">
      <c r="A8" s="3485">
        <v>2012</v>
      </c>
      <c r="B8" s="3492">
        <v>-0.433</v>
      </c>
      <c r="C8" s="3499">
        <v>-0.16</v>
      </c>
      <c r="D8" s="3492">
        <v>0.115</v>
      </c>
      <c r="E8" s="3493">
        <v>729</v>
      </c>
      <c r="F8" s="3498">
        <f t="shared" ref="F8:F18" si="0">ROUND(E8/E7-1,4)</f>
        <v>8.48E-2</v>
      </c>
      <c r="G8" s="3487">
        <v>2012</v>
      </c>
      <c r="H8" s="3494">
        <v>-0.23200000000000001</v>
      </c>
      <c r="I8" s="3494">
        <v>0.30599999999999999</v>
      </c>
      <c r="J8" s="3494">
        <v>2.7E-2</v>
      </c>
      <c r="K8" s="3496">
        <f>ROUND((278+289+295+294.5)/4,0)</f>
        <v>289</v>
      </c>
      <c r="L8" s="3172">
        <f>(K8-K7)/K7</f>
        <v>0.33796296296296297</v>
      </c>
    </row>
    <row r="9" spans="1:13">
      <c r="A9" s="3485">
        <v>2013</v>
      </c>
      <c r="B9" s="3492">
        <v>1.1887000000000001</v>
      </c>
      <c r="C9" s="3492">
        <v>0.04</v>
      </c>
      <c r="D9" s="3492">
        <v>8.4000000000000005E-2</v>
      </c>
      <c r="E9" s="3493">
        <v>795</v>
      </c>
      <c r="F9" s="3498">
        <f t="shared" si="0"/>
        <v>9.0499999999999997E-2</v>
      </c>
      <c r="G9" s="3487">
        <v>2013</v>
      </c>
      <c r="H9" s="3494">
        <v>0.14000000000000001</v>
      </c>
      <c r="I9" s="3494">
        <v>0.17499999999999999</v>
      </c>
      <c r="J9" s="3494">
        <v>1.7999999999999999E-2</v>
      </c>
      <c r="K9" s="3496">
        <f>ROUND((298+298+297+299)/4,0)</f>
        <v>298</v>
      </c>
    </row>
    <row r="10" spans="1:13">
      <c r="A10" s="3485">
        <v>2014</v>
      </c>
      <c r="B10" s="3492">
        <v>0.1096</v>
      </c>
      <c r="C10" s="3492">
        <v>-0.3</v>
      </c>
      <c r="D10" s="3492">
        <v>4.8000000000000001E-2</v>
      </c>
      <c r="E10" s="3493">
        <f>ROUND((824+839+848+858)/4,0)</f>
        <v>842</v>
      </c>
      <c r="F10" s="3498">
        <f t="shared" si="0"/>
        <v>5.91E-2</v>
      </c>
      <c r="G10" s="3487">
        <v>2014</v>
      </c>
      <c r="H10" s="3494">
        <f>H9-1.6%</f>
        <v>0.12400000000000001</v>
      </c>
      <c r="I10" s="3494">
        <f>I9-49.2%</f>
        <v>-0.31700000000000006</v>
      </c>
      <c r="J10" s="3494">
        <v>3.3000000000000002E-2</v>
      </c>
      <c r="K10" s="3496">
        <f>ROUND((301+380.2+387.62+389.2)/4,0)</f>
        <v>365</v>
      </c>
    </row>
    <row r="11" spans="1:13">
      <c r="A11" s="3485">
        <v>2015</v>
      </c>
      <c r="B11" s="3492">
        <f>B10-2%</f>
        <v>8.9599999999999999E-2</v>
      </c>
      <c r="C11" s="3492">
        <v>0.02</v>
      </c>
      <c r="D11" s="3492">
        <v>6.3E-2</v>
      </c>
      <c r="E11" s="3493">
        <f>ROUND((854+865)/2,0)</f>
        <v>860</v>
      </c>
      <c r="F11" s="3498">
        <f t="shared" si="0"/>
        <v>2.1399999999999999E-2</v>
      </c>
      <c r="G11" s="3487">
        <v>2015</v>
      </c>
      <c r="H11" s="3494">
        <v>0.35799999999999998</v>
      </c>
      <c r="I11" s="3494">
        <v>0.39400000000000002</v>
      </c>
      <c r="J11" s="3494">
        <v>0.06</v>
      </c>
      <c r="K11" s="3496">
        <f>ROUND((382.36+383.53+381.9+383.81)/4,0)</f>
        <v>383</v>
      </c>
    </row>
    <row r="12" spans="1:13">
      <c r="A12" s="3485">
        <v>2016</v>
      </c>
      <c r="B12" s="3492">
        <v>0.48799999999999999</v>
      </c>
      <c r="C12" s="3492">
        <v>0.54</v>
      </c>
      <c r="D12" s="3500">
        <f>[4]商业!AB11</f>
        <v>5.2999999999999999E-2</v>
      </c>
      <c r="E12" s="3501">
        <f>[4]商业!AA11</f>
        <v>913.4</v>
      </c>
      <c r="F12" s="3498">
        <f>ROUND(E12/E11-1,4)</f>
        <v>6.2100000000000002E-2</v>
      </c>
      <c r="G12" s="3502">
        <v>2016</v>
      </c>
      <c r="H12" s="3503">
        <v>0.29599999999999999</v>
      </c>
      <c r="I12" s="3503">
        <v>1.4710000000000001</v>
      </c>
      <c r="J12" s="3503">
        <f>写字楼!T38</f>
        <v>5.33E-2</v>
      </c>
      <c r="K12" s="3502">
        <f>写字楼!S38</f>
        <v>364</v>
      </c>
    </row>
    <row r="13" spans="1:13">
      <c r="A13" s="3485">
        <v>2017</v>
      </c>
      <c r="B13" s="3492">
        <v>-0.63400000000000001</v>
      </c>
      <c r="C13" s="3492">
        <v>-0.44800000000000001</v>
      </c>
      <c r="D13" s="3500">
        <f>[4]商业!AB15</f>
        <v>6.7000000000000004E-2</v>
      </c>
      <c r="E13" s="3501">
        <f>[4]商业!AA15</f>
        <v>941.4</v>
      </c>
      <c r="F13" s="3498">
        <f t="shared" si="0"/>
        <v>3.0700000000000002E-2</v>
      </c>
      <c r="G13" s="3502">
        <v>2017</v>
      </c>
      <c r="H13" s="3503">
        <v>-0.59899999999999998</v>
      </c>
      <c r="I13" s="3503">
        <v>-0.70199999999999996</v>
      </c>
      <c r="J13" s="3503">
        <f>写字楼!T42</f>
        <v>6.4299999999999996E-2</v>
      </c>
      <c r="K13" s="3502">
        <f>写字楼!S42</f>
        <v>368</v>
      </c>
    </row>
    <row r="14" spans="1:13">
      <c r="A14" s="3485">
        <v>2018</v>
      </c>
      <c r="B14" s="3489"/>
      <c r="C14" s="3489"/>
      <c r="D14" s="3500">
        <f>[4]商业!AB19</f>
        <v>6.7000000000000004E-2</v>
      </c>
      <c r="E14" s="3501">
        <f>[4]商业!AA19</f>
        <v>943.5</v>
      </c>
      <c r="F14" s="3498">
        <f t="shared" si="0"/>
        <v>2.2000000000000001E-3</v>
      </c>
      <c r="G14" s="3502">
        <v>2018</v>
      </c>
      <c r="H14" s="3503"/>
      <c r="I14" s="3503"/>
      <c r="J14" s="3503">
        <f>写字楼!T46</f>
        <v>6.1100000000000002E-2</v>
      </c>
      <c r="K14" s="3502">
        <f>写字楼!S46</f>
        <v>380</v>
      </c>
    </row>
    <row r="15" spans="1:13">
      <c r="A15" s="3485">
        <v>2019</v>
      </c>
      <c r="B15" s="3489"/>
      <c r="C15" s="3489"/>
      <c r="D15" s="3500">
        <f>[4]商业!AB23</f>
        <v>6.7000000000000004E-2</v>
      </c>
      <c r="E15" s="3501">
        <f>[4]商业!AA23</f>
        <v>948.2</v>
      </c>
      <c r="F15" s="3498">
        <f t="shared" si="0"/>
        <v>5.0000000000000001E-3</v>
      </c>
      <c r="G15" s="3502">
        <v>2019</v>
      </c>
      <c r="H15" s="3503"/>
      <c r="I15" s="3503"/>
      <c r="J15" s="3503">
        <f>写字楼!T50</f>
        <v>9.0800000000000006E-2</v>
      </c>
      <c r="K15" s="3502">
        <f>写字楼!S50</f>
        <v>379</v>
      </c>
    </row>
    <row r="16" spans="1:13">
      <c r="A16" s="3485">
        <v>2020</v>
      </c>
      <c r="B16" s="3489"/>
      <c r="C16" s="3489"/>
      <c r="D16" s="3500">
        <f>[4]商业!AB27</f>
        <v>0.08</v>
      </c>
      <c r="E16" s="3501">
        <f>[4]商业!AA27</f>
        <v>866.2</v>
      </c>
      <c r="F16" s="3498">
        <f t="shared" si="0"/>
        <v>-8.6499999999999994E-2</v>
      </c>
      <c r="G16" s="3502">
        <v>2020</v>
      </c>
      <c r="H16" s="3503"/>
      <c r="I16" s="3503"/>
      <c r="J16" s="3503">
        <f>写字楼!T54</f>
        <v>0.14649999999999999</v>
      </c>
      <c r="K16" s="3502">
        <f>写字楼!S54</f>
        <v>356</v>
      </c>
    </row>
    <row r="17" spans="1:12">
      <c r="A17" s="3485">
        <v>2021</v>
      </c>
      <c r="B17" s="3489"/>
      <c r="C17" s="3489"/>
      <c r="D17" s="3504">
        <f>[4]商业!I31</f>
        <v>0.1</v>
      </c>
      <c r="E17" s="3505">
        <f>[4]商业!H31</f>
        <v>2400</v>
      </c>
      <c r="F17" s="3498">
        <f t="shared" si="0"/>
        <v>1.7706999999999999</v>
      </c>
      <c r="G17" s="3502">
        <v>2021</v>
      </c>
      <c r="H17" s="3503"/>
      <c r="I17" s="3503"/>
      <c r="J17" s="3503">
        <f>写字楼!T58</f>
        <v>0.15609999999999999</v>
      </c>
      <c r="K17" s="3502">
        <f>写字楼!S58</f>
        <v>336</v>
      </c>
    </row>
    <row r="18" spans="1:12">
      <c r="A18" s="3485">
        <v>2022</v>
      </c>
      <c r="B18" s="3489"/>
      <c r="C18" s="3489"/>
      <c r="D18" s="3504">
        <f>[4]商业!I35</f>
        <v>9.9000000000000005E-2</v>
      </c>
      <c r="E18" s="3505">
        <f>[4]商业!H35</f>
        <v>2312.5</v>
      </c>
      <c r="F18" s="3498">
        <f t="shared" si="0"/>
        <v>-3.6499999999999998E-2</v>
      </c>
      <c r="G18" s="3502">
        <v>2022</v>
      </c>
      <c r="H18" s="3503"/>
      <c r="I18" s="3503"/>
      <c r="J18" s="3503">
        <f>写字楼!T62</f>
        <v>0.23089999999999999</v>
      </c>
      <c r="K18" s="3502">
        <f>写字楼!S62</f>
        <v>495</v>
      </c>
    </row>
    <row r="21" spans="1:12">
      <c r="E21" s="3465"/>
      <c r="F21" s="3434" t="s">
        <v>3456</v>
      </c>
      <c r="K21" s="3474"/>
      <c r="L21" s="3434" t="s">
        <v>3456</v>
      </c>
    </row>
    <row r="22" spans="1:12">
      <c r="L22" s="3434"/>
    </row>
    <row r="23" spans="1:12">
      <c r="E23" s="3506"/>
      <c r="F23" s="3434" t="s">
        <v>3457</v>
      </c>
      <c r="K23" s="3507"/>
      <c r="L23" s="3434" t="s">
        <v>3458</v>
      </c>
    </row>
    <row r="25" spans="1:12">
      <c r="E25" s="3508"/>
      <c r="F25" s="3434" t="s">
        <v>3459</v>
      </c>
    </row>
    <row r="39" spans="2:4">
      <c r="B39" s="3434" t="s">
        <v>3460</v>
      </c>
      <c r="C39" s="3434" t="s">
        <v>3461</v>
      </c>
      <c r="D39" s="3434" t="s">
        <v>3462</v>
      </c>
    </row>
    <row r="40" spans="2:4">
      <c r="B40" s="3434">
        <v>2007</v>
      </c>
    </row>
    <row r="41" spans="2:4">
      <c r="B41" s="3434">
        <v>2008</v>
      </c>
    </row>
    <row r="42" spans="2:4">
      <c r="B42" s="3434">
        <v>2009</v>
      </c>
    </row>
    <row r="43" spans="2:4">
      <c r="B43" s="3434">
        <v>2010</v>
      </c>
    </row>
    <row r="44" spans="2:4">
      <c r="B44" s="3434">
        <v>2011</v>
      </c>
      <c r="D44" s="3435">
        <f>F7</f>
        <v>0.24909999999999999</v>
      </c>
    </row>
    <row r="45" spans="2:4">
      <c r="B45" s="3434">
        <v>2012</v>
      </c>
      <c r="D45" s="3435">
        <f t="shared" ref="D45:D55" si="1">F8</f>
        <v>8.48E-2</v>
      </c>
    </row>
    <row r="46" spans="2:4">
      <c r="B46" s="3434">
        <v>2013</v>
      </c>
      <c r="D46" s="3435">
        <f t="shared" si="1"/>
        <v>9.0499999999999997E-2</v>
      </c>
    </row>
    <row r="47" spans="2:4">
      <c r="B47" s="3434">
        <v>2014</v>
      </c>
      <c r="D47" s="3435">
        <f t="shared" si="1"/>
        <v>5.91E-2</v>
      </c>
    </row>
    <row r="48" spans="2:4">
      <c r="B48" s="3434">
        <v>2015</v>
      </c>
      <c r="D48" s="3435">
        <f t="shared" si="1"/>
        <v>2.1399999999999999E-2</v>
      </c>
    </row>
    <row r="49" spans="2:4">
      <c r="B49" s="3434">
        <v>2016</v>
      </c>
      <c r="D49" s="3435">
        <f t="shared" si="1"/>
        <v>6.2100000000000002E-2</v>
      </c>
    </row>
    <row r="50" spans="2:4">
      <c r="B50" s="3434">
        <v>2017</v>
      </c>
      <c r="D50" s="3435">
        <f t="shared" si="1"/>
        <v>3.0700000000000002E-2</v>
      </c>
    </row>
    <row r="51" spans="2:4">
      <c r="B51" s="3434">
        <v>2018</v>
      </c>
      <c r="D51" s="3435">
        <f t="shared" si="1"/>
        <v>2.2000000000000001E-3</v>
      </c>
    </row>
    <row r="52" spans="2:4">
      <c r="B52" s="3434">
        <v>2019</v>
      </c>
      <c r="D52" s="3435">
        <f t="shared" si="1"/>
        <v>5.0000000000000001E-3</v>
      </c>
    </row>
    <row r="53" spans="2:4">
      <c r="B53" s="3434">
        <v>2020</v>
      </c>
      <c r="D53" s="3435">
        <f t="shared" si="1"/>
        <v>-8.6499999999999994E-2</v>
      </c>
    </row>
    <row r="54" spans="2:4">
      <c r="B54" s="3434">
        <v>2021</v>
      </c>
      <c r="D54" s="3435">
        <f t="shared" si="1"/>
        <v>1.7706999999999999</v>
      </c>
    </row>
    <row r="55" spans="2:4">
      <c r="B55" s="3434">
        <v>2022</v>
      </c>
      <c r="C55" s="3434">
        <f>'[5]比较法-租金（1层）2022'!$C$49</f>
        <v>12.2</v>
      </c>
      <c r="D55" s="3435">
        <f t="shared" si="1"/>
        <v>-3.6499999999999998E-2</v>
      </c>
    </row>
    <row r="61" spans="2:4">
      <c r="B61" s="3485">
        <v>2010</v>
      </c>
      <c r="C61" s="3493">
        <v>538</v>
      </c>
    </row>
    <row r="62" spans="2:4">
      <c r="B62" s="3485">
        <v>2011</v>
      </c>
      <c r="C62" s="3493">
        <v>672</v>
      </c>
    </row>
    <row r="63" spans="2:4">
      <c r="B63" s="3485">
        <v>2012</v>
      </c>
      <c r="C63" s="3493">
        <v>729</v>
      </c>
    </row>
    <row r="64" spans="2:4">
      <c r="B64" s="3485">
        <v>2013</v>
      </c>
      <c r="C64" s="3493">
        <v>795</v>
      </c>
    </row>
    <row r="65" spans="2:3">
      <c r="B65" s="3485">
        <v>2014</v>
      </c>
      <c r="C65" s="3493">
        <v>842</v>
      </c>
    </row>
    <row r="66" spans="2:3">
      <c r="B66" s="3485">
        <v>2015</v>
      </c>
      <c r="C66" s="3493">
        <v>860</v>
      </c>
    </row>
    <row r="67" spans="2:3">
      <c r="B67" s="3485">
        <v>2016</v>
      </c>
      <c r="C67" s="3501">
        <v>913.4</v>
      </c>
    </row>
    <row r="68" spans="2:3">
      <c r="B68" s="3485">
        <v>2017</v>
      </c>
      <c r="C68" s="3501">
        <v>941.4</v>
      </c>
    </row>
    <row r="69" spans="2:3">
      <c r="B69" s="3485">
        <v>2018</v>
      </c>
      <c r="C69" s="3501">
        <v>943.5</v>
      </c>
    </row>
    <row r="70" spans="2:3">
      <c r="B70" s="3485">
        <v>2019</v>
      </c>
      <c r="C70" s="3501">
        <v>948.2</v>
      </c>
    </row>
    <row r="71" spans="2:3">
      <c r="B71" s="3485">
        <v>2020</v>
      </c>
      <c r="C71" s="3501">
        <v>866.2</v>
      </c>
    </row>
  </sheetData>
  <mergeCells count="2">
    <mergeCell ref="A1:E1"/>
    <mergeCell ref="G1:K1"/>
  </mergeCells>
  <phoneticPr fontId="148"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A1:F344"/>
  <sheetViews>
    <sheetView workbookViewId="0">
      <selection activeCell="H13" sqref="H13"/>
    </sheetView>
  </sheetViews>
  <sheetFormatPr defaultRowHeight="13.5"/>
  <cols>
    <col min="1" max="1" width="12.625" style="741" customWidth="1"/>
    <col min="2" max="2" width="10.25" style="674" customWidth="1"/>
  </cols>
  <sheetData>
    <row r="1" spans="1:6">
      <c r="A1" s="4263" t="s">
        <v>779</v>
      </c>
      <c r="B1" s="42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764"/>
      <c r="C2" s="3764"/>
      <c r="D2" s="3764"/>
      <c r="E2" s="3764"/>
    </row>
    <row r="3" spans="1:5" ht="13.5" customHeight="1">
      <c r="A3" s="1362"/>
      <c r="B3" s="1362"/>
      <c r="C3" s="1362"/>
      <c r="D3" s="1362"/>
      <c r="E3" s="1362"/>
    </row>
    <row r="4" spans="1:5" ht="19.5" thickBot="1">
      <c r="A4" s="3765" t="str">
        <f>IF(项目基本情况!D5="房地产市场价值","估价结果一览表（市场价值不需本页表格)","估价结果一览表")</f>
        <v>估价结果一览表（市场价值不需本页表格)</v>
      </c>
      <c r="B4" s="3765"/>
      <c r="C4" s="3765"/>
      <c r="D4" s="3765"/>
      <c r="E4" s="3765"/>
    </row>
    <row r="5" spans="1:5" ht="14.25" customHeight="1" thickTop="1">
      <c r="A5" s="1359"/>
      <c r="B5" s="1363" t="s">
        <v>742</v>
      </c>
      <c r="C5" s="3766" t="s">
        <v>775</v>
      </c>
      <c r="D5" s="3767"/>
      <c r="E5" s="1359"/>
    </row>
    <row r="6" spans="1:5" ht="14.25">
      <c r="A6" s="1359"/>
      <c r="B6" s="1364" t="str">
        <f>项目基本情况!I1</f>
        <v>北京市房地产</v>
      </c>
      <c r="C6" s="3768">
        <f>项目基本情况!C12</f>
        <v>459.68</v>
      </c>
      <c r="D6" s="3768"/>
      <c r="E6" s="1359"/>
    </row>
    <row r="7" spans="1:5" ht="14.25">
      <c r="A7" s="1359"/>
      <c r="B7" s="3762" t="s">
        <v>776</v>
      </c>
      <c r="C7" s="1365" t="str">
        <f>IF('数据-取费表'!B3="万元","总价（万元）","总价（元）")</f>
        <v>总价（元）</v>
      </c>
      <c r="D7" s="1366">
        <f>IF('数据-取费表'!E3="否",结果表!I102,'结果表 (1修多)'!I104)</f>
        <v>0</v>
      </c>
      <c r="E7" s="1359"/>
    </row>
    <row r="8" spans="1:5" ht="14.25">
      <c r="A8" s="1359"/>
      <c r="B8" s="3762"/>
      <c r="C8" s="1367" t="s">
        <v>1162</v>
      </c>
      <c r="D8" s="1368" t="str">
        <f>IF('数据-取费表'!B3="万元",NUMBERSTRING(INT(D7*10000),2)&amp;"元整",NUMBERSTRING(INT(D7),2)&amp;"元整")</f>
        <v>零元整</v>
      </c>
      <c r="E8" s="1359"/>
    </row>
    <row r="9" spans="1:5" ht="14.25">
      <c r="A9" s="1359"/>
      <c r="B9" s="3762"/>
      <c r="C9" s="1369" t="s">
        <v>1259</v>
      </c>
      <c r="D9" s="1366" t="e">
        <f>IF('数据-取费表'!E3="否",结果表!I103,'结果表 (1修多)'!I105)</f>
        <v>#DIV/0!</v>
      </c>
      <c r="E9" s="1359"/>
    </row>
    <row r="10" spans="1:5" ht="14.25">
      <c r="A10" s="1359"/>
      <c r="B10" s="376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76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769" t="str">
        <f>IF('数据-取费表'!E3="否",结果表!F110,'结果表 (1修多)'!F112)</f>
        <v>3.房地产抵押价值</v>
      </c>
      <c r="C15" s="1360" t="str">
        <f>C7</f>
        <v>总价（元）</v>
      </c>
      <c r="D15" s="1366">
        <f>IF('数据-取费表'!E3="否",结果表!I110,'结果表 (1修多)'!I112)</f>
        <v>0</v>
      </c>
      <c r="E15" s="1359"/>
    </row>
    <row r="16" spans="1:5" ht="14.25">
      <c r="A16" s="1359"/>
      <c r="B16" s="3769"/>
      <c r="C16" s="1367" t="s">
        <v>1162</v>
      </c>
      <c r="D16" s="1366" t="str">
        <f>IF('数据-取费表'!B3="万元",NUMBERSTRING(INT(D15*10000),2)&amp;"元整",NUMBERSTRING(INT(D15),2)&amp;"元整")</f>
        <v>零元整</v>
      </c>
      <c r="E16" s="1359"/>
    </row>
    <row r="17" spans="1:5" ht="14.25">
      <c r="A17" s="1359"/>
      <c r="B17" s="3769"/>
      <c r="C17" s="1369" t="s">
        <v>1259</v>
      </c>
      <c r="D17" s="1366" t="e">
        <f>IF('数据-取费表'!E3="否",结果表!I111,'结果表 (1修多)'!I113)</f>
        <v>#DIV/0!</v>
      </c>
      <c r="E17" s="1359"/>
    </row>
    <row r="18" spans="1:5" ht="14.25">
      <c r="A18" s="1359"/>
      <c r="B18" s="3769" t="str">
        <f>IF('数据-取费表'!E3="否",结果表!F112,'结果表 (1修多)'!F114)</f>
        <v>——</v>
      </c>
      <c r="C18" s="1360" t="str">
        <f>C7</f>
        <v>总价（元）</v>
      </c>
      <c r="D18" s="1366" t="str">
        <f>IF('数据-取费表'!E3="否",结果表!I112,'结果表 (1修多)'!I114)</f>
        <v>——</v>
      </c>
      <c r="E18" s="1359"/>
    </row>
    <row r="19" spans="1:5" ht="14.25">
      <c r="A19" s="1359"/>
      <c r="B19" s="3769"/>
      <c r="C19" s="1367" t="s">
        <v>1162</v>
      </c>
      <c r="D19" s="1366" t="e">
        <f>IF('数据-取费表'!B3="万元",NUMBERSTRING(INT(D18*10000),2)&amp;"元整",NUMBERSTRING(INT(D18),2)&amp;"元整")</f>
        <v>#VALUE!</v>
      </c>
      <c r="E19" s="1359"/>
    </row>
    <row r="20" spans="1:5" ht="14.25">
      <c r="A20" s="1359"/>
      <c r="B20" s="3769"/>
      <c r="C20" s="1369" t="s">
        <v>1259</v>
      </c>
      <c r="D20" s="1366" t="str">
        <f>IF('数据-取费表'!E3="否",结果表!I113,'结果表 (1修多)'!I115)</f>
        <v>——</v>
      </c>
      <c r="E20" s="1359"/>
    </row>
    <row r="21" spans="1:5" ht="14.25">
      <c r="A21" s="1359"/>
      <c r="B21" s="3762" t="str">
        <f>IF('数据-取费表'!E3="否",结果表!F114,'结果表 (1修多)'!F116)</f>
        <v>——</v>
      </c>
      <c r="C21" s="1365" t="str">
        <f>C7</f>
        <v>总价（元）</v>
      </c>
      <c r="D21" s="1366" t="str">
        <f>IF('数据-取费表'!E3="否",结果表!I114,'结果表 (1修多)'!I116)</f>
        <v>——</v>
      </c>
      <c r="E21" s="1359"/>
    </row>
    <row r="22" spans="1:5" ht="14.25">
      <c r="A22" s="1359"/>
      <c r="B22" s="3762"/>
      <c r="C22" s="1367" t="s">
        <v>1162</v>
      </c>
      <c r="D22" s="1368" t="e">
        <f>IF('数据-取费表'!B3="万元",NUMBERSTRING(INT(D21*10000),2)&amp;"元整",NUMBERSTRING(INT(D21),2)&amp;"元整")</f>
        <v>#VALUE!</v>
      </c>
      <c r="E22" s="1359"/>
    </row>
    <row r="23" spans="1:5" ht="15" thickBot="1">
      <c r="A23" s="1359"/>
      <c r="B23" s="3763"/>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754" t="s">
        <v>1260</v>
      </c>
      <c r="C25" s="3754"/>
      <c r="D25" s="3754"/>
      <c r="E25" s="1359"/>
    </row>
    <row r="26" spans="1:5" ht="18.75" customHeight="1" thickTop="1">
      <c r="A26" s="1359"/>
      <c r="B26" s="3757" t="s">
        <v>1161</v>
      </c>
      <c r="C26" s="3758"/>
      <c r="D26" s="3755" t="s">
        <v>1160</v>
      </c>
      <c r="E26" s="1359"/>
    </row>
    <row r="27" spans="1:5" ht="18.75" customHeight="1">
      <c r="A27" s="1359"/>
      <c r="B27" s="3759"/>
      <c r="C27" s="3760"/>
      <c r="D27" s="3756"/>
      <c r="E27" s="1359"/>
    </row>
    <row r="28" spans="1:5" ht="14.25">
      <c r="A28" s="1359"/>
      <c r="B28" s="3747" t="s">
        <v>776</v>
      </c>
      <c r="C28" s="1376" t="s">
        <v>1163</v>
      </c>
      <c r="D28" s="1377">
        <f>IF('数据-取费表'!E3="否",结果表!I102,'结果表 (1修多)'!I104)</f>
        <v>0</v>
      </c>
      <c r="E28" s="1359"/>
    </row>
    <row r="29" spans="1:5" ht="14.25">
      <c r="A29" s="1359"/>
      <c r="B29" s="3748"/>
      <c r="C29" s="1378" t="s">
        <v>1162</v>
      </c>
      <c r="D29" s="1379" t="str">
        <f>IF('数据-取费表'!B3="万元",NUMBERSTRING(INT(D28*10000),2)&amp;"元整",NUMBERSTRING(INT(D28),2)&amp;"元整")</f>
        <v>零元整</v>
      </c>
      <c r="E29" s="1359"/>
    </row>
    <row r="30" spans="1:5" ht="14.25">
      <c r="A30" s="1359"/>
      <c r="B30" s="3749"/>
      <c r="C30" s="1369" t="s">
        <v>1165</v>
      </c>
      <c r="D30" s="1380" t="e">
        <f>IF('数据-取费表'!E3="否",结果表!I103,'结果表 (1修多)'!I105)</f>
        <v>#DIV/0!</v>
      </c>
      <c r="E30" s="1359"/>
    </row>
    <row r="31" spans="1:5" ht="14.25">
      <c r="A31" s="1359"/>
      <c r="B31" s="3752" t="str">
        <f>B10</f>
        <v>2.估价师所知悉的法定优先受偿款</v>
      </c>
      <c r="C31" s="1381" t="s">
        <v>1164</v>
      </c>
      <c r="D31" s="1382">
        <f>IF('数据-取费表'!E3="否",结果表!I105,'结果表 (1修多)'!I107)</f>
        <v>0</v>
      </c>
      <c r="E31" s="1359"/>
    </row>
    <row r="32" spans="1:5" ht="14.25">
      <c r="A32" s="1359"/>
      <c r="B32" s="376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750" t="str">
        <f>B15</f>
        <v>3.房地产抵押价值</v>
      </c>
      <c r="C36" s="1381" t="str">
        <f>C28</f>
        <v>总价</v>
      </c>
      <c r="D36" s="1382">
        <f>IF('数据-取费表'!E3="否",结果表!I110,'结果表 (1修多)'!I112)</f>
        <v>0</v>
      </c>
      <c r="E36" s="1359"/>
    </row>
    <row r="37" spans="1:5" ht="14.25">
      <c r="A37" s="1359"/>
      <c r="B37" s="3750"/>
      <c r="C37" s="1378" t="s">
        <v>1162</v>
      </c>
      <c r="D37" s="1383" t="str">
        <f>IF('数据-取费表'!B3="万元",NUMBERSTRING(INT(D36*10000),2)&amp;"元整",NUMBERSTRING(INT(D36),2)&amp;"元整")</f>
        <v>零元整</v>
      </c>
      <c r="E37" s="1359"/>
    </row>
    <row r="38" spans="1:5" ht="14.25">
      <c r="A38" s="1359"/>
      <c r="B38" s="3750"/>
      <c r="C38" s="1369" t="s">
        <v>1166</v>
      </c>
      <c r="D38" s="1380" t="e">
        <f>IF('数据-取费表'!E3="否",结果表!D113,'结果表 (1修多)'!D117)</f>
        <v>#DIV/0!</v>
      </c>
      <c r="E38" s="1359"/>
    </row>
    <row r="39" spans="1:5" ht="14.25">
      <c r="A39" s="1359"/>
      <c r="B39" s="3751" t="str">
        <f>B18</f>
        <v>——</v>
      </c>
      <c r="C39" s="1381" t="str">
        <f>C28</f>
        <v>总价</v>
      </c>
      <c r="D39" s="1382" t="str">
        <f>IF('数据-取费表'!E3="否",结果表!I112,'结果表 (1修多)'!I114)</f>
        <v>——</v>
      </c>
      <c r="E39" s="1359"/>
    </row>
    <row r="40" spans="1:5" ht="14.25">
      <c r="A40" s="1359"/>
      <c r="B40" s="3751"/>
      <c r="C40" s="1378" t="s">
        <v>1162</v>
      </c>
      <c r="D40" s="1383" t="e">
        <f>IF('数据-取费表'!B3="万元",NUMBERSTRING(INT(D39*10000),2)&amp;"元整",NUMBERSTRING(INT(D39),2)&amp;"元整")</f>
        <v>#VALUE!</v>
      </c>
      <c r="E40" s="1359"/>
    </row>
    <row r="41" spans="1:5" ht="14.25">
      <c r="A41" s="1359"/>
      <c r="B41" s="3751"/>
      <c r="C41" s="1369" t="s">
        <v>1166</v>
      </c>
      <c r="D41" s="1380" t="str">
        <f>IF('数据-取费表'!E3="否",结果表!D115,'结果表 (1修多)'!D119)</f>
        <v>——</v>
      </c>
      <c r="E41" s="1359"/>
    </row>
    <row r="42" spans="1:5" ht="14.25">
      <c r="A42" s="1359"/>
      <c r="B42" s="3750" t="str">
        <f>B21</f>
        <v>——</v>
      </c>
      <c r="C42" s="1381" t="str">
        <f>C28</f>
        <v>总价</v>
      </c>
      <c r="D42" s="1382" t="str">
        <f>IF('数据-取费表'!E3="否",结果表!I114,'结果表 (1修多)'!I116)</f>
        <v>——</v>
      </c>
      <c r="E42" s="1359"/>
    </row>
    <row r="43" spans="1:5" ht="14.25">
      <c r="A43" s="1359"/>
      <c r="B43" s="3752"/>
      <c r="C43" s="1378" t="s">
        <v>1162</v>
      </c>
      <c r="D43" s="1384" t="e">
        <f>IF('数据-取费表'!B3="万元",NUMBERSTRING(INT(D42*10000),2)&amp;"元整",NUMBERSTRING(INT(D42),2)&amp;"元整")</f>
        <v>#VALUE!</v>
      </c>
      <c r="E43" s="1359"/>
    </row>
    <row r="44" spans="1:5" ht="15" thickBot="1">
      <c r="A44" s="1359"/>
      <c r="B44" s="3753"/>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6"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tabColor rgb="FF92D050"/>
    <pageSetUpPr fitToPage="1"/>
  </sheetPr>
  <dimension ref="A1:T98"/>
  <sheetViews>
    <sheetView zoomScale="90" zoomScaleNormal="90" workbookViewId="0">
      <selection activeCell="H13" sqref="H13"/>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估价对象临近知春路，距离地铁10、13号线知春路站约100米，周边有专168路、311路、319路、630路等公交车通达，停车便捷程度较好，综合评价交通便捷度好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城市主干道-知春路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96">
      <c r="A10" s="694" t="s">
        <v>719</v>
      </c>
      <c r="B10"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区域自然环境：知春公园、双榆树公园；人文环境；首体足球场、大运村网球场；
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估价对象位于知春路商圈，周边办公楼项目有希格玛大厦、资金数码园、厦门大厦、卫星大厦、金仪科技大厦，入驻率高，办公集聚程度较好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9.4E-2</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估价对象临近知春路，距离地铁10、13号线知春路站约100米，周边有专168路、311路、319路、630路等公交车通达，停车便捷程度较好，综合评价交通便捷度好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城市主干道-知春路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96">
      <c r="A21" s="681" t="s">
        <v>719</v>
      </c>
      <c r="B21"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区域自然环境：知春公园、双榆树公园；人文环境；首体足球场、大运村网球场；
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估价对象临近知春路，距离地铁10、13号线知春路站约100米，周边有专168路、311路、319路、630路等公交车通达，停车便捷程度较好，综合评价交通便捷度好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城市主干道-知春路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96">
      <c r="A30" s="681" t="s">
        <v>719</v>
      </c>
      <c r="B30"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区域自然环境：知春公园、双榆树公园；人文环境；首体足球场、大运村网球场；
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A1:T344"/>
  <sheetViews>
    <sheetView topLeftCell="A11" workbookViewId="0">
      <selection activeCell="H13" sqref="H13"/>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4263" t="s">
        <v>105</v>
      </c>
      <c r="B1" s="4263"/>
      <c r="C1" s="4263"/>
      <c r="D1" s="4263"/>
      <c r="E1" s="4263"/>
      <c r="F1" s="42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4264" t="s">
        <v>118</v>
      </c>
      <c r="B2" s="4264"/>
      <c r="C2" s="4264"/>
      <c r="D2" s="4264"/>
      <c r="E2" s="4264"/>
      <c r="F2" s="42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42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42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20460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A1:M119"/>
  <sheetViews>
    <sheetView workbookViewId="0">
      <selection activeCell="H13" sqref="H13"/>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4267" t="s">
        <v>132</v>
      </c>
      <c r="B18" s="768" t="s">
        <v>517</v>
      </c>
      <c r="C18" s="769" t="s">
        <v>518</v>
      </c>
      <c r="D18" s="770"/>
      <c r="E18" s="768">
        <v>1</v>
      </c>
      <c r="F18" s="771" t="s">
        <v>519</v>
      </c>
      <c r="G18" s="772"/>
      <c r="H18" s="764"/>
      <c r="I18" s="764"/>
    </row>
    <row r="19" spans="1:9" s="773" customFormat="1" ht="19.5" customHeight="1">
      <c r="A19" s="4267"/>
      <c r="B19" s="4267" t="s">
        <v>520</v>
      </c>
      <c r="C19" s="769" t="s">
        <v>521</v>
      </c>
      <c r="D19" s="770"/>
      <c r="E19" s="768">
        <v>0.9</v>
      </c>
      <c r="F19" s="771" t="s">
        <v>522</v>
      </c>
      <c r="G19" s="772"/>
      <c r="H19" s="764"/>
      <c r="I19" s="764"/>
    </row>
    <row r="20" spans="1:9" s="773" customFormat="1" ht="19.5" customHeight="1">
      <c r="A20" s="4267"/>
      <c r="B20" s="4267"/>
      <c r="C20" s="769" t="s">
        <v>523</v>
      </c>
      <c r="D20" s="770"/>
      <c r="E20" s="768">
        <v>1.1000000000000001</v>
      </c>
      <c r="F20" s="771" t="s">
        <v>524</v>
      </c>
      <c r="G20" s="772"/>
      <c r="H20" s="764"/>
      <c r="I20" s="764"/>
    </row>
    <row r="21" spans="1:9" s="773" customFormat="1" ht="19.5" customHeight="1">
      <c r="A21" s="4267"/>
      <c r="B21" s="4267"/>
      <c r="C21" s="769" t="s">
        <v>525</v>
      </c>
      <c r="D21" s="770"/>
      <c r="E21" s="768">
        <v>0.8</v>
      </c>
      <c r="F21" s="771" t="s">
        <v>526</v>
      </c>
      <c r="G21" s="772"/>
      <c r="H21" s="764"/>
      <c r="I21" s="764"/>
    </row>
    <row r="22" spans="1:9" s="773" customFormat="1" ht="19.5" customHeight="1">
      <c r="A22" s="4267"/>
      <c r="B22" s="4267"/>
      <c r="C22" s="769" t="s">
        <v>527</v>
      </c>
      <c r="D22" s="770"/>
      <c r="E22" s="768">
        <v>0.5</v>
      </c>
      <c r="F22" s="771"/>
      <c r="G22" s="772"/>
      <c r="H22" s="764"/>
      <c r="I22" s="764"/>
    </row>
    <row r="23" spans="1:9" s="773" customFormat="1" ht="19.5" customHeight="1">
      <c r="A23" s="4267" t="s">
        <v>133</v>
      </c>
      <c r="B23" s="768" t="s">
        <v>517</v>
      </c>
      <c r="C23" s="769" t="s">
        <v>528</v>
      </c>
      <c r="D23" s="770"/>
      <c r="E23" s="768">
        <v>1</v>
      </c>
      <c r="F23" s="771" t="s">
        <v>529</v>
      </c>
      <c r="G23" s="772"/>
      <c r="H23" s="764"/>
      <c r="I23" s="764"/>
    </row>
    <row r="24" spans="1:9" s="773" customFormat="1" ht="19.5" customHeight="1">
      <c r="A24" s="4267"/>
      <c r="B24" s="4267" t="s">
        <v>520</v>
      </c>
      <c r="C24" s="769" t="s">
        <v>530</v>
      </c>
      <c r="D24" s="770"/>
      <c r="E24" s="768">
        <v>0.5</v>
      </c>
      <c r="F24" s="771"/>
      <c r="G24" s="772"/>
      <c r="H24" s="764"/>
      <c r="I24" s="764"/>
    </row>
    <row r="25" spans="1:9" s="773" customFormat="1" ht="19.5" customHeight="1">
      <c r="A25" s="4267"/>
      <c r="B25" s="4267"/>
      <c r="C25" s="769" t="s">
        <v>531</v>
      </c>
      <c r="D25" s="770"/>
      <c r="E25" s="768">
        <v>1.1000000000000001</v>
      </c>
      <c r="F25" s="771"/>
      <c r="G25" s="772"/>
      <c r="H25" s="764"/>
      <c r="I25" s="764"/>
    </row>
    <row r="26" spans="1:9" s="773" customFormat="1" ht="19.5" customHeight="1">
      <c r="A26" s="4267"/>
      <c r="B26" s="4267"/>
      <c r="C26" s="769" t="s">
        <v>532</v>
      </c>
      <c r="D26" s="770"/>
      <c r="E26" s="768">
        <v>1.1000000000000001</v>
      </c>
      <c r="F26" s="771"/>
      <c r="G26" s="772"/>
      <c r="H26" s="764"/>
      <c r="I26" s="764"/>
    </row>
    <row r="27" spans="1:9" s="773" customFormat="1" ht="19.5" customHeight="1">
      <c r="A27" s="4267"/>
      <c r="B27" s="4267"/>
      <c r="C27" s="769" t="s">
        <v>533</v>
      </c>
      <c r="D27" s="770"/>
      <c r="E27" s="768">
        <v>0.9</v>
      </c>
      <c r="F27" s="771" t="s">
        <v>534</v>
      </c>
      <c r="G27" s="772"/>
      <c r="H27" s="764"/>
      <c r="I27" s="764"/>
    </row>
    <row r="28" spans="1:9" s="773" customFormat="1" ht="19.5" customHeight="1">
      <c r="A28" s="4267"/>
      <c r="B28" s="4267"/>
      <c r="C28" s="769" t="s">
        <v>535</v>
      </c>
      <c r="D28" s="770"/>
      <c r="E28" s="768">
        <v>0.9</v>
      </c>
      <c r="F28" s="771" t="s">
        <v>536</v>
      </c>
      <c r="G28" s="772"/>
      <c r="H28" s="764"/>
      <c r="I28" s="764"/>
    </row>
    <row r="29" spans="1:9" s="773" customFormat="1" ht="19.5" customHeight="1">
      <c r="A29" s="4267"/>
      <c r="B29" s="4267"/>
      <c r="C29" s="769" t="s">
        <v>537</v>
      </c>
      <c r="D29" s="770"/>
      <c r="E29" s="768">
        <v>0.9</v>
      </c>
      <c r="F29" s="771" t="s">
        <v>538</v>
      </c>
      <c r="G29" s="772"/>
      <c r="H29" s="764"/>
      <c r="I29" s="764"/>
    </row>
    <row r="30" spans="1:9" s="773" customFormat="1" ht="19.5" customHeight="1">
      <c r="A30" s="4267"/>
      <c r="B30" s="4267"/>
      <c r="C30" s="769" t="s">
        <v>539</v>
      </c>
      <c r="D30" s="770"/>
      <c r="E30" s="768">
        <v>0.9</v>
      </c>
      <c r="F30" s="771" t="s">
        <v>540</v>
      </c>
      <c r="G30" s="772"/>
      <c r="H30" s="764"/>
      <c r="I30" s="764"/>
    </row>
    <row r="31" spans="1:9" s="773" customFormat="1" ht="19.5" customHeight="1">
      <c r="A31" s="4267"/>
      <c r="B31" s="4267"/>
      <c r="C31" s="769" t="s">
        <v>541</v>
      </c>
      <c r="D31" s="770"/>
      <c r="E31" s="768">
        <v>0.8</v>
      </c>
      <c r="F31" s="771" t="s">
        <v>542</v>
      </c>
      <c r="G31" s="772"/>
      <c r="H31" s="764"/>
      <c r="I31" s="764"/>
    </row>
    <row r="32" spans="1:9" s="773" customFormat="1" ht="19.5" customHeight="1">
      <c r="A32" s="4267"/>
      <c r="B32" s="4267"/>
      <c r="C32" s="769" t="s">
        <v>543</v>
      </c>
      <c r="D32" s="770"/>
      <c r="E32" s="768">
        <v>0.8</v>
      </c>
      <c r="F32" s="771" t="s">
        <v>544</v>
      </c>
      <c r="G32" s="772"/>
      <c r="H32" s="764"/>
      <c r="I32" s="764"/>
    </row>
    <row r="33" spans="1:9" s="773" customFormat="1" ht="19.5" customHeight="1">
      <c r="A33" s="4267" t="s">
        <v>134</v>
      </c>
      <c r="B33" s="768" t="s">
        <v>517</v>
      </c>
      <c r="C33" s="769" t="s">
        <v>545</v>
      </c>
      <c r="D33" s="770"/>
      <c r="E33" s="768">
        <v>1</v>
      </c>
      <c r="F33" s="771" t="s">
        <v>546</v>
      </c>
      <c r="G33" s="772"/>
      <c r="H33" s="764"/>
      <c r="I33" s="764"/>
    </row>
    <row r="34" spans="1:9" s="773" customFormat="1" ht="19.5" customHeight="1">
      <c r="A34" s="4267"/>
      <c r="B34" s="768" t="s">
        <v>520</v>
      </c>
      <c r="C34" s="769" t="s">
        <v>547</v>
      </c>
      <c r="D34" s="770"/>
      <c r="E34" s="768">
        <v>1.5</v>
      </c>
      <c r="F34" s="771" t="s">
        <v>548</v>
      </c>
      <c r="G34" s="772"/>
      <c r="H34" s="764"/>
      <c r="I34" s="764"/>
    </row>
    <row r="35" spans="1:9" s="773" customFormat="1" ht="19.5" customHeight="1">
      <c r="A35" s="4267" t="s">
        <v>135</v>
      </c>
      <c r="B35" s="768" t="s">
        <v>517</v>
      </c>
      <c r="C35" s="769" t="s">
        <v>549</v>
      </c>
      <c r="D35" s="770"/>
      <c r="E35" s="768">
        <v>1</v>
      </c>
      <c r="F35" s="771" t="s">
        <v>550</v>
      </c>
      <c r="G35" s="772"/>
      <c r="H35" s="764"/>
      <c r="I35" s="764"/>
    </row>
    <row r="36" spans="1:9" s="773" customFormat="1" ht="19.5" customHeight="1">
      <c r="A36" s="4267"/>
      <c r="B36" s="4267" t="s">
        <v>520</v>
      </c>
      <c r="C36" s="769" t="s">
        <v>551</v>
      </c>
      <c r="D36" s="770"/>
      <c r="E36" s="768">
        <v>1</v>
      </c>
      <c r="F36" s="771" t="s">
        <v>552</v>
      </c>
      <c r="G36" s="772"/>
      <c r="H36" s="764"/>
      <c r="I36" s="764"/>
    </row>
    <row r="37" spans="1:9" s="773" customFormat="1" ht="19.5" customHeight="1">
      <c r="A37" s="4267"/>
      <c r="B37" s="4267"/>
      <c r="C37" s="769" t="s">
        <v>553</v>
      </c>
      <c r="D37" s="770"/>
      <c r="E37" s="768">
        <v>1.5</v>
      </c>
      <c r="F37" s="771" t="s">
        <v>554</v>
      </c>
      <c r="G37" s="772"/>
      <c r="H37" s="764"/>
      <c r="I37" s="764"/>
    </row>
    <row r="38" spans="1:9" s="773" customFormat="1" ht="19.5" customHeight="1">
      <c r="A38" s="4267"/>
      <c r="B38" s="4267"/>
      <c r="C38" s="769" t="s">
        <v>555</v>
      </c>
      <c r="D38" s="770"/>
      <c r="E38" s="768">
        <v>1</v>
      </c>
      <c r="F38" s="771" t="s">
        <v>556</v>
      </c>
      <c r="G38" s="772"/>
      <c r="H38" s="764"/>
      <c r="I38" s="764"/>
    </row>
    <row r="39" spans="1:9" s="773" customFormat="1" ht="19.5" customHeight="1">
      <c r="A39" s="4267"/>
      <c r="B39" s="42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4267" t="s">
        <v>571</v>
      </c>
      <c r="C61" s="682" t="s">
        <v>572</v>
      </c>
      <c r="D61" s="682" t="s">
        <v>573</v>
      </c>
      <c r="E61" s="781">
        <v>0.5</v>
      </c>
      <c r="F61" s="768">
        <v>80</v>
      </c>
    </row>
    <row r="62" spans="1:8" s="764" customFormat="1" ht="24">
      <c r="A62" s="768">
        <v>2</v>
      </c>
      <c r="B62" s="4267"/>
      <c r="C62" s="682" t="s">
        <v>574</v>
      </c>
      <c r="D62" s="682" t="s">
        <v>575</v>
      </c>
      <c r="E62" s="781">
        <v>0.5</v>
      </c>
      <c r="F62" s="768">
        <v>80</v>
      </c>
    </row>
    <row r="63" spans="1:8" s="764" customFormat="1" ht="36">
      <c r="A63" s="768">
        <v>3</v>
      </c>
      <c r="B63" s="4267"/>
      <c r="C63" s="682" t="s">
        <v>576</v>
      </c>
      <c r="D63" s="682" t="s">
        <v>577</v>
      </c>
      <c r="E63" s="781">
        <v>0.5</v>
      </c>
      <c r="F63" s="768">
        <v>80</v>
      </c>
    </row>
    <row r="64" spans="1:8" s="764" customFormat="1" ht="36">
      <c r="A64" s="768">
        <v>4</v>
      </c>
      <c r="B64" s="4267"/>
      <c r="C64" s="682" t="s">
        <v>578</v>
      </c>
      <c r="D64" s="682" t="s">
        <v>579</v>
      </c>
      <c r="E64" s="781">
        <v>0.4</v>
      </c>
      <c r="F64" s="768">
        <v>60</v>
      </c>
    </row>
    <row r="65" spans="1:6" s="764" customFormat="1" ht="36">
      <c r="A65" s="768">
        <v>5</v>
      </c>
      <c r="B65" s="4267"/>
      <c r="C65" s="682" t="s">
        <v>580</v>
      </c>
      <c r="D65" s="682" t="s">
        <v>581</v>
      </c>
      <c r="E65" s="781">
        <v>0.2</v>
      </c>
      <c r="F65" s="768">
        <v>30</v>
      </c>
    </row>
    <row r="66" spans="1:6" s="764" customFormat="1" ht="36">
      <c r="A66" s="768">
        <v>6</v>
      </c>
      <c r="B66" s="4267"/>
      <c r="C66" s="682" t="s">
        <v>582</v>
      </c>
      <c r="D66" s="682" t="s">
        <v>583</v>
      </c>
      <c r="E66" s="781">
        <v>0.3</v>
      </c>
      <c r="F66" s="768">
        <v>50</v>
      </c>
    </row>
    <row r="67" spans="1:6" s="764" customFormat="1" ht="36">
      <c r="A67" s="768">
        <v>7</v>
      </c>
      <c r="B67" s="4267"/>
      <c r="C67" s="682" t="s">
        <v>584</v>
      </c>
      <c r="D67" s="682" t="s">
        <v>585</v>
      </c>
      <c r="E67" s="781">
        <v>0.2</v>
      </c>
      <c r="F67" s="768">
        <v>30</v>
      </c>
    </row>
    <row r="68" spans="1:6" s="764" customFormat="1" ht="36">
      <c r="A68" s="768">
        <v>8</v>
      </c>
      <c r="B68" s="4267"/>
      <c r="C68" s="682" t="s">
        <v>586</v>
      </c>
      <c r="D68" s="682" t="s">
        <v>587</v>
      </c>
      <c r="E68" s="781">
        <v>0.2</v>
      </c>
      <c r="F68" s="768">
        <v>30</v>
      </c>
    </row>
    <row r="69" spans="1:6" s="764" customFormat="1" ht="36">
      <c r="A69" s="768">
        <v>9</v>
      </c>
      <c r="B69" s="4267"/>
      <c r="C69" s="682" t="s">
        <v>588</v>
      </c>
      <c r="D69" s="682" t="s">
        <v>589</v>
      </c>
      <c r="E69" s="781">
        <v>0.2</v>
      </c>
      <c r="F69" s="768">
        <v>30</v>
      </c>
    </row>
    <row r="70" spans="1:6" s="764" customFormat="1" ht="48">
      <c r="A70" s="768">
        <v>10</v>
      </c>
      <c r="B70" s="4267"/>
      <c r="C70" s="682" t="s">
        <v>590</v>
      </c>
      <c r="D70" s="682" t="s">
        <v>591</v>
      </c>
      <c r="E70" s="781">
        <v>0.2</v>
      </c>
      <c r="F70" s="768">
        <v>30</v>
      </c>
    </row>
    <row r="71" spans="1:6" s="764" customFormat="1" ht="48">
      <c r="A71" s="768">
        <v>11</v>
      </c>
      <c r="B71" s="4267"/>
      <c r="C71" s="682" t="s">
        <v>592</v>
      </c>
      <c r="D71" s="682" t="s">
        <v>593</v>
      </c>
      <c r="E71" s="781">
        <v>0.2</v>
      </c>
      <c r="F71" s="768">
        <v>30</v>
      </c>
    </row>
    <row r="72" spans="1:6" s="764" customFormat="1" ht="36">
      <c r="A72" s="768">
        <v>12</v>
      </c>
      <c r="B72" s="4267"/>
      <c r="C72" s="682" t="s">
        <v>594</v>
      </c>
      <c r="D72" s="682" t="s">
        <v>595</v>
      </c>
      <c r="E72" s="781">
        <v>0.5</v>
      </c>
      <c r="F72" s="768">
        <v>80</v>
      </c>
    </row>
    <row r="73" spans="1:6" s="764" customFormat="1" ht="24">
      <c r="A73" s="768">
        <v>13</v>
      </c>
      <c r="B73" s="4267"/>
      <c r="C73" s="682" t="s">
        <v>596</v>
      </c>
      <c r="D73" s="682" t="s">
        <v>597</v>
      </c>
      <c r="E73" s="781">
        <v>0.4</v>
      </c>
      <c r="F73" s="768">
        <v>60</v>
      </c>
    </row>
    <row r="74" spans="1:6" s="764" customFormat="1" ht="24">
      <c r="A74" s="768">
        <v>14</v>
      </c>
      <c r="B74" s="4267"/>
      <c r="C74" s="682" t="s">
        <v>598</v>
      </c>
      <c r="D74" s="682" t="s">
        <v>599</v>
      </c>
      <c r="E74" s="781">
        <v>0.2</v>
      </c>
      <c r="F74" s="768">
        <v>30</v>
      </c>
    </row>
    <row r="75" spans="1:6" s="764" customFormat="1" ht="24">
      <c r="A75" s="768">
        <v>15</v>
      </c>
      <c r="B75" s="4267"/>
      <c r="C75" s="682" t="s">
        <v>600</v>
      </c>
      <c r="D75" s="682" t="s">
        <v>601</v>
      </c>
      <c r="E75" s="781">
        <v>0.2</v>
      </c>
      <c r="F75" s="768">
        <v>30</v>
      </c>
    </row>
    <row r="76" spans="1:6" s="764" customFormat="1" ht="24">
      <c r="A76" s="768">
        <v>16</v>
      </c>
      <c r="B76" s="4267" t="s">
        <v>602</v>
      </c>
      <c r="C76" s="682" t="s">
        <v>603</v>
      </c>
      <c r="D76" s="682" t="s">
        <v>604</v>
      </c>
      <c r="E76" s="781">
        <v>0.5</v>
      </c>
      <c r="F76" s="768">
        <v>80</v>
      </c>
    </row>
    <row r="77" spans="1:6" s="764" customFormat="1" ht="24">
      <c r="A77" s="768">
        <v>17</v>
      </c>
      <c r="B77" s="4267"/>
      <c r="C77" s="682" t="s">
        <v>605</v>
      </c>
      <c r="D77" s="682" t="s">
        <v>606</v>
      </c>
      <c r="E77" s="781">
        <v>0.5</v>
      </c>
      <c r="F77" s="768">
        <v>80</v>
      </c>
    </row>
    <row r="78" spans="1:6" s="764" customFormat="1" ht="24">
      <c r="A78" s="768">
        <v>18</v>
      </c>
      <c r="B78" s="4267"/>
      <c r="C78" s="682" t="s">
        <v>607</v>
      </c>
      <c r="D78" s="682" t="s">
        <v>608</v>
      </c>
      <c r="E78" s="781">
        <v>0.2</v>
      </c>
      <c r="F78" s="768">
        <v>30</v>
      </c>
    </row>
    <row r="79" spans="1:6" s="764" customFormat="1" ht="24">
      <c r="A79" s="768">
        <v>19</v>
      </c>
      <c r="B79" s="4267"/>
      <c r="C79" s="682" t="s">
        <v>609</v>
      </c>
      <c r="D79" s="682" t="s">
        <v>610</v>
      </c>
      <c r="E79" s="781">
        <v>0.5</v>
      </c>
      <c r="F79" s="768">
        <v>80</v>
      </c>
    </row>
    <row r="80" spans="1:6" s="764" customFormat="1" ht="36">
      <c r="A80" s="768">
        <v>20</v>
      </c>
      <c r="B80" s="4267"/>
      <c r="C80" s="682" t="s">
        <v>611</v>
      </c>
      <c r="D80" s="682" t="s">
        <v>612</v>
      </c>
      <c r="E80" s="781">
        <v>0.2</v>
      </c>
      <c r="F80" s="768">
        <v>30</v>
      </c>
    </row>
    <row r="81" spans="1:6" s="764" customFormat="1" ht="36">
      <c r="A81" s="768">
        <v>21</v>
      </c>
      <c r="B81" s="4267"/>
      <c r="C81" s="682" t="s">
        <v>613</v>
      </c>
      <c r="D81" s="682" t="s">
        <v>614</v>
      </c>
      <c r="E81" s="781">
        <v>0.2</v>
      </c>
      <c r="F81" s="768">
        <v>30</v>
      </c>
    </row>
    <row r="82" spans="1:6" s="764" customFormat="1" ht="48">
      <c r="A82" s="768">
        <v>22</v>
      </c>
      <c r="B82" s="4267"/>
      <c r="C82" s="682" t="s">
        <v>615</v>
      </c>
      <c r="D82" s="682" t="s">
        <v>616</v>
      </c>
      <c r="E82" s="781">
        <v>0.2</v>
      </c>
      <c r="F82" s="768">
        <v>30</v>
      </c>
    </row>
    <row r="83" spans="1:6" s="764" customFormat="1" ht="48">
      <c r="A83" s="768">
        <v>23</v>
      </c>
      <c r="B83" s="4267"/>
      <c r="C83" s="682" t="s">
        <v>617</v>
      </c>
      <c r="D83" s="682" t="s">
        <v>618</v>
      </c>
      <c r="E83" s="781">
        <v>0.2</v>
      </c>
      <c r="F83" s="768">
        <v>30</v>
      </c>
    </row>
    <row r="84" spans="1:6" s="764" customFormat="1" ht="36">
      <c r="A84" s="768">
        <v>24</v>
      </c>
      <c r="B84" s="4267"/>
      <c r="C84" s="682" t="s">
        <v>619</v>
      </c>
      <c r="D84" s="682" t="s">
        <v>620</v>
      </c>
      <c r="E84" s="781">
        <v>0.2</v>
      </c>
      <c r="F84" s="768">
        <v>30</v>
      </c>
    </row>
    <row r="85" spans="1:6" s="764" customFormat="1" ht="36">
      <c r="A85" s="768">
        <v>25</v>
      </c>
      <c r="B85" s="4267"/>
      <c r="C85" s="682" t="s">
        <v>621</v>
      </c>
      <c r="D85" s="682" t="s">
        <v>622</v>
      </c>
      <c r="E85" s="781">
        <v>0.5</v>
      </c>
      <c r="F85" s="768">
        <v>80</v>
      </c>
    </row>
    <row r="86" spans="1:6" s="764" customFormat="1" ht="36">
      <c r="A86" s="768">
        <v>26</v>
      </c>
      <c r="B86" s="4267"/>
      <c r="C86" s="682" t="s">
        <v>623</v>
      </c>
      <c r="D86" s="682" t="s">
        <v>624</v>
      </c>
      <c r="E86" s="781">
        <v>0.2</v>
      </c>
      <c r="F86" s="768">
        <v>30</v>
      </c>
    </row>
    <row r="87" spans="1:6" s="764" customFormat="1" ht="36">
      <c r="A87" s="768">
        <v>27</v>
      </c>
      <c r="B87" s="4267"/>
      <c r="C87" s="682" t="s">
        <v>625</v>
      </c>
      <c r="D87" s="682" t="s">
        <v>626</v>
      </c>
      <c r="E87" s="781">
        <v>0.2</v>
      </c>
      <c r="F87" s="768">
        <v>30</v>
      </c>
    </row>
    <row r="88" spans="1:6" s="764" customFormat="1" ht="36">
      <c r="A88" s="768">
        <v>28</v>
      </c>
      <c r="B88" s="4267"/>
      <c r="C88" s="682" t="s">
        <v>627</v>
      </c>
      <c r="D88" s="682" t="s">
        <v>628</v>
      </c>
      <c r="E88" s="781">
        <v>0.2</v>
      </c>
      <c r="F88" s="768">
        <v>30</v>
      </c>
    </row>
    <row r="89" spans="1:6" s="764" customFormat="1" ht="24">
      <c r="A89" s="768">
        <v>29</v>
      </c>
      <c r="B89" s="4267"/>
      <c r="C89" s="682" t="s">
        <v>629</v>
      </c>
      <c r="D89" s="682" t="s">
        <v>630</v>
      </c>
      <c r="E89" s="781">
        <v>0.2</v>
      </c>
      <c r="F89" s="768">
        <v>30</v>
      </c>
    </row>
    <row r="90" spans="1:6" s="764" customFormat="1" ht="24">
      <c r="A90" s="768">
        <v>30</v>
      </c>
      <c r="B90" s="4267"/>
      <c r="C90" s="682" t="s">
        <v>631</v>
      </c>
      <c r="D90" s="682" t="s">
        <v>632</v>
      </c>
      <c r="E90" s="781">
        <v>0.2</v>
      </c>
      <c r="F90" s="768">
        <v>30</v>
      </c>
    </row>
    <row r="91" spans="1:6" s="764" customFormat="1" ht="36">
      <c r="A91" s="768">
        <v>31</v>
      </c>
      <c r="B91" s="4267"/>
      <c r="C91" s="682" t="s">
        <v>633</v>
      </c>
      <c r="D91" s="682" t="s">
        <v>634</v>
      </c>
      <c r="E91" s="781">
        <v>0.2</v>
      </c>
      <c r="F91" s="768">
        <v>30</v>
      </c>
    </row>
    <row r="92" spans="1:6" s="764" customFormat="1" ht="24">
      <c r="A92" s="768">
        <v>32</v>
      </c>
      <c r="B92" s="4267" t="s">
        <v>635</v>
      </c>
      <c r="C92" s="768" t="s">
        <v>636</v>
      </c>
      <c r="D92" s="682" t="s">
        <v>637</v>
      </c>
      <c r="E92" s="781">
        <v>0.2</v>
      </c>
      <c r="F92" s="768">
        <v>30</v>
      </c>
    </row>
    <row r="93" spans="1:6" s="764" customFormat="1" ht="36">
      <c r="A93" s="768">
        <v>33</v>
      </c>
      <c r="B93" s="4267"/>
      <c r="C93" s="768" t="s">
        <v>638</v>
      </c>
      <c r="D93" s="682" t="s">
        <v>639</v>
      </c>
      <c r="E93" s="781">
        <v>0.2</v>
      </c>
      <c r="F93" s="768">
        <v>30</v>
      </c>
    </row>
    <row r="94" spans="1:6" s="764" customFormat="1" ht="48">
      <c r="A94" s="768">
        <v>34</v>
      </c>
      <c r="B94" s="4267"/>
      <c r="C94" s="768" t="s">
        <v>640</v>
      </c>
      <c r="D94" s="682" t="s">
        <v>641</v>
      </c>
      <c r="E94" s="781">
        <v>0.2</v>
      </c>
      <c r="F94" s="768">
        <v>30</v>
      </c>
    </row>
    <row r="95" spans="1:6" s="764" customFormat="1" ht="36">
      <c r="A95" s="768">
        <v>35</v>
      </c>
      <c r="B95" s="4267"/>
      <c r="C95" s="768" t="s">
        <v>642</v>
      </c>
      <c r="D95" s="682" t="s">
        <v>643</v>
      </c>
      <c r="E95" s="781">
        <v>0.2</v>
      </c>
      <c r="F95" s="768">
        <v>30</v>
      </c>
    </row>
    <row r="96" spans="1:6" s="764" customFormat="1" ht="48">
      <c r="A96" s="768">
        <v>36</v>
      </c>
      <c r="B96" s="4267"/>
      <c r="C96" s="682" t="s">
        <v>644</v>
      </c>
      <c r="D96" s="682" t="s">
        <v>645</v>
      </c>
      <c r="E96" s="781">
        <v>0.2</v>
      </c>
      <c r="F96" s="768">
        <v>30</v>
      </c>
    </row>
    <row r="97" spans="1:6" s="764" customFormat="1" ht="36">
      <c r="A97" s="768">
        <v>37</v>
      </c>
      <c r="B97" s="4267"/>
      <c r="C97" s="768" t="s">
        <v>646</v>
      </c>
      <c r="D97" s="682" t="s">
        <v>647</v>
      </c>
      <c r="E97" s="781">
        <v>0.2</v>
      </c>
      <c r="F97" s="768">
        <v>30</v>
      </c>
    </row>
    <row r="98" spans="1:6" s="764" customFormat="1" ht="36">
      <c r="A98" s="768">
        <v>38</v>
      </c>
      <c r="B98" s="4267"/>
      <c r="C98" s="768" t="s">
        <v>648</v>
      </c>
      <c r="D98" s="682" t="s">
        <v>649</v>
      </c>
      <c r="E98" s="781">
        <v>0.2</v>
      </c>
      <c r="F98" s="768">
        <v>30</v>
      </c>
    </row>
    <row r="99" spans="1:6" s="764" customFormat="1" ht="36">
      <c r="A99" s="768">
        <v>39</v>
      </c>
      <c r="B99" s="4267" t="s">
        <v>650</v>
      </c>
      <c r="C99" s="768" t="s">
        <v>651</v>
      </c>
      <c r="D99" s="682" t="s">
        <v>652</v>
      </c>
      <c r="E99" s="781">
        <v>0.3</v>
      </c>
      <c r="F99" s="768">
        <v>50</v>
      </c>
    </row>
    <row r="100" spans="1:6" s="764" customFormat="1" ht="24">
      <c r="A100" s="768">
        <v>40</v>
      </c>
      <c r="B100" s="4267"/>
      <c r="C100" s="768" t="s">
        <v>653</v>
      </c>
      <c r="D100" s="682" t="s">
        <v>654</v>
      </c>
      <c r="E100" s="781">
        <v>0.2</v>
      </c>
      <c r="F100" s="768">
        <v>30</v>
      </c>
    </row>
    <row r="101" spans="1:6" s="764" customFormat="1" ht="36">
      <c r="A101" s="768">
        <v>41</v>
      </c>
      <c r="B101" s="42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4267" t="s">
        <v>665</v>
      </c>
      <c r="C105" s="768" t="s">
        <v>666</v>
      </c>
      <c r="D105" s="682" t="s">
        <v>667</v>
      </c>
      <c r="E105" s="781">
        <v>0.2</v>
      </c>
      <c r="F105" s="768">
        <v>30</v>
      </c>
    </row>
    <row r="106" spans="1:6" s="764" customFormat="1" ht="36">
      <c r="A106" s="768">
        <v>46</v>
      </c>
      <c r="B106" s="4267"/>
      <c r="C106" s="768" t="s">
        <v>668</v>
      </c>
      <c r="D106" s="682" t="s">
        <v>669</v>
      </c>
      <c r="E106" s="781">
        <v>0.2</v>
      </c>
      <c r="F106" s="768">
        <v>30</v>
      </c>
    </row>
    <row r="107" spans="1:6" s="764" customFormat="1" ht="36">
      <c r="A107" s="768">
        <v>47</v>
      </c>
      <c r="B107" s="4267" t="s">
        <v>670</v>
      </c>
      <c r="C107" s="768" t="s">
        <v>671</v>
      </c>
      <c r="D107" s="682" t="s">
        <v>672</v>
      </c>
      <c r="E107" s="781">
        <v>0.3</v>
      </c>
      <c r="F107" s="768">
        <v>50</v>
      </c>
    </row>
    <row r="108" spans="1:6" s="764" customFormat="1" ht="36">
      <c r="A108" s="768">
        <v>48</v>
      </c>
      <c r="B108" s="42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4267" t="s">
        <v>681</v>
      </c>
      <c r="C111" s="768" t="s">
        <v>682</v>
      </c>
      <c r="D111" s="682" t="s">
        <v>683</v>
      </c>
      <c r="E111" s="781">
        <v>0.2</v>
      </c>
      <c r="F111" s="768">
        <v>30</v>
      </c>
    </row>
    <row r="112" spans="1:6" s="764" customFormat="1" ht="24">
      <c r="A112" s="768">
        <v>52</v>
      </c>
      <c r="B112" s="4267"/>
      <c r="C112" s="768" t="s">
        <v>684</v>
      </c>
      <c r="D112" s="682" t="s">
        <v>685</v>
      </c>
      <c r="E112" s="781">
        <v>0.2</v>
      </c>
      <c r="F112" s="768">
        <v>30</v>
      </c>
    </row>
    <row r="113" spans="1:6" s="764" customFormat="1" ht="24">
      <c r="A113" s="768">
        <v>53</v>
      </c>
      <c r="B113" s="42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4267" t="s">
        <v>694</v>
      </c>
      <c r="C116" s="768" t="s">
        <v>695</v>
      </c>
      <c r="D116" s="682" t="s">
        <v>696</v>
      </c>
      <c r="E116" s="781">
        <v>0.2</v>
      </c>
      <c r="F116" s="768">
        <v>30</v>
      </c>
    </row>
    <row r="117" spans="1:6" ht="36">
      <c r="A117" s="768">
        <v>57</v>
      </c>
      <c r="B117" s="42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dimension ref="A1:N408"/>
  <sheetViews>
    <sheetView workbookViewId="0">
      <selection activeCell="H13" sqref="H13"/>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0.83579999999999999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tabColor rgb="FF92D050"/>
  </sheetPr>
  <dimension ref="A1:AH117"/>
  <sheetViews>
    <sheetView topLeftCell="B1" zoomScale="80" zoomScaleNormal="80" workbookViewId="0">
      <selection activeCell="H13" sqref="H13"/>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4273" t="s">
        <v>1020</v>
      </c>
      <c r="C1" s="4273"/>
      <c r="D1" s="4273"/>
      <c r="E1" s="4273"/>
      <c r="F1" s="4273"/>
      <c r="G1" s="4269" t="s">
        <v>1021</v>
      </c>
      <c r="H1" s="4269"/>
      <c r="I1" s="4269"/>
      <c r="J1" s="4269"/>
      <c r="K1" s="4269"/>
      <c r="L1" s="4269"/>
      <c r="N1" s="4269" t="s">
        <v>1022</v>
      </c>
      <c r="O1" s="4269"/>
      <c r="P1" s="4269"/>
      <c r="Q1" s="4269"/>
      <c r="S1" s="4269" t="s">
        <v>1023</v>
      </c>
      <c r="T1" s="4269"/>
      <c r="U1" s="4269"/>
      <c r="V1" s="4269"/>
      <c r="X1" s="4268" t="s">
        <v>1024</v>
      </c>
      <c r="Y1" s="4269"/>
      <c r="Z1" s="4269"/>
      <c r="AA1" s="4269"/>
      <c r="AB1" s="4269"/>
      <c r="AD1" s="4268" t="s">
        <v>1025</v>
      </c>
      <c r="AE1" s="4269"/>
      <c r="AF1" s="4269"/>
      <c r="AG1" s="4269"/>
      <c r="AH1" s="4269"/>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2701</v>
      </c>
      <c r="B3" s="2338"/>
      <c r="C3" s="2338"/>
      <c r="D3" s="2339"/>
      <c r="E3" s="2339"/>
      <c r="F3" s="2338"/>
      <c r="G3" s="2340"/>
      <c r="H3" s="2341"/>
      <c r="I3" s="2342">
        <f>ROUND(AVERAGE(I4:I34),2)</f>
        <v>1.73</v>
      </c>
      <c r="J3" s="2342">
        <f>ROUND(AVERAGE(J4:J34),2)</f>
        <v>1.0900000000000001</v>
      </c>
      <c r="K3" s="2342">
        <f>ROUND(AVERAGE(K4:K34),2)</f>
        <v>1.9</v>
      </c>
      <c r="L3" s="2343">
        <f>ROUND(AVERAGE(L4:L34),2)</f>
        <v>1.25</v>
      </c>
      <c r="N3" s="2340"/>
      <c r="S3" s="2340"/>
      <c r="W3" s="2345"/>
      <c r="X3" s="2346">
        <f>ROUND(SUMPRODUCT(PRODUCT(1+N3:N$33)),4)</f>
        <v>1.619</v>
      </c>
      <c r="Y3" s="2346">
        <f>ROUND(SUMPRODUCT(PRODUCT(1+O3:O$33)),4)</f>
        <v>1.3491</v>
      </c>
      <c r="Z3" s="2346">
        <f t="shared" ref="Z3:Z31" si="0">Y3</f>
        <v>1.3491</v>
      </c>
      <c r="AA3" s="2346">
        <f>ROUND(SUMPRODUCT(PRODUCT(1+P3:P$33)),4)</f>
        <v>1.6988000000000001</v>
      </c>
      <c r="AB3" s="2346">
        <f>ROUND(SUMPRODUCT(PRODUCT(1+Q3:Q$33)),4)</f>
        <v>1.4315</v>
      </c>
      <c r="AD3" s="2347">
        <f>ROUND(AVERAGE(I3:I$34)/100,4)</f>
        <v>1.7299999999999999E-2</v>
      </c>
      <c r="AE3" s="2347">
        <f>ROUND(AVERAGE(J3:J$34)/100,4)</f>
        <v>1.09E-2</v>
      </c>
      <c r="AF3" s="2347">
        <f t="shared" ref="AF3:AF22" si="1">AE3</f>
        <v>1.09E-2</v>
      </c>
      <c r="AG3" s="2347">
        <f>ROUND(AVERAGE(K3:K$34)/100,4)</f>
        <v>1.9E-2</v>
      </c>
      <c r="AH3" s="2347">
        <f>ROUND(AVERAGE(L3:L$34)/100,4)</f>
        <v>1.2500000000000001E-2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2883</v>
      </c>
      <c r="B5" s="2357">
        <f t="shared" ref="B5" si="2">B6*(1+N5)</f>
        <v>497.92799851020823</v>
      </c>
      <c r="C5" s="2357">
        <f t="shared" ref="C5" si="3">C6*(1+O5)</f>
        <v>347.77173663537445</v>
      </c>
      <c r="D5" s="2358">
        <f t="shared" ref="D5" si="4">C5</f>
        <v>347.77173663537445</v>
      </c>
      <c r="E5" s="2357">
        <f t="shared" ref="E5" si="5">E6*(1+P5)</f>
        <v>718.44695593258189</v>
      </c>
      <c r="F5" s="2357">
        <f t="shared" ref="F5" si="6">F6*(1+Q5)</f>
        <v>329.12600580153247</v>
      </c>
      <c r="G5" s="3155">
        <v>2021</v>
      </c>
      <c r="H5" s="2360">
        <v>2</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2700</v>
      </c>
      <c r="X5" s="2366">
        <f>ROUND(SUMPRODUCT(PRODUCT(1+N5:N$33)),4)</f>
        <v>1.619</v>
      </c>
      <c r="Y5" s="2366">
        <f>ROUND(SUMPRODUCT(PRODUCT(1+O5:O$33)),4)</f>
        <v>1.3491</v>
      </c>
      <c r="Z5" s="2366">
        <f t="shared" ref="Z5" si="11">Y5</f>
        <v>1.3491</v>
      </c>
      <c r="AA5" s="2366">
        <f>ROUND(SUMPRODUCT(PRODUCT(1+P5:P$33)),4)</f>
        <v>1.6988000000000001</v>
      </c>
      <c r="AB5" s="2366">
        <f>ROUND(SUMPRODUCT(PRODUCT(1+Q5:Q$33)),4)</f>
        <v>1.4315</v>
      </c>
      <c r="AD5" s="2367">
        <f>ROUND(AVERAGE(I5:I$34)/100,4)</f>
        <v>1.7299999999999999E-2</v>
      </c>
      <c r="AE5" s="2367">
        <f>ROUND(AVERAGE(J5:J$34)/100,4)</f>
        <v>1.09E-2</v>
      </c>
      <c r="AF5" s="2367">
        <f t="shared" ref="AF5" si="12">AE5</f>
        <v>1.09E-2</v>
      </c>
      <c r="AG5" s="2367">
        <f>ROUND(AVERAGE(K5:K$34)/100,4)</f>
        <v>1.9E-2</v>
      </c>
      <c r="AH5" s="2367">
        <f>ROUND(AVERAGE(L5:L$34)/100,4)</f>
        <v>1.2500000000000001E-2</v>
      </c>
    </row>
    <row r="6" spans="1:34" s="2375" customFormat="1" ht="14.45" customHeight="1">
      <c r="A6" s="2368" t="s">
        <v>2882</v>
      </c>
      <c r="B6" s="2369">
        <f t="shared" ref="B6" si="13">B7*(1+N6)</f>
        <v>497.92799851020823</v>
      </c>
      <c r="C6" s="2369">
        <f t="shared" ref="C6" si="14">C7*(1+O6)</f>
        <v>347.77173663537445</v>
      </c>
      <c r="D6" s="2369">
        <f t="shared" ref="D6" si="15">C6</f>
        <v>347.77173663537445</v>
      </c>
      <c r="E6" s="2369">
        <f t="shared" ref="E6" si="16">E7*(1+P6)</f>
        <v>718.44695593258189</v>
      </c>
      <c r="F6" s="2369">
        <f t="shared" ref="F6" si="17">F7*(1+Q6)</f>
        <v>329.12600580153247</v>
      </c>
      <c r="G6" s="3155">
        <v>2021</v>
      </c>
      <c r="H6" s="2370">
        <v>1</v>
      </c>
      <c r="I6" s="3156">
        <v>0.97</v>
      </c>
      <c r="J6" s="3156">
        <v>0.16</v>
      </c>
      <c r="K6" s="3156">
        <v>1.1100000000000001</v>
      </c>
      <c r="L6" s="3157">
        <v>0.36</v>
      </c>
      <c r="M6" s="2372"/>
      <c r="N6" s="2373">
        <f t="shared" ref="N6" si="18">I6/100</f>
        <v>9.7000000000000003E-3</v>
      </c>
      <c r="O6" s="2374">
        <f t="shared" ref="O6" si="19">J6/100</f>
        <v>1.6000000000000001E-3</v>
      </c>
      <c r="P6" s="2374">
        <f t="shared" ref="P6" si="20">K6/100</f>
        <v>1.11E-2</v>
      </c>
      <c r="Q6" s="2374">
        <f t="shared" ref="Q6" si="21">L6/100</f>
        <v>3.5999999999999999E-3</v>
      </c>
      <c r="R6" s="2372"/>
      <c r="S6" s="2373">
        <f>B6/B7-1</f>
        <v>9.7000000000000419E-3</v>
      </c>
      <c r="T6" s="2374">
        <f>C6/C7-1</f>
        <v>1.6000000000000458E-3</v>
      </c>
      <c r="U6" s="2374">
        <f>E6/E7-1</f>
        <v>1.110000000000011E-2</v>
      </c>
      <c r="V6" s="2374">
        <f>F6/F7-1</f>
        <v>3.6000000000000476E-3</v>
      </c>
      <c r="W6" s="2372"/>
      <c r="X6" s="2372">
        <f>ROUND(SUMPRODUCT(PRODUCT(1+N6:N$33)),4)</f>
        <v>1.619</v>
      </c>
      <c r="Y6" s="2372">
        <f>ROUND(SUMPRODUCT(PRODUCT(1+O6:O$33)),4)</f>
        <v>1.3491</v>
      </c>
      <c r="Z6" s="2372">
        <f t="shared" ref="Z6" si="22">Y6</f>
        <v>1.3491</v>
      </c>
      <c r="AA6" s="2372">
        <f>ROUND(SUMPRODUCT(PRODUCT(1+P6:P$33)),4)</f>
        <v>1.6988000000000001</v>
      </c>
      <c r="AB6" s="2372">
        <f>ROUND(SUMPRODUCT(PRODUCT(1+Q6:Q$33)),4)</f>
        <v>1.4315</v>
      </c>
      <c r="AC6" s="2372"/>
      <c r="AD6" s="2374">
        <f>ROUND(AVERAGE(I6:I$34)/100,4)</f>
        <v>1.7899999999999999E-2</v>
      </c>
      <c r="AE6" s="2374">
        <f>ROUND(AVERAGE(J6:J$34)/100,4)</f>
        <v>1.12E-2</v>
      </c>
      <c r="AF6" s="2374">
        <f t="shared" ref="AF6" si="23">AE6</f>
        <v>1.12E-2</v>
      </c>
      <c r="AG6" s="2374">
        <f>ROUND(AVERAGE(K6:K$34)/100,4)</f>
        <v>1.9699999999999999E-2</v>
      </c>
      <c r="AH6" s="2374">
        <f>ROUND(AVERAGE(L6:L$34)/100,4)</f>
        <v>1.29E-2</v>
      </c>
    </row>
    <row r="7" spans="1:34" s="2375" customFormat="1" ht="14.45" customHeight="1">
      <c r="A7" s="2368" t="s">
        <v>2878</v>
      </c>
      <c r="B7" s="2369">
        <f t="shared" ref="B7" si="24">B8*(1+N7)</f>
        <v>493.14449689037161</v>
      </c>
      <c r="C7" s="2369">
        <f t="shared" ref="C7" si="25">C8*(1+O7)</f>
        <v>347.21619073020611</v>
      </c>
      <c r="D7" s="2369">
        <f t="shared" ref="D7" si="26">C7</f>
        <v>347.21619073020611</v>
      </c>
      <c r="E7" s="2369">
        <f t="shared" ref="E7" si="27">E8*(1+P7)</f>
        <v>710.55974278763904</v>
      </c>
      <c r="F7" s="2369">
        <f t="shared" ref="F7" si="28">F8*(1+Q7)</f>
        <v>327.94540235306141</v>
      </c>
      <c r="G7" s="3146">
        <v>2020</v>
      </c>
      <c r="H7" s="2370">
        <v>4</v>
      </c>
      <c r="I7" s="2370">
        <v>2.0699999999999998</v>
      </c>
      <c r="J7" s="2370">
        <v>0.37</v>
      </c>
      <c r="K7" s="2370">
        <v>2.35</v>
      </c>
      <c r="L7" s="2371">
        <v>2.69</v>
      </c>
      <c r="M7" s="2372"/>
      <c r="N7" s="2373">
        <f t="shared" ref="N7" si="29">I7/100</f>
        <v>2.07E-2</v>
      </c>
      <c r="O7" s="2374">
        <f t="shared" ref="O7" si="30">J7/100</f>
        <v>3.7000000000000002E-3</v>
      </c>
      <c r="P7" s="2374">
        <f t="shared" ref="P7" si="31">K7/100</f>
        <v>2.35E-2</v>
      </c>
      <c r="Q7" s="2374">
        <f t="shared" ref="Q7" si="32">L7/100</f>
        <v>2.69E-2</v>
      </c>
      <c r="R7" s="2372"/>
      <c r="S7" s="2373"/>
      <c r="T7" s="2374"/>
      <c r="U7" s="2374"/>
      <c r="V7" s="2374"/>
      <c r="W7" s="2372"/>
      <c r="X7" s="2372">
        <f>ROUND(SUMPRODUCT(PRODUCT(1+N7:N$33)),4)</f>
        <v>1.6034999999999999</v>
      </c>
      <c r="Y7" s="2372">
        <f>ROUND(SUMPRODUCT(PRODUCT(1+O7:O$33)),4)</f>
        <v>1.3469</v>
      </c>
      <c r="Z7" s="2372">
        <f t="shared" ref="Z7" si="33">Y7</f>
        <v>1.3469</v>
      </c>
      <c r="AA7" s="2372">
        <f>ROUND(SUMPRODUCT(PRODUCT(1+P7:P$33)),4)</f>
        <v>1.6801999999999999</v>
      </c>
      <c r="AB7" s="2372">
        <f>ROUND(SUMPRODUCT(PRODUCT(1+Q7:Q$33)),4)</f>
        <v>1.4263999999999999</v>
      </c>
      <c r="AC7" s="2372"/>
      <c r="AD7" s="2374">
        <f>ROUND(AVERAGE(I7:I$34)/100,4)</f>
        <v>1.8200000000000001E-2</v>
      </c>
      <c r="AE7" s="2374">
        <f>ROUND(AVERAGE(J7:J$34)/100,4)</f>
        <v>1.1599999999999999E-2</v>
      </c>
      <c r="AF7" s="2374">
        <f t="shared" ref="AF7" si="34">AE7</f>
        <v>1.1599999999999999E-2</v>
      </c>
      <c r="AG7" s="2374">
        <f>ROUND(AVERAGE(K7:K$34)/100,4)</f>
        <v>0.02</v>
      </c>
      <c r="AH7" s="2374">
        <f>ROUND(AVERAGE(L7:L$34)/100,4)</f>
        <v>1.3299999999999999E-2</v>
      </c>
    </row>
    <row r="8" spans="1:34" s="2375" customFormat="1" ht="14.45" customHeight="1">
      <c r="A8" s="2368" t="s">
        <v>2877</v>
      </c>
      <c r="B8" s="2369">
        <f t="shared" ref="B8" si="35">B9*(1+N8)</f>
        <v>483.1434279321756</v>
      </c>
      <c r="C8" s="2369">
        <f t="shared" ref="C8" si="36">C9*(1+O8)</f>
        <v>345.93622669144776</v>
      </c>
      <c r="D8" s="2369">
        <f t="shared" ref="D8" si="37">C8</f>
        <v>345.93622669144776</v>
      </c>
      <c r="E8" s="2369">
        <f t="shared" ref="E8" si="38">E9*(1+P8)</f>
        <v>694.24498562544113</v>
      </c>
      <c r="F8" s="2369">
        <f t="shared" ref="F8" si="39">F9*(1+Q8)</f>
        <v>319.35475932716082</v>
      </c>
      <c r="G8" s="3145">
        <v>2020</v>
      </c>
      <c r="H8" s="2370">
        <v>3</v>
      </c>
      <c r="I8" s="2370">
        <v>0.36</v>
      </c>
      <c r="J8" s="2370">
        <v>-0.39</v>
      </c>
      <c r="K8" s="2370">
        <v>0.49</v>
      </c>
      <c r="L8" s="2371">
        <v>7.0000000000000007E-2</v>
      </c>
      <c r="M8" s="2372"/>
      <c r="N8" s="2373">
        <f t="shared" ref="N8" si="40">I8/100</f>
        <v>3.5999999999999999E-3</v>
      </c>
      <c r="O8" s="2374">
        <f t="shared" ref="O8" si="41">J8/100</f>
        <v>-3.9000000000000003E-3</v>
      </c>
      <c r="P8" s="2374">
        <f t="shared" ref="P8" si="42">K8/100</f>
        <v>4.8999999999999998E-3</v>
      </c>
      <c r="Q8" s="2374">
        <f t="shared" ref="Q8" si="43">L8/100</f>
        <v>7.000000000000001E-4</v>
      </c>
      <c r="R8" s="2372"/>
      <c r="S8" s="2373"/>
      <c r="T8" s="2374"/>
      <c r="U8" s="2374"/>
      <c r="V8" s="2374"/>
      <c r="W8" s="2372"/>
      <c r="X8" s="2372">
        <f>ROUND(SUMPRODUCT(PRODUCT(1+N8:N$33)),4)</f>
        <v>1.571</v>
      </c>
      <c r="Y8" s="2372">
        <f>ROUND(SUMPRODUCT(PRODUCT(1+O8:O$33)),4)</f>
        <v>1.3420000000000001</v>
      </c>
      <c r="Z8" s="2372">
        <f t="shared" ref="Z8" si="44">Y8</f>
        <v>1.3420000000000001</v>
      </c>
      <c r="AA8" s="2372">
        <f>ROUND(SUMPRODUCT(PRODUCT(1+P8:P$33)),4)</f>
        <v>1.6415999999999999</v>
      </c>
      <c r="AB8" s="2372">
        <f>ROUND(SUMPRODUCT(PRODUCT(1+Q8:Q$33)),4)</f>
        <v>1.389</v>
      </c>
      <c r="AC8" s="2372"/>
      <c r="AD8" s="2374">
        <f>ROUND(AVERAGE(I8:I$34)/100,4)</f>
        <v>1.8100000000000002E-2</v>
      </c>
      <c r="AE8" s="2374">
        <f>ROUND(AVERAGE(J8:J$34)/100,4)</f>
        <v>1.1900000000000001E-2</v>
      </c>
      <c r="AF8" s="2374">
        <f t="shared" ref="AF8" si="45">AE8</f>
        <v>1.1900000000000001E-2</v>
      </c>
      <c r="AG8" s="2374">
        <f>ROUND(AVERAGE(K8:K$34)/100,4)</f>
        <v>1.9900000000000001E-2</v>
      </c>
      <c r="AH8" s="2374">
        <f>ROUND(AVERAGE(L8:L$34)/100,4)</f>
        <v>1.2800000000000001E-2</v>
      </c>
    </row>
    <row r="9" spans="1:34" s="2375" customFormat="1" ht="14.45" customHeight="1">
      <c r="A9" s="2368" t="s">
        <v>2733</v>
      </c>
      <c r="B9" s="2369">
        <f t="shared" ref="B9" si="46">B10*(1+N9)</f>
        <v>481.4103506697644</v>
      </c>
      <c r="C9" s="2369">
        <f t="shared" ref="C9" si="47">C10*(1+O9)</f>
        <v>347.29066026648707</v>
      </c>
      <c r="D9" s="2369">
        <f t="shared" ref="D9" si="48">C9</f>
        <v>347.29066026648707</v>
      </c>
      <c r="E9" s="2369">
        <f t="shared" ref="E9" si="49">E10*(1+P9)</f>
        <v>690.85977273901995</v>
      </c>
      <c r="F9" s="2369">
        <f t="shared" ref="F9" si="50">F10*(1+Q9)</f>
        <v>319.13136737000184</v>
      </c>
      <c r="G9" s="2359">
        <v>2020</v>
      </c>
      <c r="H9" s="2370">
        <v>2</v>
      </c>
      <c r="I9" s="2370">
        <v>0.31</v>
      </c>
      <c r="J9" s="2370">
        <v>-0.78</v>
      </c>
      <c r="K9" s="2370">
        <v>0.5</v>
      </c>
      <c r="L9" s="2371">
        <v>0.47</v>
      </c>
      <c r="M9" s="2372"/>
      <c r="N9" s="2373">
        <f t="shared" ref="N9" si="51">I9/100</f>
        <v>3.0999999999999999E-3</v>
      </c>
      <c r="O9" s="2374">
        <f t="shared" ref="O9" si="52">J9/100</f>
        <v>-7.8000000000000005E-3</v>
      </c>
      <c r="P9" s="2374">
        <f t="shared" ref="P9" si="53">K9/100</f>
        <v>5.0000000000000001E-3</v>
      </c>
      <c r="Q9" s="2374">
        <f t="shared" ref="Q9" si="54">L9/100</f>
        <v>4.6999999999999993E-3</v>
      </c>
      <c r="R9" s="2372"/>
      <c r="S9" s="2373"/>
      <c r="T9" s="2374"/>
      <c r="U9" s="2374"/>
      <c r="V9" s="2374"/>
      <c r="W9" s="2372"/>
      <c r="X9" s="2372">
        <f>ROUND(SUMPRODUCT(PRODUCT(1+N9:N$33)),4)</f>
        <v>1.5652999999999999</v>
      </c>
      <c r="Y9" s="2372">
        <f>ROUND(SUMPRODUCT(PRODUCT(1+O9:O$33)),4)</f>
        <v>1.3472</v>
      </c>
      <c r="Z9" s="2372">
        <f t="shared" ref="Z9" si="55">Y9</f>
        <v>1.3472</v>
      </c>
      <c r="AA9" s="2372">
        <f>ROUND(SUMPRODUCT(PRODUCT(1+P9:P$33)),4)</f>
        <v>1.6335999999999999</v>
      </c>
      <c r="AB9" s="2372">
        <f>ROUND(SUMPRODUCT(PRODUCT(1+Q9:Q$33)),4)</f>
        <v>1.3880999999999999</v>
      </c>
      <c r="AC9" s="2372"/>
      <c r="AD9" s="2374">
        <f>ROUND(AVERAGE(I9:I$34)/100,4)</f>
        <v>1.8599999999999998E-2</v>
      </c>
      <c r="AE9" s="2374">
        <f>ROUND(AVERAGE(J9:J$34)/100,4)</f>
        <v>1.2500000000000001E-2</v>
      </c>
      <c r="AF9" s="2374">
        <f t="shared" ref="AF9" si="56">AE9</f>
        <v>1.2500000000000001E-2</v>
      </c>
      <c r="AG9" s="2374">
        <f>ROUND(AVERAGE(K9:K$34)/100,4)</f>
        <v>2.0400000000000001E-2</v>
      </c>
      <c r="AH9" s="2374">
        <f>ROUND(AVERAGE(L9:L$34)/100,4)</f>
        <v>1.32E-2</v>
      </c>
    </row>
    <row r="10" spans="1:34" s="2375" customFormat="1" ht="14.45" customHeight="1">
      <c r="A10" s="2368" t="s">
        <v>2730</v>
      </c>
      <c r="B10" s="2369">
        <f t="shared" ref="B10" si="57">B11*(1+N10)</f>
        <v>479.92259063878413</v>
      </c>
      <c r="C10" s="2369">
        <f t="shared" ref="C10" si="58">C11*(1+O10)</f>
        <v>350.02082268341775</v>
      </c>
      <c r="D10" s="2369">
        <f t="shared" ref="D10" si="59">C10</f>
        <v>350.02082268341775</v>
      </c>
      <c r="E10" s="2369">
        <f t="shared" ref="E10" si="60">E11*(1+P10)</f>
        <v>687.42265944181099</v>
      </c>
      <c r="F10" s="2369">
        <f t="shared" ref="F10" si="61">F11*(1+Q10)</f>
        <v>317.63846657708956</v>
      </c>
      <c r="G10" s="2359">
        <v>2020</v>
      </c>
      <c r="H10" s="2370">
        <v>1</v>
      </c>
      <c r="I10" s="2370">
        <v>0.12</v>
      </c>
      <c r="J10" s="2370">
        <v>-0.4</v>
      </c>
      <c r="K10" s="2370">
        <v>0.21</v>
      </c>
      <c r="L10" s="2371">
        <v>0.27</v>
      </c>
      <c r="M10" s="2372"/>
      <c r="N10" s="2373">
        <f t="shared" ref="N10" si="62">I10/100</f>
        <v>1.1999999999999999E-3</v>
      </c>
      <c r="O10" s="2374">
        <f t="shared" ref="O10" si="63">J10/100</f>
        <v>-4.0000000000000001E-3</v>
      </c>
      <c r="P10" s="2374">
        <f t="shared" ref="P10" si="64">K10/100</f>
        <v>2.0999999999999999E-3</v>
      </c>
      <c r="Q10" s="2374">
        <f t="shared" ref="Q10" si="65">L10/100</f>
        <v>2.7000000000000001E-3</v>
      </c>
      <c r="R10" s="2372"/>
      <c r="S10" s="2373">
        <f>B10/B11-1</f>
        <v>1.2000000000000899E-3</v>
      </c>
      <c r="T10" s="2374">
        <f>C10/C11-1</f>
        <v>-4.0000000000000036E-3</v>
      </c>
      <c r="U10" s="2374">
        <f>E10/E11-1</f>
        <v>2.0999999999999908E-3</v>
      </c>
      <c r="V10" s="2374">
        <f>F10/F11-1</f>
        <v>2.6999999999999247E-3</v>
      </c>
      <c r="W10" s="2372"/>
      <c r="X10" s="2372">
        <f>ROUND(SUMPRODUCT(PRODUCT(1+N10:N$33)),4)</f>
        <v>1.5605</v>
      </c>
      <c r="Y10" s="2372">
        <f>ROUND(SUMPRODUCT(PRODUCT(1+O10:O$33)),4)</f>
        <v>1.3577999999999999</v>
      </c>
      <c r="Z10" s="2372">
        <f t="shared" ref="Z10" si="66">Y10</f>
        <v>1.3577999999999999</v>
      </c>
      <c r="AA10" s="2372">
        <f>ROUND(SUMPRODUCT(PRODUCT(1+P10:P$33)),4)</f>
        <v>1.6254999999999999</v>
      </c>
      <c r="AB10" s="2372">
        <f>ROUND(SUMPRODUCT(PRODUCT(1+Q10:Q$33)),4)</f>
        <v>1.3815999999999999</v>
      </c>
      <c r="AC10" s="2372"/>
      <c r="AD10" s="2374">
        <f>ROUND(AVERAGE(I10:I$34)/100,4)</f>
        <v>1.9199999999999998E-2</v>
      </c>
      <c r="AE10" s="2374">
        <f>ROUND(AVERAGE(J10:J$34)/100,4)</f>
        <v>1.3299999999999999E-2</v>
      </c>
      <c r="AF10" s="2374">
        <f t="shared" ref="AF10" si="67">AE10</f>
        <v>1.3299999999999999E-2</v>
      </c>
      <c r="AG10" s="2374">
        <f>ROUND(AVERAGE(K10:K$34)/100,4)</f>
        <v>2.1100000000000001E-2</v>
      </c>
      <c r="AH10" s="2374">
        <f>ROUND(AVERAGE(L10:L$34)/100,4)</f>
        <v>1.3599999999999999E-2</v>
      </c>
    </row>
    <row r="11" spans="1:34" s="2375" customFormat="1" ht="14.45" customHeight="1">
      <c r="A11" s="2368" t="s">
        <v>2728</v>
      </c>
      <c r="B11" s="2369">
        <f t="shared" ref="B11:B16" si="68">B12*(1+N11)</f>
        <v>479.34737379023579</v>
      </c>
      <c r="C11" s="2369">
        <f t="shared" ref="C11" si="69">C12*(1+O11)</f>
        <v>351.4265287986122</v>
      </c>
      <c r="D11" s="2369">
        <f t="shared" ref="D11" si="70">C11</f>
        <v>351.4265287986122</v>
      </c>
      <c r="E11" s="2369">
        <f t="shared" ref="E11" si="71">E12*(1+P11)</f>
        <v>685.98209703803116</v>
      </c>
      <c r="F11" s="2369">
        <f t="shared" ref="F11" si="72">F12*(1+Q11)</f>
        <v>316.78315206651001</v>
      </c>
      <c r="G11" s="2359">
        <v>2019</v>
      </c>
      <c r="H11" s="2370">
        <v>4</v>
      </c>
      <c r="I11" s="2370">
        <v>0.45</v>
      </c>
      <c r="J11" s="2370">
        <v>-0.12</v>
      </c>
      <c r="K11" s="2370">
        <v>0.54</v>
      </c>
      <c r="L11" s="2371">
        <v>0.48</v>
      </c>
      <c r="M11" s="2372"/>
      <c r="N11" s="2373">
        <f t="shared" ref="N11:N16" si="73">I11/100</f>
        <v>4.5000000000000005E-3</v>
      </c>
      <c r="O11" s="2374">
        <f t="shared" ref="O11" si="74">J11/100</f>
        <v>-1.1999999999999999E-3</v>
      </c>
      <c r="P11" s="2374">
        <f t="shared" ref="P11" si="75">K11/100</f>
        <v>5.4000000000000003E-3</v>
      </c>
      <c r="Q11" s="2374">
        <f t="shared" ref="Q11" si="76">L11/100</f>
        <v>4.7999999999999996E-3</v>
      </c>
      <c r="R11" s="2372"/>
      <c r="S11" s="2373"/>
      <c r="T11" s="2374"/>
      <c r="U11" s="2374"/>
      <c r="V11" s="2374"/>
      <c r="W11" s="2372"/>
      <c r="X11" s="2372">
        <f>ROUND(SUMPRODUCT(PRODUCT(1+N11:N$33)),4)</f>
        <v>1.5586</v>
      </c>
      <c r="Y11" s="2372">
        <f>ROUND(SUMPRODUCT(PRODUCT(1+O11:O$33)),4)</f>
        <v>1.3633</v>
      </c>
      <c r="Z11" s="2372">
        <f t="shared" ref="Z11" si="77">Y11</f>
        <v>1.3633</v>
      </c>
      <c r="AA11" s="2372">
        <f>ROUND(SUMPRODUCT(PRODUCT(1+P11:P$33)),4)</f>
        <v>1.6221000000000001</v>
      </c>
      <c r="AB11" s="2372">
        <f>ROUND(SUMPRODUCT(PRODUCT(1+Q11:Q$33)),4)</f>
        <v>1.3777999999999999</v>
      </c>
      <c r="AC11" s="2372"/>
      <c r="AD11" s="2374">
        <f>ROUND(AVERAGE(I11:I$34)/100,4)</f>
        <v>0.02</v>
      </c>
      <c r="AE11" s="2374">
        <f>ROUND(AVERAGE(J11:J$34)/100,4)</f>
        <v>1.4E-2</v>
      </c>
      <c r="AF11" s="2374">
        <f t="shared" ref="AF11" si="78">AE11</f>
        <v>1.4E-2</v>
      </c>
      <c r="AG11" s="2374">
        <f>ROUND(AVERAGE(K11:K$34)/100,4)</f>
        <v>2.1899999999999999E-2</v>
      </c>
      <c r="AH11" s="2374">
        <f>ROUND(AVERAGE(L11:L$34)/100,4)</f>
        <v>1.4E-2</v>
      </c>
    </row>
    <row r="12" spans="1:34" s="2375" customFormat="1" ht="14.45" customHeight="1" thickBot="1">
      <c r="A12" s="2368" t="s">
        <v>2725</v>
      </c>
      <c r="B12" s="2369">
        <f t="shared" si="68"/>
        <v>477.19997390765138</v>
      </c>
      <c r="C12" s="2369">
        <f t="shared" ref="C12" si="79">C13*(1+O12)</f>
        <v>351.84874729536665</v>
      </c>
      <c r="D12" s="2369">
        <f t="shared" ref="D12" si="80">C12</f>
        <v>351.84874729536665</v>
      </c>
      <c r="E12" s="2369">
        <f t="shared" ref="E12" si="81">E13*(1+P12)</f>
        <v>682.29768951465201</v>
      </c>
      <c r="F12" s="2369">
        <f t="shared" ref="F12" si="82">F13*(1+Q12)</f>
        <v>315.26985675409043</v>
      </c>
      <c r="G12" s="2359">
        <v>2019</v>
      </c>
      <c r="H12" s="2370">
        <v>3</v>
      </c>
      <c r="I12" s="2370">
        <v>0.61</v>
      </c>
      <c r="J12" s="2370">
        <v>0.67</v>
      </c>
      <c r="K12" s="2370">
        <v>0.6</v>
      </c>
      <c r="L12" s="2371">
        <v>1.03</v>
      </c>
      <c r="M12" s="2372"/>
      <c r="N12" s="2373">
        <f t="shared" si="73"/>
        <v>6.0999999999999995E-3</v>
      </c>
      <c r="O12" s="2374">
        <f t="shared" ref="O12" si="83">J12/100</f>
        <v>6.7000000000000002E-3</v>
      </c>
      <c r="P12" s="2374">
        <f t="shared" ref="P12" si="84">K12/100</f>
        <v>6.0000000000000001E-3</v>
      </c>
      <c r="Q12" s="2374">
        <f t="shared" ref="Q12" si="85">L12/100</f>
        <v>1.03E-2</v>
      </c>
      <c r="R12" s="2372"/>
      <c r="S12" s="2373"/>
      <c r="T12" s="2374"/>
      <c r="U12" s="2374"/>
      <c r="V12" s="2374"/>
      <c r="W12" s="2372"/>
      <c r="X12" s="2372">
        <f>ROUND(SUMPRODUCT(PRODUCT(1+N12:N$33)),4)</f>
        <v>1.5516000000000001</v>
      </c>
      <c r="Y12" s="2372">
        <f>ROUND(SUMPRODUCT(PRODUCT(1+O12:O$33)),4)</f>
        <v>1.3649</v>
      </c>
      <c r="Z12" s="2372">
        <f t="shared" ref="Z12" si="86">Y12</f>
        <v>1.3649</v>
      </c>
      <c r="AA12" s="2372">
        <f>ROUND(SUMPRODUCT(PRODUCT(1+P12:P$33)),4)</f>
        <v>1.6133999999999999</v>
      </c>
      <c r="AB12" s="2372">
        <f>ROUND(SUMPRODUCT(PRODUCT(1+Q12:Q$33)),4)</f>
        <v>1.3713</v>
      </c>
      <c r="AC12" s="2372"/>
      <c r="AD12" s="2374">
        <f>ROUND(AVERAGE(I12:I$34)/100,4)</f>
        <v>2.07E-2</v>
      </c>
      <c r="AE12" s="2374">
        <f>ROUND(AVERAGE(J12:J$34)/100,4)</f>
        <v>1.47E-2</v>
      </c>
      <c r="AF12" s="2374">
        <f t="shared" ref="AF12" si="87">AE12</f>
        <v>1.47E-2</v>
      </c>
      <c r="AG12" s="2374">
        <f>ROUND(AVERAGE(K12:K$34)/100,4)</f>
        <v>2.2599999999999999E-2</v>
      </c>
      <c r="AH12" s="2374">
        <f>ROUND(AVERAGE(L12:L$34)/100,4)</f>
        <v>1.44E-2</v>
      </c>
    </row>
    <row r="13" spans="1:34" s="2375" customFormat="1" ht="14.45" customHeight="1">
      <c r="A13" s="2368" t="s">
        <v>2719</v>
      </c>
      <c r="B13" s="2369">
        <f t="shared" si="68"/>
        <v>474.30670301923408</v>
      </c>
      <c r="C13" s="2369">
        <f t="shared" ref="C13" si="88">C14*(1+O13)</f>
        <v>349.50705005996491</v>
      </c>
      <c r="D13" s="2369">
        <f t="shared" ref="D13" si="89">C13</f>
        <v>349.50705005996491</v>
      </c>
      <c r="E13" s="2369">
        <f t="shared" ref="E13" si="90">E14*(1+P13)</f>
        <v>678.22831959706957</v>
      </c>
      <c r="F13" s="2369">
        <f t="shared" ref="F13" si="91">F14*(1+Q13)</f>
        <v>312.0556832169558</v>
      </c>
      <c r="G13" s="2359">
        <v>2019</v>
      </c>
      <c r="H13" s="2376">
        <v>2</v>
      </c>
      <c r="I13" s="2376">
        <v>1.53</v>
      </c>
      <c r="J13" s="2376">
        <v>1.01</v>
      </c>
      <c r="K13" s="2376">
        <v>1.62</v>
      </c>
      <c r="L13" s="2377">
        <v>1.25</v>
      </c>
      <c r="M13" s="2372"/>
      <c r="N13" s="2373">
        <f t="shared" si="73"/>
        <v>1.5300000000000001E-2</v>
      </c>
      <c r="O13" s="2374">
        <f t="shared" ref="O13" si="92">J13/100</f>
        <v>1.01E-2</v>
      </c>
      <c r="P13" s="2374">
        <f t="shared" ref="P13" si="93">K13/100</f>
        <v>1.6200000000000003E-2</v>
      </c>
      <c r="Q13" s="2374">
        <f t="shared" ref="Q13" si="94">L13/100</f>
        <v>1.2500000000000001E-2</v>
      </c>
      <c r="R13" s="2372"/>
      <c r="S13" s="2373"/>
      <c r="T13" s="2374"/>
      <c r="U13" s="2374"/>
      <c r="V13" s="2374"/>
      <c r="W13" s="2372"/>
      <c r="X13" s="2372">
        <f>ROUND(SUMPRODUCT(PRODUCT(1+N13:N$33)),4)</f>
        <v>1.5422</v>
      </c>
      <c r="Y13" s="2372">
        <f>ROUND(SUMPRODUCT(PRODUCT(1+O13:O$33)),4)</f>
        <v>1.3557999999999999</v>
      </c>
      <c r="Z13" s="2372">
        <f t="shared" ref="Z13" si="95">Y13</f>
        <v>1.3557999999999999</v>
      </c>
      <c r="AA13" s="2372">
        <f>ROUND(SUMPRODUCT(PRODUCT(1+P13:P$33)),4)</f>
        <v>1.6036999999999999</v>
      </c>
      <c r="AB13" s="2372">
        <f>ROUND(SUMPRODUCT(PRODUCT(1+Q13:Q$33)),4)</f>
        <v>1.3573</v>
      </c>
      <c r="AC13" s="2372"/>
      <c r="AD13" s="2374">
        <f>ROUND(AVERAGE(I13:I$34)/100,4)</f>
        <v>2.1299999999999999E-2</v>
      </c>
      <c r="AE13" s="2374">
        <f>ROUND(AVERAGE(J13:J$34)/100,4)</f>
        <v>1.4999999999999999E-2</v>
      </c>
      <c r="AF13" s="2374">
        <f t="shared" ref="AF13" si="96">AE13</f>
        <v>1.4999999999999999E-2</v>
      </c>
      <c r="AG13" s="2374">
        <f>ROUND(AVERAGE(K13:K$34)/100,4)</f>
        <v>2.3300000000000001E-2</v>
      </c>
      <c r="AH13" s="2374">
        <f>ROUND(AVERAGE(L13:L$34)/100,4)</f>
        <v>1.46E-2</v>
      </c>
    </row>
    <row r="14" spans="1:34" s="2375" customFormat="1" ht="14.45" customHeight="1" thickBot="1">
      <c r="A14" s="2368" t="s">
        <v>2720</v>
      </c>
      <c r="B14" s="2369">
        <f t="shared" si="68"/>
        <v>467.15916775261894</v>
      </c>
      <c r="C14" s="2369">
        <f t="shared" ref="C14" si="97">C15*(1+O14)</f>
        <v>346.01232557169084</v>
      </c>
      <c r="D14" s="2369">
        <f t="shared" ref="D14" si="98">C14</f>
        <v>346.01232557169084</v>
      </c>
      <c r="E14" s="2369">
        <f t="shared" ref="E14" si="99">E15*(1+P14)</f>
        <v>667.41617752122568</v>
      </c>
      <c r="F14" s="2369">
        <f t="shared" ref="F14" si="100">F15*(1+Q14)</f>
        <v>308.20314391798104</v>
      </c>
      <c r="G14" s="2359">
        <v>2019</v>
      </c>
      <c r="H14" s="2370">
        <v>1</v>
      </c>
      <c r="I14" s="2370">
        <v>0.6</v>
      </c>
      <c r="J14" s="2370">
        <v>0.37</v>
      </c>
      <c r="K14" s="2370">
        <v>0.63</v>
      </c>
      <c r="L14" s="2371">
        <v>1.1299999999999999</v>
      </c>
      <c r="M14" s="2372"/>
      <c r="N14" s="2373">
        <f t="shared" si="73"/>
        <v>6.0000000000000001E-3</v>
      </c>
      <c r="O14" s="2374">
        <f t="shared" ref="O14" si="101">J14/100</f>
        <v>3.7000000000000002E-3</v>
      </c>
      <c r="P14" s="2374">
        <f t="shared" ref="P14" si="102">K14/100</f>
        <v>6.3E-3</v>
      </c>
      <c r="Q14" s="2374">
        <f t="shared" ref="Q14" si="103">L14/100</f>
        <v>1.1299999999999999E-2</v>
      </c>
      <c r="R14" s="2372"/>
      <c r="S14" s="2373">
        <f>B14/B15-1</f>
        <v>6.0000000000000053E-3</v>
      </c>
      <c r="T14" s="2374">
        <f>C14/C15-1</f>
        <v>3.7000000000000366E-3</v>
      </c>
      <c r="U14" s="2374">
        <f>E14/E15-1</f>
        <v>6.2999999999999723E-3</v>
      </c>
      <c r="V14" s="2374">
        <f>F14/F15-1</f>
        <v>1.1300000000000088E-2</v>
      </c>
      <c r="W14" s="2372"/>
      <c r="X14" s="2372">
        <f>ROUND(SUMPRODUCT(PRODUCT(1+N14:N$33)),4)</f>
        <v>1.5189999999999999</v>
      </c>
      <c r="Y14" s="2372">
        <f>ROUND(SUMPRODUCT(PRODUCT(1+O14:O$33)),4)</f>
        <v>1.3423</v>
      </c>
      <c r="Z14" s="2372">
        <f t="shared" ref="Z14" si="104">Y14</f>
        <v>1.3423</v>
      </c>
      <c r="AA14" s="2372">
        <f>ROUND(SUMPRODUCT(PRODUCT(1+P14:P$33)),4)</f>
        <v>1.5782</v>
      </c>
      <c r="AB14" s="2372">
        <f>ROUND(SUMPRODUCT(PRODUCT(1+Q14:Q$33)),4)</f>
        <v>1.3405</v>
      </c>
      <c r="AC14" s="2372"/>
      <c r="AD14" s="2374">
        <f>ROUND(AVERAGE(I14:I$34)/100,4)</f>
        <v>2.1600000000000001E-2</v>
      </c>
      <c r="AE14" s="2374">
        <f>ROUND(AVERAGE(J14:J$34)/100,4)</f>
        <v>1.5299999999999999E-2</v>
      </c>
      <c r="AF14" s="2374">
        <f t="shared" ref="AF14" si="105">AE14</f>
        <v>1.5299999999999999E-2</v>
      </c>
      <c r="AG14" s="2374">
        <f>ROUND(AVERAGE(K14:K$34)/100,4)</f>
        <v>2.3699999999999999E-2</v>
      </c>
      <c r="AH14" s="2374">
        <f>ROUND(AVERAGE(L14:L$34)/100,4)</f>
        <v>1.47E-2</v>
      </c>
    </row>
    <row r="15" spans="1:34">
      <c r="A15" s="2368" t="s">
        <v>2714</v>
      </c>
      <c r="B15" s="2378">
        <f t="shared" si="68"/>
        <v>464.37293017158942</v>
      </c>
      <c r="C15" s="2378">
        <f t="shared" ref="C15" si="106">C16*(1+O15)</f>
        <v>344.73679941385956</v>
      </c>
      <c r="D15" s="2378">
        <f t="shared" ref="D15" si="107">C15</f>
        <v>344.73679941385956</v>
      </c>
      <c r="E15" s="2378">
        <f t="shared" ref="E15" si="108">E16*(1+P15)</f>
        <v>663.2377795103107</v>
      </c>
      <c r="F15" s="2379">
        <f t="shared" ref="F15" si="109">F16*(1+Q15)</f>
        <v>304.75936311478398</v>
      </c>
      <c r="G15" s="4271">
        <v>2018</v>
      </c>
      <c r="H15" s="2376">
        <v>4</v>
      </c>
      <c r="I15" s="2376">
        <v>0.96</v>
      </c>
      <c r="J15" s="2376">
        <v>1.03</v>
      </c>
      <c r="K15" s="2376">
        <v>0.92</v>
      </c>
      <c r="L15" s="2377">
        <v>1.29</v>
      </c>
      <c r="N15" s="2380">
        <f t="shared" si="73"/>
        <v>9.5999999999999992E-3</v>
      </c>
      <c r="O15" s="2381">
        <f t="shared" ref="O15" si="110">J15/100</f>
        <v>1.03E-2</v>
      </c>
      <c r="P15" s="2381">
        <f t="shared" ref="P15" si="111">K15/100</f>
        <v>9.1999999999999998E-3</v>
      </c>
      <c r="Q15" s="2381">
        <f t="shared" ref="Q15" si="112">L15/100</f>
        <v>1.29E-2</v>
      </c>
      <c r="R15" s="2382"/>
      <c r="S15" s="2383"/>
      <c r="T15" s="2384"/>
      <c r="U15" s="2384"/>
      <c r="V15" s="2384"/>
      <c r="X15" s="2354">
        <f>ROUND(SUMPRODUCT(PRODUCT(1+N15:N$33)),4)</f>
        <v>1.5099</v>
      </c>
      <c r="Y15" s="2354">
        <f>ROUND(SUMPRODUCT(PRODUCT(1+O15:O$33)),4)</f>
        <v>1.3372999999999999</v>
      </c>
      <c r="Z15" s="2354">
        <f t="shared" ref="Z15" si="113">Y15</f>
        <v>1.3372999999999999</v>
      </c>
      <c r="AA15" s="2354">
        <f>ROUND(SUMPRODUCT(PRODUCT(1+P15:P$33)),4)</f>
        <v>1.5683</v>
      </c>
      <c r="AB15" s="2354">
        <f>ROUND(SUMPRODUCT(PRODUCT(1+Q15:Q$33)),4)</f>
        <v>1.3255999999999999</v>
      </c>
      <c r="AD15" s="2355">
        <f>ROUND(AVERAGE(I15:I$34)/100,4)</f>
        <v>2.24E-2</v>
      </c>
      <c r="AE15" s="2355">
        <f>ROUND(AVERAGE(J15:J$34)/100,4)</f>
        <v>1.5800000000000002E-2</v>
      </c>
      <c r="AF15" s="2355">
        <f t="shared" ref="AF15" si="114">AE15</f>
        <v>1.5800000000000002E-2</v>
      </c>
      <c r="AG15" s="2355">
        <f>ROUND(AVERAGE(K15:K$34)/100,4)</f>
        <v>2.4500000000000001E-2</v>
      </c>
      <c r="AH15" s="2355">
        <f>ROUND(AVERAGE(L15:L$34)/100,4)</f>
        <v>1.49E-2</v>
      </c>
    </row>
    <row r="16" spans="1:34" s="2387" customFormat="1" ht="14.45" customHeight="1">
      <c r="A16" s="2368" t="s">
        <v>2709</v>
      </c>
      <c r="B16" s="2385">
        <f t="shared" si="68"/>
        <v>459.95733971036987</v>
      </c>
      <c r="C16" s="2385">
        <f t="shared" ref="C16" si="115">C17*(1+O16)</f>
        <v>341.22221064422405</v>
      </c>
      <c r="D16" s="2385">
        <f t="shared" ref="D16" si="116">C16</f>
        <v>341.22221064422405</v>
      </c>
      <c r="E16" s="2385">
        <f t="shared" ref="E16" si="117">E17*(1+P16)</f>
        <v>657.19161663724799</v>
      </c>
      <c r="F16" s="2385">
        <f t="shared" ref="F16" si="118">F17*(1+Q16)</f>
        <v>300.87803644464805</v>
      </c>
      <c r="G16" s="4271"/>
      <c r="H16" s="2370">
        <v>3</v>
      </c>
      <c r="I16" s="2370">
        <v>1.51</v>
      </c>
      <c r="J16" s="2370">
        <v>1.41</v>
      </c>
      <c r="K16" s="2370">
        <v>1.52</v>
      </c>
      <c r="L16" s="2371">
        <v>1.74</v>
      </c>
      <c r="M16" s="2354"/>
      <c r="N16" s="2386">
        <f t="shared" si="73"/>
        <v>1.5100000000000001E-2</v>
      </c>
      <c r="O16" s="2355">
        <f t="shared" ref="O16" si="119">J16/100</f>
        <v>1.41E-2</v>
      </c>
      <c r="P16" s="2355">
        <f t="shared" ref="P16" si="120">K16/100</f>
        <v>1.52E-2</v>
      </c>
      <c r="Q16" s="2355">
        <f t="shared" ref="Q16" si="121">L16/100</f>
        <v>1.7399999999999999E-2</v>
      </c>
      <c r="R16" s="2354"/>
      <c r="S16" s="2386"/>
      <c r="T16" s="2355"/>
      <c r="U16" s="2355"/>
      <c r="V16" s="2355"/>
      <c r="W16" s="2354"/>
      <c r="X16" s="2354">
        <f>ROUND(SUMPRODUCT(PRODUCT(1+N16:N$33)),4)</f>
        <v>1.4956</v>
      </c>
      <c r="Y16" s="2354">
        <f>ROUND(SUMPRODUCT(PRODUCT(1+O16:O$33)),4)</f>
        <v>1.3237000000000001</v>
      </c>
      <c r="Z16" s="2354">
        <f t="shared" ref="Z16" si="122">Y16</f>
        <v>1.3237000000000001</v>
      </c>
      <c r="AA16" s="2354">
        <f>ROUND(SUMPRODUCT(PRODUCT(1+P16:P$33)),4)</f>
        <v>1.554</v>
      </c>
      <c r="AB16" s="2354">
        <f>ROUND(SUMPRODUCT(PRODUCT(1+Q16:Q$33)),4)</f>
        <v>1.3087</v>
      </c>
      <c r="AC16" s="2354"/>
      <c r="AD16" s="2355">
        <f>ROUND(AVERAGE(I16:I$34)/100,4)</f>
        <v>2.3099999999999999E-2</v>
      </c>
      <c r="AE16" s="2355">
        <f>ROUND(AVERAGE(J16:J$34)/100,4)</f>
        <v>1.61E-2</v>
      </c>
      <c r="AF16" s="2355">
        <f t="shared" ref="AF16" si="123">AE16</f>
        <v>1.61E-2</v>
      </c>
      <c r="AG16" s="2355">
        <f>ROUND(AVERAGE(K16:K$34)/100,4)</f>
        <v>2.53E-2</v>
      </c>
      <c r="AH16" s="2355">
        <f>ROUND(AVERAGE(L16:L$34)/100,4)</f>
        <v>1.4999999999999999E-2</v>
      </c>
    </row>
    <row r="17" spans="1:34" s="2387" customFormat="1" ht="14.45" customHeight="1">
      <c r="A17" s="2368" t="s">
        <v>2708</v>
      </c>
      <c r="B17" s="2385">
        <f t="shared" ref="B17:B22" si="124">B18*(1+N17)</f>
        <v>453.11529869999993</v>
      </c>
      <c r="C17" s="2385">
        <f t="shared" ref="C17" si="125">C18*(1+O17)</f>
        <v>336.47787264000004</v>
      </c>
      <c r="D17" s="2385">
        <f t="shared" ref="D17" si="126">C17</f>
        <v>336.47787264000004</v>
      </c>
      <c r="E17" s="2385">
        <f t="shared" ref="E17" si="127">E18*(1+P17)</f>
        <v>647.35186823999993</v>
      </c>
      <c r="F17" s="2385">
        <f t="shared" ref="F17" si="128">F18*(1+Q17)</f>
        <v>295.73229452000004</v>
      </c>
      <c r="G17" s="4271"/>
      <c r="H17" s="2388">
        <v>2</v>
      </c>
      <c r="I17" s="2388">
        <v>1.49</v>
      </c>
      <c r="J17" s="2388">
        <v>0.96</v>
      </c>
      <c r="K17" s="2388">
        <v>1.58</v>
      </c>
      <c r="L17" s="2389">
        <v>2.44</v>
      </c>
      <c r="M17" s="2354"/>
      <c r="N17" s="2386">
        <f t="shared" ref="N17" si="129">I17/100</f>
        <v>1.49E-2</v>
      </c>
      <c r="O17" s="2355">
        <f t="shared" ref="O17" si="130">J17/100</f>
        <v>9.5999999999999992E-3</v>
      </c>
      <c r="P17" s="2355">
        <f t="shared" ref="P17" si="131">K17/100</f>
        <v>1.5800000000000002E-2</v>
      </c>
      <c r="Q17" s="2355">
        <f t="shared" ref="Q17" si="132">L17/100</f>
        <v>2.4399999999999998E-2</v>
      </c>
      <c r="R17" s="2354"/>
      <c r="S17" s="2386"/>
      <c r="T17" s="2355"/>
      <c r="U17" s="2355"/>
      <c r="V17" s="2355"/>
      <c r="W17" s="2354"/>
      <c r="X17" s="2354">
        <f>ROUND(SUMPRODUCT(PRODUCT(1+N17:N$33)),4)</f>
        <v>1.4733000000000001</v>
      </c>
      <c r="Y17" s="2354">
        <f>ROUND(SUMPRODUCT(PRODUCT(1+O17:O$33)),4)</f>
        <v>1.3052999999999999</v>
      </c>
      <c r="Z17" s="2354">
        <f t="shared" ref="Z17" si="133">Y17</f>
        <v>1.3052999999999999</v>
      </c>
      <c r="AA17" s="2354">
        <f>ROUND(SUMPRODUCT(PRODUCT(1+P17:P$33)),4)</f>
        <v>1.5306999999999999</v>
      </c>
      <c r="AB17" s="2354">
        <f>ROUND(SUMPRODUCT(PRODUCT(1+Q17:Q$33)),4)</f>
        <v>1.2863</v>
      </c>
      <c r="AC17" s="2354"/>
      <c r="AD17" s="2355">
        <f>ROUND(AVERAGE(I17:I$34)/100,4)</f>
        <v>2.35E-2</v>
      </c>
      <c r="AE17" s="2355">
        <f>ROUND(AVERAGE(J17:J$34)/100,4)</f>
        <v>1.6199999999999999E-2</v>
      </c>
      <c r="AF17" s="2355">
        <f t="shared" ref="AF17" si="134">AE17</f>
        <v>1.6199999999999999E-2</v>
      </c>
      <c r="AG17" s="2355">
        <f>ROUND(AVERAGE(K17:K$34)/100,4)</f>
        <v>2.5899999999999999E-2</v>
      </c>
      <c r="AH17" s="2355">
        <f>ROUND(AVERAGE(L17:L$34)/100,4)</f>
        <v>1.49E-2</v>
      </c>
    </row>
    <row r="18" spans="1:34" s="2387" customFormat="1" ht="15" customHeight="1" thickBot="1">
      <c r="A18" s="2368" t="s">
        <v>2705</v>
      </c>
      <c r="B18" s="2385">
        <f t="shared" si="124"/>
        <v>446.46299999999997</v>
      </c>
      <c r="C18" s="2385">
        <f t="shared" ref="C18" si="135">C19*(1+O18)</f>
        <v>333.27840000000003</v>
      </c>
      <c r="D18" s="2385">
        <f t="shared" ref="D18:D23" si="136">C18</f>
        <v>333.27840000000003</v>
      </c>
      <c r="E18" s="2385">
        <f t="shared" ref="E18" si="137">E19*(1+P18)</f>
        <v>637.28279999999995</v>
      </c>
      <c r="F18" s="2385">
        <f t="shared" ref="F18" si="138">F19*(1+Q18)</f>
        <v>288.68830000000003</v>
      </c>
      <c r="G18" s="4278"/>
      <c r="H18" s="2370">
        <v>1</v>
      </c>
      <c r="I18" s="2370">
        <v>1.7</v>
      </c>
      <c r="J18" s="2370">
        <v>1.92</v>
      </c>
      <c r="K18" s="2370">
        <v>1.64</v>
      </c>
      <c r="L18" s="2371">
        <v>2.0099999999999998</v>
      </c>
      <c r="M18" s="2354"/>
      <c r="N18" s="2386">
        <f t="shared" ref="N18:N23" si="139">I18/100</f>
        <v>1.7000000000000001E-2</v>
      </c>
      <c r="O18" s="2355">
        <f t="shared" ref="O18" si="140">J18/100</f>
        <v>1.9199999999999998E-2</v>
      </c>
      <c r="P18" s="2355">
        <f t="shared" ref="P18" si="141">K18/100</f>
        <v>1.6399999999999998E-2</v>
      </c>
      <c r="Q18" s="2355">
        <f t="shared" ref="Q18" si="142">L18/100</f>
        <v>2.0099999999999996E-2</v>
      </c>
      <c r="R18" s="2354"/>
      <c r="S18" s="2390">
        <f>B18/B19-1</f>
        <v>1.6999999999999904E-2</v>
      </c>
      <c r="T18" s="2391">
        <f>C18/C19-1</f>
        <v>1.9200000000000106E-2</v>
      </c>
      <c r="U18" s="2391">
        <f>E18/E19-1</f>
        <v>1.639999999999997E-2</v>
      </c>
      <c r="V18" s="2391">
        <f>F18/F19-1</f>
        <v>2.0100000000000007E-2</v>
      </c>
      <c r="W18" s="2354"/>
      <c r="X18" s="2354">
        <f>ROUND(SUMPRODUCT(PRODUCT(1+N18:N$33)),4)</f>
        <v>1.4517</v>
      </c>
      <c r="Y18" s="2354">
        <f>ROUND(SUMPRODUCT(PRODUCT(1+O18:O$33)),4)</f>
        <v>1.2928999999999999</v>
      </c>
      <c r="Z18" s="2354">
        <f t="shared" ref="Z18" si="143">Y18</f>
        <v>1.2928999999999999</v>
      </c>
      <c r="AA18" s="2354">
        <f>ROUND(SUMPRODUCT(PRODUCT(1+P18:P$33)),4)</f>
        <v>1.5068999999999999</v>
      </c>
      <c r="AB18" s="2354">
        <f>ROUND(SUMPRODUCT(PRODUCT(1+Q18:Q$33)),4)</f>
        <v>1.2557</v>
      </c>
      <c r="AC18" s="2354"/>
      <c r="AD18" s="2355">
        <f>ROUND(AVERAGE(I18:I$34)/100,4)</f>
        <v>2.4E-2</v>
      </c>
      <c r="AE18" s="2355">
        <f>ROUND(AVERAGE(J18:J$34)/100,4)</f>
        <v>1.66E-2</v>
      </c>
      <c r="AF18" s="2355">
        <f t="shared" ref="AF18" si="144">AE18</f>
        <v>1.66E-2</v>
      </c>
      <c r="AG18" s="2355">
        <f>ROUND(AVERAGE(K18:K$34)/100,4)</f>
        <v>2.6499999999999999E-2</v>
      </c>
      <c r="AH18" s="2355">
        <f>ROUND(AVERAGE(L18:L$34)/100,4)</f>
        <v>1.43E-2</v>
      </c>
    </row>
    <row r="19" spans="1:34">
      <c r="A19" s="2368" t="s">
        <v>2702</v>
      </c>
      <c r="B19" s="2378">
        <v>439</v>
      </c>
      <c r="C19" s="2378">
        <v>327</v>
      </c>
      <c r="D19" s="2378">
        <f t="shared" si="136"/>
        <v>327</v>
      </c>
      <c r="E19" s="2378">
        <v>627</v>
      </c>
      <c r="F19" s="2379">
        <v>283</v>
      </c>
      <c r="G19" s="4274">
        <v>2017</v>
      </c>
      <c r="H19" s="2376">
        <v>4</v>
      </c>
      <c r="I19" s="2376">
        <v>1.71</v>
      </c>
      <c r="J19" s="2376">
        <v>1.78</v>
      </c>
      <c r="K19" s="2376">
        <v>1.71</v>
      </c>
      <c r="L19" s="2377">
        <v>1.43</v>
      </c>
      <c r="N19" s="2380">
        <f t="shared" si="139"/>
        <v>1.7100000000000001E-2</v>
      </c>
      <c r="O19" s="2381">
        <f t="shared" ref="O19" si="145">J19/100</f>
        <v>1.78E-2</v>
      </c>
      <c r="P19" s="2381">
        <f t="shared" ref="P19" si="146">K19/100</f>
        <v>1.7100000000000001E-2</v>
      </c>
      <c r="Q19" s="2381">
        <f t="shared" ref="Q19" si="147">L19/100</f>
        <v>1.43E-2</v>
      </c>
      <c r="R19" s="2382"/>
      <c r="S19" s="2383"/>
      <c r="T19" s="2384"/>
      <c r="U19" s="2384"/>
      <c r="V19" s="2384"/>
      <c r="X19" s="2354">
        <f>ROUND(SUMPRODUCT(PRODUCT(1+N19:N$33)),4)</f>
        <v>1.4274</v>
      </c>
      <c r="Y19" s="2354">
        <f>ROUND(SUMPRODUCT(PRODUCT(1+O19:O$33)),4)</f>
        <v>1.2685</v>
      </c>
      <c r="Z19" s="2354">
        <f t="shared" si="0"/>
        <v>1.2685</v>
      </c>
      <c r="AA19" s="2354">
        <f>ROUND(SUMPRODUCT(PRODUCT(1+P19:P$33)),4)</f>
        <v>1.4825999999999999</v>
      </c>
      <c r="AB19" s="2354">
        <f>ROUND(SUMPRODUCT(PRODUCT(1+Q19:Q$33)),4)</f>
        <v>1.2309000000000001</v>
      </c>
      <c r="AD19" s="2355">
        <f>ROUND(AVERAGE(I19:I$34)/100,4)</f>
        <v>2.4500000000000001E-2</v>
      </c>
      <c r="AE19" s="2355">
        <f>ROUND(AVERAGE(J19:J$34)/100,4)</f>
        <v>1.6500000000000001E-2</v>
      </c>
      <c r="AF19" s="2355">
        <f t="shared" si="1"/>
        <v>1.6500000000000001E-2</v>
      </c>
      <c r="AG19" s="2355">
        <f>ROUND(AVERAGE(K19:K$34)/100,4)</f>
        <v>2.7099999999999999E-2</v>
      </c>
      <c r="AH19" s="2355">
        <f>ROUND(AVERAGE(L19:L$34)/100,4)</f>
        <v>1.3899999999999999E-2</v>
      </c>
    </row>
    <row r="20" spans="1:34" s="2387" customFormat="1" ht="14.45" customHeight="1">
      <c r="A20" s="2368" t="s">
        <v>2699</v>
      </c>
      <c r="B20" s="2385">
        <f t="shared" si="124"/>
        <v>431.80730811680002</v>
      </c>
      <c r="C20" s="2385">
        <f t="shared" ref="C20" si="148">C21*(1+O20)</f>
        <v>320.57880516480003</v>
      </c>
      <c r="D20" s="2385">
        <f t="shared" si="136"/>
        <v>320.57880516480003</v>
      </c>
      <c r="E20" s="2385">
        <f t="shared" ref="E20:F22" si="149">E21*(1+P20)</f>
        <v>615.96110553196797</v>
      </c>
      <c r="F20" s="2385">
        <f t="shared" si="149"/>
        <v>279.46777300108801</v>
      </c>
      <c r="G20" s="4271"/>
      <c r="H20" s="2370">
        <v>3</v>
      </c>
      <c r="I20" s="2370">
        <v>2.98</v>
      </c>
      <c r="J20" s="2370">
        <v>2.11</v>
      </c>
      <c r="K20" s="2370">
        <v>3.24</v>
      </c>
      <c r="L20" s="2371">
        <v>1.72</v>
      </c>
      <c r="M20" s="2354"/>
      <c r="N20" s="2386">
        <f t="shared" si="139"/>
        <v>2.98E-2</v>
      </c>
      <c r="O20" s="2392">
        <f t="shared" ref="O20" si="150">J20/100</f>
        <v>2.1099999999999997E-2</v>
      </c>
      <c r="P20" s="2392">
        <f t="shared" ref="P20" si="151">K20/100</f>
        <v>3.2400000000000005E-2</v>
      </c>
      <c r="Q20" s="2392">
        <f t="shared" ref="Q20" si="152">L20/100</f>
        <v>1.72E-2</v>
      </c>
      <c r="R20" s="2354"/>
      <c r="S20" s="2386"/>
      <c r="T20" s="2355"/>
      <c r="U20" s="2355"/>
      <c r="V20" s="2355"/>
      <c r="W20" s="2354"/>
      <c r="X20" s="2354">
        <f>ROUND(SUMPRODUCT(PRODUCT(1+N20:N$33)),4)</f>
        <v>1.4034</v>
      </c>
      <c r="Y20" s="2354">
        <f>ROUND(SUMPRODUCT(PRODUCT(1+O20:O$33)),4)</f>
        <v>1.2463</v>
      </c>
      <c r="Z20" s="2354">
        <f t="shared" si="0"/>
        <v>1.2463</v>
      </c>
      <c r="AA20" s="2354">
        <f>ROUND(SUMPRODUCT(PRODUCT(1+P20:P$33)),4)</f>
        <v>1.4577</v>
      </c>
      <c r="AB20" s="2354">
        <f>ROUND(SUMPRODUCT(PRODUCT(1+Q20:Q$33)),4)</f>
        <v>1.2136</v>
      </c>
      <c r="AC20" s="2354"/>
      <c r="AD20" s="2355">
        <f>ROUND(AVERAGE(I20:I$34)/100,4)</f>
        <v>2.4899999999999999E-2</v>
      </c>
      <c r="AE20" s="2355">
        <f>ROUND(AVERAGE(J20:J$34)/100,4)</f>
        <v>1.6400000000000001E-2</v>
      </c>
      <c r="AF20" s="2355">
        <f t="shared" si="1"/>
        <v>1.6400000000000001E-2</v>
      </c>
      <c r="AG20" s="2355">
        <f>ROUND(AVERAGE(K20:K$34)/100,4)</f>
        <v>2.7799999999999998E-2</v>
      </c>
      <c r="AH20" s="2355">
        <f>ROUND(AVERAGE(L20:L$34)/100,4)</f>
        <v>1.3899999999999999E-2</v>
      </c>
    </row>
    <row r="21" spans="1:34" s="2363" customFormat="1" ht="14.45" customHeight="1">
      <c r="A21" s="2368" t="s">
        <v>1245</v>
      </c>
      <c r="B21" s="2385">
        <f t="shared" si="124"/>
        <v>419.31181600000002</v>
      </c>
      <c r="C21" s="2385">
        <f t="shared" ref="C21" si="153">C22*(1+O21)</f>
        <v>313.95436800000004</v>
      </c>
      <c r="D21" s="2385">
        <f t="shared" si="136"/>
        <v>313.95436800000004</v>
      </c>
      <c r="E21" s="2385">
        <f t="shared" si="149"/>
        <v>596.63028431999999</v>
      </c>
      <c r="F21" s="2385">
        <f t="shared" si="149"/>
        <v>274.74220703999998</v>
      </c>
      <c r="G21" s="4271"/>
      <c r="H21" s="2388">
        <v>2</v>
      </c>
      <c r="I21" s="2388">
        <v>3.4</v>
      </c>
      <c r="J21" s="2388">
        <v>2</v>
      </c>
      <c r="K21" s="2388">
        <v>3.82</v>
      </c>
      <c r="L21" s="2389">
        <v>1.68</v>
      </c>
      <c r="M21" s="2354"/>
      <c r="N21" s="2386">
        <f t="shared" si="139"/>
        <v>3.4000000000000002E-2</v>
      </c>
      <c r="O21" s="2392">
        <f t="shared" ref="O21" si="154">J21/100</f>
        <v>0.02</v>
      </c>
      <c r="P21" s="2392">
        <f t="shared" ref="P21" si="155">K21/100</f>
        <v>3.8199999999999998E-2</v>
      </c>
      <c r="Q21" s="2392">
        <f t="shared" ref="Q21" si="156">L21/100</f>
        <v>1.6799999999999999E-2</v>
      </c>
      <c r="R21" s="2354"/>
      <c r="S21" s="2386"/>
      <c r="T21" s="2355"/>
      <c r="U21" s="2355"/>
      <c r="V21" s="2355"/>
      <c r="W21" s="2354"/>
      <c r="X21" s="2393">
        <f>ROUND(SUMPRODUCT(PRODUCT(1+N21:N$33)),4)</f>
        <v>1.3628</v>
      </c>
      <c r="Y21" s="2393">
        <f>ROUND(SUMPRODUCT(PRODUCT(1+O21:O$33)),4)</f>
        <v>1.2205999999999999</v>
      </c>
      <c r="Z21" s="2393">
        <f t="shared" si="0"/>
        <v>1.2205999999999999</v>
      </c>
      <c r="AA21" s="2393">
        <f>ROUND(SUMPRODUCT(PRODUCT(1+P21:P$33)),4)</f>
        <v>1.4118999999999999</v>
      </c>
      <c r="AB21" s="2393">
        <f>ROUND(SUMPRODUCT(PRODUCT(1+Q21:Q$33)),4)</f>
        <v>1.1930000000000001</v>
      </c>
      <c r="AC21" s="2348"/>
      <c r="AD21" s="2394">
        <f>ROUND(AVERAGE(I21:I$34)/100,4)</f>
        <v>2.46E-2</v>
      </c>
      <c r="AE21" s="2394">
        <f>ROUND(AVERAGE(J21:J$34)/100,4)</f>
        <v>1.6E-2</v>
      </c>
      <c r="AF21" s="2394">
        <f t="shared" si="1"/>
        <v>1.6E-2</v>
      </c>
      <c r="AG21" s="2394">
        <f>ROUND(AVERAGE(K21:K$34)/100,4)</f>
        <v>2.75E-2</v>
      </c>
      <c r="AH21" s="2394">
        <f>ROUND(AVERAGE(L21:L$34)/100,4)</f>
        <v>1.37E-2</v>
      </c>
    </row>
    <row r="22" spans="1:34" s="2387" customFormat="1" ht="15" customHeight="1" thickBot="1">
      <c r="A22" s="2368" t="s">
        <v>1036</v>
      </c>
      <c r="B22" s="2385">
        <f t="shared" si="124"/>
        <v>405.524</v>
      </c>
      <c r="C22" s="2385">
        <f t="shared" ref="C22" si="157">C23*(1+O22)</f>
        <v>307.79840000000002</v>
      </c>
      <c r="D22" s="2385">
        <f t="shared" si="136"/>
        <v>307.79840000000002</v>
      </c>
      <c r="E22" s="2385">
        <f t="shared" si="149"/>
        <v>574.67759999999998</v>
      </c>
      <c r="F22" s="2385">
        <f t="shared" si="149"/>
        <v>270.20280000000002</v>
      </c>
      <c r="G22" s="4278"/>
      <c r="H22" s="2370">
        <v>1</v>
      </c>
      <c r="I22" s="2370">
        <v>3.45</v>
      </c>
      <c r="J22" s="2370">
        <v>1.92</v>
      </c>
      <c r="K22" s="2370">
        <v>3.92</v>
      </c>
      <c r="L22" s="2371">
        <v>1.58</v>
      </c>
      <c r="M22" s="2354"/>
      <c r="N22" s="2390">
        <f t="shared" si="139"/>
        <v>3.4500000000000003E-2</v>
      </c>
      <c r="O22" s="2391">
        <f t="shared" ref="O22:Q37" si="158">J22/100</f>
        <v>1.9199999999999998E-2</v>
      </c>
      <c r="P22" s="2391">
        <f t="shared" si="158"/>
        <v>3.9199999999999999E-2</v>
      </c>
      <c r="Q22" s="2391">
        <f t="shared" si="158"/>
        <v>1.5800000000000002E-2</v>
      </c>
      <c r="R22" s="2354"/>
      <c r="S22" s="2390">
        <f>B22/B23-1</f>
        <v>3.4499999999999975E-2</v>
      </c>
      <c r="T22" s="2391">
        <f>C22/C23-1</f>
        <v>1.9200000000000106E-2</v>
      </c>
      <c r="U22" s="2391">
        <f>E22/E23-1</f>
        <v>3.9199999999999902E-2</v>
      </c>
      <c r="V22" s="2391">
        <f>F22/F23-1</f>
        <v>1.5800000000000036E-2</v>
      </c>
      <c r="W22" s="2354"/>
      <c r="X22" s="2354">
        <f>ROUND(SUMPRODUCT(PRODUCT(1+N22:N$33)),4)</f>
        <v>1.3180000000000001</v>
      </c>
      <c r="Y22" s="2354">
        <f>ROUND(SUMPRODUCT(PRODUCT(1+O22:O$33)),4)</f>
        <v>1.1966000000000001</v>
      </c>
      <c r="Z22" s="2354">
        <f t="shared" si="0"/>
        <v>1.1966000000000001</v>
      </c>
      <c r="AA22" s="2354">
        <f>ROUND(SUMPRODUCT(PRODUCT(1+P22:P$33)),4)</f>
        <v>1.36</v>
      </c>
      <c r="AB22" s="2354">
        <f>ROUND(SUMPRODUCT(PRODUCT(1+Q22:Q$33)),4)</f>
        <v>1.1733</v>
      </c>
      <c r="AC22" s="2354"/>
      <c r="AD22" s="2355">
        <f>ROUND(AVERAGE(I22:I$34)/100,4)</f>
        <v>2.3900000000000001E-2</v>
      </c>
      <c r="AE22" s="2355">
        <f>ROUND(AVERAGE(J22:J$34)/100,4)</f>
        <v>1.5699999999999999E-2</v>
      </c>
      <c r="AF22" s="2355">
        <f t="shared" si="1"/>
        <v>1.5699999999999999E-2</v>
      </c>
      <c r="AG22" s="2355">
        <f>ROUND(AVERAGE(K22:K$34)/100,4)</f>
        <v>2.6599999999999999E-2</v>
      </c>
      <c r="AH22" s="2355">
        <f>ROUND(AVERAGE(L22:L$34)/100,4)</f>
        <v>1.34E-2</v>
      </c>
    </row>
    <row r="23" spans="1:34">
      <c r="A23" s="2368" t="s">
        <v>1037</v>
      </c>
      <c r="B23" s="2378">
        <v>392</v>
      </c>
      <c r="C23" s="2378">
        <v>302</v>
      </c>
      <c r="D23" s="2378">
        <f t="shared" si="136"/>
        <v>302</v>
      </c>
      <c r="E23" s="2378">
        <v>553</v>
      </c>
      <c r="F23" s="2379">
        <v>266</v>
      </c>
      <c r="G23" s="4274">
        <v>2016</v>
      </c>
      <c r="H23" s="2376">
        <v>4</v>
      </c>
      <c r="I23" s="2376">
        <v>4.5599999999999996</v>
      </c>
      <c r="J23" s="2376">
        <v>2.15</v>
      </c>
      <c r="K23" s="2376">
        <v>5.32</v>
      </c>
      <c r="L23" s="2377">
        <v>1.57</v>
      </c>
      <c r="N23" s="2386">
        <f t="shared" si="139"/>
        <v>4.5599999999999995E-2</v>
      </c>
      <c r="O23" s="2355">
        <f t="shared" si="158"/>
        <v>2.1499999999999998E-2</v>
      </c>
      <c r="P23" s="2355">
        <f t="shared" si="158"/>
        <v>5.3200000000000004E-2</v>
      </c>
      <c r="Q23" s="2355">
        <f t="shared" si="158"/>
        <v>1.5700000000000002E-2</v>
      </c>
      <c r="R23" s="2382"/>
      <c r="S23" s="2383"/>
      <c r="T23" s="2384"/>
      <c r="U23" s="2384"/>
      <c r="V23" s="2384"/>
      <c r="X23" s="2354">
        <f>ROUND(SUMPRODUCT(PRODUCT(1+N23:N$33)),4)</f>
        <v>1.274</v>
      </c>
      <c r="Y23" s="2354">
        <f>ROUND(SUMPRODUCT(PRODUCT(1+O23:O$33)),4)</f>
        <v>1.1740999999999999</v>
      </c>
      <c r="Z23" s="2354">
        <f t="shared" si="0"/>
        <v>1.1740999999999999</v>
      </c>
      <c r="AA23" s="2354">
        <f>ROUND(SUMPRODUCT(PRODUCT(1+P23:P$33)),4)</f>
        <v>1.3087</v>
      </c>
      <c r="AB23" s="2354">
        <f>ROUND(SUMPRODUCT(PRODUCT(1+Q23:Q$33)),4)</f>
        <v>1.1551</v>
      </c>
      <c r="AD23" s="2355">
        <f>ROUND(AVERAGE(I23:I$34)/100,4)</f>
        <v>2.3E-2</v>
      </c>
      <c r="AE23" s="2355">
        <f>ROUND(AVERAGE(J23:J$34)/100,4)</f>
        <v>1.55E-2</v>
      </c>
      <c r="AF23" s="2355">
        <f t="shared" ref="AF23:AF32" si="159">AE23</f>
        <v>1.55E-2</v>
      </c>
      <c r="AG23" s="2355">
        <f>ROUND(AVERAGE(K23:K$34)/100,4)</f>
        <v>2.5600000000000001E-2</v>
      </c>
      <c r="AH23" s="2355">
        <f>ROUND(AVERAGE(L23:L$34)/100,4)</f>
        <v>1.32E-2</v>
      </c>
    </row>
    <row r="24" spans="1:34">
      <c r="A24" s="2368" t="s">
        <v>103</v>
      </c>
      <c r="B24" s="2385">
        <f t="shared" ref="B24:C26" si="160">B23/(1+N23)</f>
        <v>374.90436113236416</v>
      </c>
      <c r="C24" s="2385">
        <f t="shared" si="160"/>
        <v>295.64366128242779</v>
      </c>
      <c r="D24" s="2385">
        <f t="shared" ref="D24:D83" si="161">C24</f>
        <v>295.64366128242779</v>
      </c>
      <c r="E24" s="2385">
        <f t="shared" ref="E24:F26" si="162">E23/(1+P23)</f>
        <v>525.06646410938095</v>
      </c>
      <c r="F24" s="2385">
        <f t="shared" si="162"/>
        <v>261.88835286009646</v>
      </c>
      <c r="G24" s="4271"/>
      <c r="H24" s="2370">
        <v>3</v>
      </c>
      <c r="I24" s="2370">
        <v>4.12</v>
      </c>
      <c r="J24" s="2370">
        <v>2</v>
      </c>
      <c r="K24" s="2370">
        <v>4.79</v>
      </c>
      <c r="L24" s="2371">
        <v>1.97</v>
      </c>
      <c r="N24" s="2386">
        <f t="shared" ref="N24:Q58" si="163">I24/100</f>
        <v>4.1200000000000001E-2</v>
      </c>
      <c r="O24" s="2355">
        <f t="shared" si="158"/>
        <v>0.02</v>
      </c>
      <c r="P24" s="2355">
        <f t="shared" si="158"/>
        <v>4.7899999999999998E-2</v>
      </c>
      <c r="Q24" s="2355">
        <f t="shared" si="158"/>
        <v>1.9699999999999999E-2</v>
      </c>
      <c r="R24" s="2382"/>
      <c r="S24" s="2386"/>
      <c r="T24" s="2355"/>
      <c r="U24" s="2355"/>
      <c r="V24" s="2355"/>
      <c r="X24" s="2354">
        <f>ROUND(SUMPRODUCT(PRODUCT(1+N24:N$33)),4)</f>
        <v>1.2184999999999999</v>
      </c>
      <c r="Y24" s="2354">
        <f>ROUND(SUMPRODUCT(PRODUCT(1+O24:O$33)),4)</f>
        <v>1.1494</v>
      </c>
      <c r="Z24" s="2354">
        <f t="shared" si="0"/>
        <v>1.1494</v>
      </c>
      <c r="AA24" s="2354">
        <f>ROUND(SUMPRODUCT(PRODUCT(1+P24:P$33)),4)</f>
        <v>1.2425999999999999</v>
      </c>
      <c r="AB24" s="2354">
        <f>ROUND(SUMPRODUCT(PRODUCT(1+Q24:Q$33)),4)</f>
        <v>1.1372</v>
      </c>
      <c r="AD24" s="2355">
        <f>ROUND(AVERAGE(I24:I$34)/100,4)</f>
        <v>2.0899999999999998E-2</v>
      </c>
      <c r="AE24" s="2355">
        <f>ROUND(AVERAGE(J24:J$34)/100,4)</f>
        <v>1.49E-2</v>
      </c>
      <c r="AF24" s="2355">
        <f t="shared" si="159"/>
        <v>1.49E-2</v>
      </c>
      <c r="AG24" s="2355">
        <f>ROUND(AVERAGE(K24:K$34)/100,4)</f>
        <v>2.3099999999999999E-2</v>
      </c>
      <c r="AH24" s="2355">
        <f>ROUND(AVERAGE(L24:L$34)/100,4)</f>
        <v>1.2999999999999999E-2</v>
      </c>
    </row>
    <row r="25" spans="1:34">
      <c r="A25" s="2368" t="s">
        <v>93</v>
      </c>
      <c r="B25" s="2385">
        <f t="shared" si="160"/>
        <v>360.06949782209392</v>
      </c>
      <c r="C25" s="2385">
        <f t="shared" si="160"/>
        <v>289.84672674747821</v>
      </c>
      <c r="D25" s="2385">
        <f t="shared" si="161"/>
        <v>289.84672674747821</v>
      </c>
      <c r="E25" s="2385">
        <f t="shared" si="162"/>
        <v>501.06543001181495</v>
      </c>
      <c r="F25" s="2385">
        <f t="shared" si="162"/>
        <v>256.82882500744967</v>
      </c>
      <c r="G25" s="4271"/>
      <c r="H25" s="2388">
        <v>2</v>
      </c>
      <c r="I25" s="2388">
        <v>3.85</v>
      </c>
      <c r="J25" s="2388">
        <v>1.95</v>
      </c>
      <c r="K25" s="2388">
        <v>4.4800000000000004</v>
      </c>
      <c r="L25" s="2389">
        <v>1.41</v>
      </c>
      <c r="N25" s="2386">
        <f t="shared" si="163"/>
        <v>3.85E-2</v>
      </c>
      <c r="O25" s="2355">
        <f t="shared" si="158"/>
        <v>1.95E-2</v>
      </c>
      <c r="P25" s="2355">
        <f t="shared" si="158"/>
        <v>4.4800000000000006E-2</v>
      </c>
      <c r="Q25" s="2355">
        <f t="shared" si="158"/>
        <v>1.41E-2</v>
      </c>
      <c r="R25" s="2382"/>
      <c r="S25" s="2386"/>
      <c r="T25" s="2355"/>
      <c r="U25" s="2355"/>
      <c r="V25" s="2355"/>
      <c r="X25" s="2354">
        <f>ROUND(SUMPRODUCT(PRODUCT(1+N25:N$33)),4)</f>
        <v>1.1702999999999999</v>
      </c>
      <c r="Y25" s="2354">
        <f>ROUND(SUMPRODUCT(PRODUCT(1+O25:O$33)),4)</f>
        <v>1.1269</v>
      </c>
      <c r="Z25" s="2354">
        <f t="shared" si="0"/>
        <v>1.1269</v>
      </c>
      <c r="AA25" s="2354">
        <f>ROUND(SUMPRODUCT(PRODUCT(1+P25:P$33)),4)</f>
        <v>1.1858</v>
      </c>
      <c r="AB25" s="2354">
        <f>ROUND(SUMPRODUCT(PRODUCT(1+Q25:Q$33)),4)</f>
        <v>1.1152</v>
      </c>
      <c r="AD25" s="2355">
        <f>ROUND(AVERAGE(I25:I$34)/100,4)</f>
        <v>1.89E-2</v>
      </c>
      <c r="AE25" s="2355">
        <f>ROUND(AVERAGE(J25:J$34)/100,4)</f>
        <v>1.44E-2</v>
      </c>
      <c r="AF25" s="2355">
        <f t="shared" si="159"/>
        <v>1.44E-2</v>
      </c>
      <c r="AG25" s="2355">
        <f>ROUND(AVERAGE(K25:K$34)/100,4)</f>
        <v>2.06E-2</v>
      </c>
      <c r="AH25" s="2355">
        <f>ROUND(AVERAGE(L25:L$34)/100,4)</f>
        <v>1.23E-2</v>
      </c>
    </row>
    <row r="26" spans="1:34" ht="13.5" thickBot="1">
      <c r="A26" s="2368" t="s">
        <v>102</v>
      </c>
      <c r="B26" s="2385">
        <f t="shared" si="160"/>
        <v>346.720748986128</v>
      </c>
      <c r="C26" s="2385">
        <f t="shared" si="160"/>
        <v>284.30282172386285</v>
      </c>
      <c r="D26" s="2385">
        <f t="shared" si="161"/>
        <v>284.30282172386285</v>
      </c>
      <c r="E26" s="2385">
        <f t="shared" si="162"/>
        <v>479.58023546306947</v>
      </c>
      <c r="F26" s="2385">
        <f t="shared" si="162"/>
        <v>253.25788877571213</v>
      </c>
      <c r="G26" s="4272"/>
      <c r="H26" s="2370">
        <v>1</v>
      </c>
      <c r="I26" s="2370">
        <v>4.09</v>
      </c>
      <c r="J26" s="2370">
        <v>2.93</v>
      </c>
      <c r="K26" s="2370">
        <v>4.54</v>
      </c>
      <c r="L26" s="2371">
        <v>1.48</v>
      </c>
      <c r="N26" s="2386">
        <f t="shared" si="163"/>
        <v>4.0899999999999999E-2</v>
      </c>
      <c r="O26" s="2355">
        <f t="shared" si="158"/>
        <v>2.9300000000000003E-2</v>
      </c>
      <c r="P26" s="2355">
        <f t="shared" si="158"/>
        <v>4.5400000000000003E-2</v>
      </c>
      <c r="Q26" s="2355">
        <f t="shared" si="158"/>
        <v>1.4800000000000001E-2</v>
      </c>
      <c r="R26" s="2382"/>
      <c r="S26" s="2390">
        <f>B26/B27-1</f>
        <v>4.1203450408792808E-2</v>
      </c>
      <c r="T26" s="2391">
        <f>C26/C27-1</f>
        <v>2.6363977342465095E-2</v>
      </c>
      <c r="U26" s="2391">
        <f>E26/E27-1</f>
        <v>4.4837114298626357E-2</v>
      </c>
      <c r="V26" s="2391">
        <f>F26/F27-1</f>
        <v>1.7099954922538574E-2</v>
      </c>
      <c r="X26" s="2354">
        <f>ROUND(SUMPRODUCT(PRODUCT(1+N26:N$33)),4)</f>
        <v>1.1269</v>
      </c>
      <c r="Y26" s="2354">
        <f>ROUND(SUMPRODUCT(PRODUCT(1+O26:O$33)),4)</f>
        <v>1.1052999999999999</v>
      </c>
      <c r="Z26" s="2354">
        <f t="shared" si="0"/>
        <v>1.1052999999999999</v>
      </c>
      <c r="AA26" s="2354">
        <f>ROUND(SUMPRODUCT(PRODUCT(1+P26:P$33)),4)</f>
        <v>1.1349</v>
      </c>
      <c r="AB26" s="2354">
        <f>ROUND(SUMPRODUCT(PRODUCT(1+Q26:Q$33)),4)</f>
        <v>1.0996999999999999</v>
      </c>
      <c r="AD26" s="2355">
        <f>ROUND(AVERAGE(I26:I$34)/100,4)</f>
        <v>1.67E-2</v>
      </c>
      <c r="AE26" s="2355">
        <f>ROUND(AVERAGE(J26:J$34)/100,4)</f>
        <v>1.38E-2</v>
      </c>
      <c r="AF26" s="2355">
        <f t="shared" si="159"/>
        <v>1.38E-2</v>
      </c>
      <c r="AG26" s="2355">
        <f>ROUND(AVERAGE(K26:K$34)/100,4)</f>
        <v>1.7899999999999999E-2</v>
      </c>
      <c r="AH26" s="2355">
        <f>ROUND(AVERAGE(L26:L$34)/100,4)</f>
        <v>1.21E-2</v>
      </c>
    </row>
    <row r="27" spans="1:34" ht="13.5" thickBot="1">
      <c r="A27" s="2368" t="s">
        <v>101</v>
      </c>
      <c r="B27" s="2378">
        <v>333</v>
      </c>
      <c r="C27" s="2378">
        <v>277</v>
      </c>
      <c r="D27" s="2378">
        <f t="shared" si="161"/>
        <v>277</v>
      </c>
      <c r="E27" s="2378">
        <v>459</v>
      </c>
      <c r="F27" s="2379">
        <v>249</v>
      </c>
      <c r="G27" s="4270">
        <v>2015</v>
      </c>
      <c r="H27" s="2395">
        <v>4</v>
      </c>
      <c r="I27" s="2395">
        <v>1.63</v>
      </c>
      <c r="J27" s="2395">
        <v>1.1100000000000001</v>
      </c>
      <c r="K27" s="2395">
        <v>1.77</v>
      </c>
      <c r="L27" s="2396">
        <v>1.89</v>
      </c>
      <c r="N27" s="2380">
        <f t="shared" si="163"/>
        <v>1.6299999999999999E-2</v>
      </c>
      <c r="O27" s="2381">
        <f t="shared" si="158"/>
        <v>1.11E-2</v>
      </c>
      <c r="P27" s="2381">
        <f t="shared" si="158"/>
        <v>1.77E-2</v>
      </c>
      <c r="Q27" s="2381">
        <f t="shared" si="158"/>
        <v>1.89E-2</v>
      </c>
      <c r="R27" s="2382"/>
      <c r="X27" s="2354">
        <f>ROUND(SUMPRODUCT(PRODUCT(1+N27:N$33)),4)</f>
        <v>1.0826</v>
      </c>
      <c r="Y27" s="2354">
        <f>ROUND(SUMPRODUCT(PRODUCT(1+O27:O$33)),4)</f>
        <v>1.0738000000000001</v>
      </c>
      <c r="Z27" s="2354">
        <f t="shared" si="0"/>
        <v>1.0738000000000001</v>
      </c>
      <c r="AA27" s="2354">
        <f>ROUND(SUMPRODUCT(PRODUCT(1+P27:P$33)),4)</f>
        <v>1.0855999999999999</v>
      </c>
      <c r="AB27" s="2354">
        <f>ROUND(SUMPRODUCT(PRODUCT(1+Q27:Q$33)),4)</f>
        <v>1.0837000000000001</v>
      </c>
      <c r="AD27" s="2355">
        <f>ROUND(AVERAGE(I27:I$34)/100,4)</f>
        <v>1.37E-2</v>
      </c>
      <c r="AE27" s="2355">
        <f>ROUND(AVERAGE(J27:J$34)/100,4)</f>
        <v>1.1900000000000001E-2</v>
      </c>
      <c r="AF27" s="2355">
        <f t="shared" si="159"/>
        <v>1.1900000000000001E-2</v>
      </c>
      <c r="AG27" s="2355">
        <f>ROUND(AVERAGE(K27:K$34)/100,4)</f>
        <v>1.4500000000000001E-2</v>
      </c>
      <c r="AH27" s="2355">
        <f>ROUND(AVERAGE(L27:L$34)/100,4)</f>
        <v>1.18E-2</v>
      </c>
    </row>
    <row r="28" spans="1:34">
      <c r="A28" s="2368" t="s">
        <v>100</v>
      </c>
      <c r="B28" s="2385">
        <f t="shared" ref="B28:C30" si="164">B27/(1+N27)</f>
        <v>327.65915576109415</v>
      </c>
      <c r="C28" s="2385">
        <f t="shared" si="164"/>
        <v>273.95905449510434</v>
      </c>
      <c r="D28" s="2385">
        <f t="shared" si="161"/>
        <v>273.95905449510434</v>
      </c>
      <c r="E28" s="2385">
        <f t="shared" ref="E28:F30" si="165">E27/(1+P27)</f>
        <v>451.01699911565294</v>
      </c>
      <c r="F28" s="2385">
        <f t="shared" si="165"/>
        <v>244.38119540681129</v>
      </c>
      <c r="G28" s="4271"/>
      <c r="H28" s="2398">
        <v>3</v>
      </c>
      <c r="I28" s="2398">
        <v>1.65</v>
      </c>
      <c r="J28" s="2398">
        <v>0.92</v>
      </c>
      <c r="K28" s="2398">
        <v>1.88</v>
      </c>
      <c r="L28" s="2399">
        <v>1.26</v>
      </c>
      <c r="N28" s="2386">
        <f t="shared" si="163"/>
        <v>1.6500000000000001E-2</v>
      </c>
      <c r="O28" s="2392">
        <f t="shared" si="158"/>
        <v>9.1999999999999998E-3</v>
      </c>
      <c r="P28" s="2392">
        <f t="shared" si="158"/>
        <v>1.8799999999999997E-2</v>
      </c>
      <c r="Q28" s="2392">
        <f t="shared" si="158"/>
        <v>1.26E-2</v>
      </c>
      <c r="R28" s="2382"/>
      <c r="S28" s="2386"/>
      <c r="T28" s="2355"/>
      <c r="U28" s="2355"/>
      <c r="V28" s="2355"/>
      <c r="X28" s="2354">
        <f>ROUND(SUMPRODUCT(PRODUCT(1+N28:N$33)),4)</f>
        <v>1.0651999999999999</v>
      </c>
      <c r="Y28" s="2354">
        <f>ROUND(SUMPRODUCT(PRODUCT(1+O28:O$33)),4)</f>
        <v>1.0621</v>
      </c>
      <c r="Z28" s="2354">
        <f t="shared" si="0"/>
        <v>1.0621</v>
      </c>
      <c r="AA28" s="2354">
        <f>ROUND(SUMPRODUCT(PRODUCT(1+P28:P$33)),4)</f>
        <v>1.0668</v>
      </c>
      <c r="AB28" s="2354">
        <f>ROUND(SUMPRODUCT(PRODUCT(1+Q28:Q$33)),4)</f>
        <v>1.0636000000000001</v>
      </c>
      <c r="AD28" s="2355">
        <f>ROUND(AVERAGE(I28:I$34)/100,4)</f>
        <v>1.3299999999999999E-2</v>
      </c>
      <c r="AE28" s="2355">
        <f>ROUND(AVERAGE(J28:J$34)/100,4)</f>
        <v>1.2E-2</v>
      </c>
      <c r="AF28" s="2355">
        <f t="shared" si="159"/>
        <v>1.2E-2</v>
      </c>
      <c r="AG28" s="2355">
        <f>ROUND(AVERAGE(K28:K$34)/100,4)</f>
        <v>1.4E-2</v>
      </c>
      <c r="AH28" s="2355">
        <f>ROUND(AVERAGE(L28:L$34)/100,4)</f>
        <v>1.0800000000000001E-2</v>
      </c>
    </row>
    <row r="29" spans="1:34">
      <c r="A29" s="2368" t="s">
        <v>99</v>
      </c>
      <c r="B29" s="2385">
        <f t="shared" si="164"/>
        <v>322.34053690220776</v>
      </c>
      <c r="C29" s="2385">
        <f t="shared" si="164"/>
        <v>271.46160770422546</v>
      </c>
      <c r="D29" s="2385">
        <f t="shared" si="161"/>
        <v>271.46160770422546</v>
      </c>
      <c r="E29" s="2385">
        <f t="shared" si="165"/>
        <v>442.69434542172456</v>
      </c>
      <c r="F29" s="2385">
        <f t="shared" si="165"/>
        <v>241.34030753190925</v>
      </c>
      <c r="G29" s="4271"/>
      <c r="H29" s="2388">
        <v>2</v>
      </c>
      <c r="I29" s="2388">
        <v>0.77</v>
      </c>
      <c r="J29" s="2388">
        <v>0.69</v>
      </c>
      <c r="K29" s="2388">
        <v>0.8</v>
      </c>
      <c r="L29" s="2389">
        <v>0.88</v>
      </c>
      <c r="N29" s="2386">
        <f t="shared" si="163"/>
        <v>7.7000000000000002E-3</v>
      </c>
      <c r="O29" s="2392">
        <f t="shared" si="158"/>
        <v>6.8999999999999999E-3</v>
      </c>
      <c r="P29" s="2392">
        <f t="shared" si="158"/>
        <v>8.0000000000000002E-3</v>
      </c>
      <c r="Q29" s="2392">
        <f t="shared" si="158"/>
        <v>8.8000000000000005E-3</v>
      </c>
      <c r="R29" s="2382"/>
      <c r="S29" s="2386"/>
      <c r="T29" s="2355"/>
      <c r="U29" s="2355"/>
      <c r="V29" s="2355"/>
      <c r="X29" s="2354">
        <f>ROUND(SUMPRODUCT(PRODUCT(1+N29:N$33)),4)</f>
        <v>1.048</v>
      </c>
      <c r="Y29" s="2354">
        <f>ROUND(SUMPRODUCT(PRODUCT(1+O29:O$33)),4)</f>
        <v>1.0524</v>
      </c>
      <c r="Z29" s="2354">
        <f t="shared" si="0"/>
        <v>1.0524</v>
      </c>
      <c r="AA29" s="2354">
        <f>ROUND(SUMPRODUCT(PRODUCT(1+P29:P$33)),4)</f>
        <v>1.0470999999999999</v>
      </c>
      <c r="AB29" s="2354">
        <f>ROUND(SUMPRODUCT(PRODUCT(1+Q29:Q$33)),4)</f>
        <v>1.0504</v>
      </c>
      <c r="AD29" s="2355">
        <f>ROUND(AVERAGE(I29:I$34)/100,4)</f>
        <v>1.2800000000000001E-2</v>
      </c>
      <c r="AE29" s="2355">
        <f>ROUND(AVERAGE(J29:J$34)/100,4)</f>
        <v>1.2500000000000001E-2</v>
      </c>
      <c r="AF29" s="2355">
        <f t="shared" si="159"/>
        <v>1.2500000000000001E-2</v>
      </c>
      <c r="AG29" s="2355">
        <f>ROUND(AVERAGE(K29:K$34)/100,4)</f>
        <v>1.32E-2</v>
      </c>
      <c r="AH29" s="2355">
        <f>ROUND(AVERAGE(L29:L$34)/100,4)</f>
        <v>1.0500000000000001E-2</v>
      </c>
    </row>
    <row r="30" spans="1:34">
      <c r="A30" s="2368" t="s">
        <v>98</v>
      </c>
      <c r="B30" s="2385">
        <f t="shared" si="164"/>
        <v>319.87748030386797</v>
      </c>
      <c r="C30" s="2385">
        <f t="shared" si="164"/>
        <v>269.60135833173649</v>
      </c>
      <c r="D30" s="2385">
        <f t="shared" si="161"/>
        <v>269.60135833173649</v>
      </c>
      <c r="E30" s="2385">
        <f t="shared" si="165"/>
        <v>439.18089823583784</v>
      </c>
      <c r="F30" s="2385">
        <f t="shared" si="165"/>
        <v>239.23503918706311</v>
      </c>
      <c r="G30" s="4272"/>
      <c r="H30" s="2370">
        <v>1</v>
      </c>
      <c r="I30" s="2370">
        <v>0.51</v>
      </c>
      <c r="J30" s="2370">
        <v>0.54</v>
      </c>
      <c r="K30" s="2370">
        <v>0.48</v>
      </c>
      <c r="L30" s="2371">
        <v>0.93</v>
      </c>
      <c r="N30" s="2390">
        <f t="shared" si="163"/>
        <v>5.1000000000000004E-3</v>
      </c>
      <c r="O30" s="2391">
        <f t="shared" si="158"/>
        <v>5.4000000000000003E-3</v>
      </c>
      <c r="P30" s="2391">
        <f t="shared" si="158"/>
        <v>4.7999999999999996E-3</v>
      </c>
      <c r="Q30" s="2391">
        <f t="shared" si="158"/>
        <v>9.300000000000001E-3</v>
      </c>
      <c r="R30" s="2382"/>
      <c r="S30" s="2390">
        <f>B30/B31-1</f>
        <v>5.9040261127922822E-3</v>
      </c>
      <c r="T30" s="2391">
        <f>C30/C31-1</f>
        <v>5.9752176557332781E-3</v>
      </c>
      <c r="U30" s="2391">
        <f>E30/E31-1</f>
        <v>4.9906138119859556E-3</v>
      </c>
      <c r="V30" s="2391">
        <f>F30/F31-1</f>
        <v>9.4305450930933787E-3</v>
      </c>
      <c r="X30" s="2354">
        <f>ROUND(SUMPRODUCT(PRODUCT(1+N30:N$33)),4)</f>
        <v>1.0399</v>
      </c>
      <c r="Y30" s="2354">
        <f>ROUND(SUMPRODUCT(PRODUCT(1+O30:O$33)),4)</f>
        <v>1.0451999999999999</v>
      </c>
      <c r="Z30" s="2354">
        <f t="shared" si="0"/>
        <v>1.0451999999999999</v>
      </c>
      <c r="AA30" s="2354">
        <f>ROUND(SUMPRODUCT(PRODUCT(1+P30:P$33)),4)</f>
        <v>1.0387999999999999</v>
      </c>
      <c r="AB30" s="2354">
        <f>ROUND(SUMPRODUCT(PRODUCT(1+Q30:Q$33)),4)</f>
        <v>1.0411999999999999</v>
      </c>
      <c r="AD30" s="2355">
        <f>ROUND(AVERAGE(I30:I$34)/100,4)</f>
        <v>1.38E-2</v>
      </c>
      <c r="AE30" s="2355">
        <f>ROUND(AVERAGE(J30:J$34)/100,4)</f>
        <v>1.3599999999999999E-2</v>
      </c>
      <c r="AF30" s="2355">
        <f t="shared" si="159"/>
        <v>1.3599999999999999E-2</v>
      </c>
      <c r="AG30" s="2355">
        <f>ROUND(AVERAGE(K30:K$34)/100,4)</f>
        <v>1.4200000000000001E-2</v>
      </c>
      <c r="AH30" s="2355">
        <f>ROUND(AVERAGE(L30:L$34)/100,4)</f>
        <v>1.0800000000000001E-2</v>
      </c>
    </row>
    <row r="31" spans="1:34" ht="13.5" thickBot="1">
      <c r="A31" s="2368" t="s">
        <v>97</v>
      </c>
      <c r="B31" s="2400">
        <v>318</v>
      </c>
      <c r="C31" s="2400">
        <v>268</v>
      </c>
      <c r="D31" s="2400">
        <f t="shared" si="161"/>
        <v>268</v>
      </c>
      <c r="E31" s="2400">
        <v>437</v>
      </c>
      <c r="F31" s="2401">
        <v>237</v>
      </c>
      <c r="G31" s="4270">
        <v>2014</v>
      </c>
      <c r="H31" s="2395">
        <v>4</v>
      </c>
      <c r="I31" s="2395">
        <v>0.21</v>
      </c>
      <c r="J31" s="2395">
        <v>0.41</v>
      </c>
      <c r="K31" s="2395">
        <v>0.12</v>
      </c>
      <c r="L31" s="2396">
        <v>0.89</v>
      </c>
      <c r="N31" s="2386">
        <f t="shared" si="163"/>
        <v>2.0999999999999999E-3</v>
      </c>
      <c r="O31" s="2355">
        <f t="shared" si="158"/>
        <v>4.0999999999999995E-3</v>
      </c>
      <c r="P31" s="2355">
        <f t="shared" si="158"/>
        <v>1.1999999999999999E-3</v>
      </c>
      <c r="Q31" s="2355">
        <f t="shared" si="158"/>
        <v>8.8999999999999999E-3</v>
      </c>
      <c r="R31" s="2382"/>
      <c r="S31" s="2383"/>
      <c r="T31" s="2384"/>
      <c r="U31" s="2384"/>
      <c r="V31" s="2384"/>
      <c r="X31" s="2354">
        <f>ROUND(SUMPRODUCT(PRODUCT(1+N31:N$33)),4)</f>
        <v>1.0347</v>
      </c>
      <c r="Y31" s="2354">
        <f>ROUND(SUMPRODUCT(PRODUCT(1+O31:O$33)),4)</f>
        <v>1.0395000000000001</v>
      </c>
      <c r="Z31" s="2354">
        <f t="shared" si="0"/>
        <v>1.0395000000000001</v>
      </c>
      <c r="AA31" s="2354">
        <f>ROUND(SUMPRODUCT(PRODUCT(1+P31:P$33)),4)</f>
        <v>1.0338000000000001</v>
      </c>
      <c r="AB31" s="2354">
        <f>ROUND(SUMPRODUCT(PRODUCT(1+Q31:Q$33)),4)</f>
        <v>1.0316000000000001</v>
      </c>
      <c r="AD31" s="2355">
        <f>ROUND(AVERAGE(I31:I$34)/100,4)</f>
        <v>1.6E-2</v>
      </c>
      <c r="AE31" s="2355">
        <f>ROUND(AVERAGE(J31:J$34)/100,4)</f>
        <v>1.5599999999999999E-2</v>
      </c>
      <c r="AF31" s="2355">
        <f t="shared" si="159"/>
        <v>1.5599999999999999E-2</v>
      </c>
      <c r="AG31" s="2355">
        <f>ROUND(AVERAGE(K31:K$34)/100,4)</f>
        <v>1.66E-2</v>
      </c>
      <c r="AH31" s="2355">
        <f>ROUND(AVERAGE(L31:L$34)/100,4)</f>
        <v>1.12E-2</v>
      </c>
    </row>
    <row r="32" spans="1:34">
      <c r="A32" s="2368" t="s">
        <v>96</v>
      </c>
      <c r="B32" s="2385">
        <f t="shared" ref="B32:C34" si="166">B31/(1+N31)</f>
        <v>317.33359944117353</v>
      </c>
      <c r="C32" s="2385">
        <f t="shared" si="166"/>
        <v>266.90568668459315</v>
      </c>
      <c r="D32" s="2385">
        <f t="shared" si="161"/>
        <v>266.90568668459315</v>
      </c>
      <c r="E32" s="2385">
        <f t="shared" ref="E32:F34" si="167">E31/(1+P31)</f>
        <v>436.47622852576905</v>
      </c>
      <c r="F32" s="2385">
        <f t="shared" si="167"/>
        <v>234.90930716622066</v>
      </c>
      <c r="G32" s="4271"/>
      <c r="H32" s="2402">
        <v>3</v>
      </c>
      <c r="I32" s="2402">
        <v>0.83</v>
      </c>
      <c r="J32" s="2402">
        <v>1.47</v>
      </c>
      <c r="K32" s="2402">
        <v>0.65</v>
      </c>
      <c r="L32" s="2403">
        <v>0.72</v>
      </c>
      <c r="N32" s="2386">
        <f t="shared" si="163"/>
        <v>8.3000000000000001E-3</v>
      </c>
      <c r="O32" s="2355">
        <f t="shared" si="158"/>
        <v>1.47E-2</v>
      </c>
      <c r="P32" s="2355">
        <f t="shared" si="158"/>
        <v>6.5000000000000006E-3</v>
      </c>
      <c r="Q32" s="2355">
        <f t="shared" si="158"/>
        <v>7.1999999999999998E-3</v>
      </c>
      <c r="R32" s="2382"/>
      <c r="S32" s="2386"/>
      <c r="T32" s="2355"/>
      <c r="U32" s="2355"/>
      <c r="V32" s="2355"/>
      <c r="X32" s="2354">
        <f>ROUND(SUMPRODUCT(PRODUCT(1+N32:N$33)),4)</f>
        <v>1.0325</v>
      </c>
      <c r="Y32" s="2354">
        <f>ROUND(SUMPRODUCT(PRODUCT(1+O32:O$33)),4)</f>
        <v>1.0353000000000001</v>
      </c>
      <c r="Z32" s="2354">
        <f t="shared" ref="Z32:Z33" si="168">Y32</f>
        <v>1.0353000000000001</v>
      </c>
      <c r="AA32" s="2354">
        <f>ROUND(SUMPRODUCT(PRODUCT(1+P32:P$33)),4)</f>
        <v>1.0326</v>
      </c>
      <c r="AB32" s="2354">
        <f>ROUND(SUMPRODUCT(PRODUCT(1+Q32:Q$33)),4)</f>
        <v>1.0225</v>
      </c>
      <c r="AD32" s="2355">
        <f>ROUND(AVERAGE(I32:I$34)/100,4)</f>
        <v>2.07E-2</v>
      </c>
      <c r="AE32" s="2355">
        <f>ROUND(AVERAGE(J32:J$34)/100,4)</f>
        <v>1.95E-2</v>
      </c>
      <c r="AF32" s="2355">
        <f t="shared" si="159"/>
        <v>1.95E-2</v>
      </c>
      <c r="AG32" s="2355">
        <f>ROUND(AVERAGE(K32:K$34)/100,4)</f>
        <v>2.1700000000000001E-2</v>
      </c>
      <c r="AH32" s="2355">
        <f>ROUND(AVERAGE(L32:L$34)/100,4)</f>
        <v>1.2E-2</v>
      </c>
    </row>
    <row r="33" spans="1:34" ht="13.5" thickBot="1">
      <c r="A33" s="2368" t="s">
        <v>95</v>
      </c>
      <c r="B33" s="2385">
        <f t="shared" si="166"/>
        <v>314.72141172386546</v>
      </c>
      <c r="C33" s="2385">
        <f t="shared" si="166"/>
        <v>263.03901319069001</v>
      </c>
      <c r="D33" s="2385">
        <f t="shared" si="161"/>
        <v>263.03901319069001</v>
      </c>
      <c r="E33" s="2385">
        <f t="shared" si="167"/>
        <v>433.65745506782821</v>
      </c>
      <c r="F33" s="2385">
        <f t="shared" si="167"/>
        <v>233.23005080045735</v>
      </c>
      <c r="G33" s="4271"/>
      <c r="H33" s="2395">
        <v>2</v>
      </c>
      <c r="I33" s="2395">
        <v>2.4</v>
      </c>
      <c r="J33" s="2395">
        <v>2.0299999999999998</v>
      </c>
      <c r="K33" s="2395">
        <v>2.59</v>
      </c>
      <c r="L33" s="2396">
        <v>1.52</v>
      </c>
      <c r="N33" s="2386">
        <f t="shared" si="163"/>
        <v>2.4E-2</v>
      </c>
      <c r="O33" s="2355">
        <f t="shared" si="158"/>
        <v>2.0299999999999999E-2</v>
      </c>
      <c r="P33" s="2355">
        <f t="shared" si="158"/>
        <v>2.5899999999999999E-2</v>
      </c>
      <c r="Q33" s="2355">
        <f t="shared" si="158"/>
        <v>1.52E-2</v>
      </c>
      <c r="R33" s="2382"/>
      <c r="S33" s="2386"/>
      <c r="T33" s="2355"/>
      <c r="U33" s="2355"/>
      <c r="V33" s="2355"/>
      <c r="X33" s="2354">
        <f>1+N33</f>
        <v>1.024</v>
      </c>
      <c r="Y33" s="2354">
        <f>1+O33</f>
        <v>1.0203</v>
      </c>
      <c r="Z33" s="2354">
        <f t="shared" si="168"/>
        <v>1.0203</v>
      </c>
      <c r="AA33" s="2354">
        <f>1+P33</f>
        <v>1.0259</v>
      </c>
      <c r="AB33" s="2354">
        <f>1+Q33</f>
        <v>1.0152000000000001</v>
      </c>
      <c r="AD33" s="2355">
        <f>ROUND(AVERAGE(I33:I$34)/100,4)</f>
        <v>2.69E-2</v>
      </c>
      <c r="AE33" s="2355">
        <f>ROUND(AVERAGE(J33:J$34)/100,4)</f>
        <v>2.1899999999999999E-2</v>
      </c>
      <c r="AF33" s="2355">
        <f t="shared" ref="AF33" si="169">AE33</f>
        <v>2.1899999999999999E-2</v>
      </c>
      <c r="AG33" s="2355">
        <f>ROUND(AVERAGE(K33:K$34)/100,4)</f>
        <v>2.9399999999999999E-2</v>
      </c>
      <c r="AH33" s="2355">
        <f>ROUND(AVERAGE(L33:L$34)/100,4)</f>
        <v>1.44E-2</v>
      </c>
    </row>
    <row r="34" spans="1:34" s="2408" customFormat="1" ht="13.5" thickBot="1">
      <c r="A34" s="2404" t="s">
        <v>94</v>
      </c>
      <c r="B34" s="2405">
        <f t="shared" si="166"/>
        <v>307.34512863658733</v>
      </c>
      <c r="C34" s="2405">
        <f t="shared" si="166"/>
        <v>257.80556031626975</v>
      </c>
      <c r="D34" s="2405">
        <f t="shared" si="161"/>
        <v>257.80556031626975</v>
      </c>
      <c r="E34" s="2405">
        <f t="shared" si="167"/>
        <v>422.70928459677179</v>
      </c>
      <c r="F34" s="2405">
        <f t="shared" si="167"/>
        <v>229.73803270336617</v>
      </c>
      <c r="G34" s="4272"/>
      <c r="H34" s="2406">
        <v>1</v>
      </c>
      <c r="I34" s="2406">
        <v>2.97</v>
      </c>
      <c r="J34" s="2406">
        <v>2.34</v>
      </c>
      <c r="K34" s="2406">
        <v>3.28</v>
      </c>
      <c r="L34" s="2407">
        <v>1.36</v>
      </c>
      <c r="N34" s="2409">
        <f t="shared" si="163"/>
        <v>2.9700000000000001E-2</v>
      </c>
      <c r="O34" s="2410">
        <f t="shared" si="158"/>
        <v>2.3399999999999997E-2</v>
      </c>
      <c r="P34" s="2410">
        <f t="shared" si="158"/>
        <v>3.2799999999999996E-2</v>
      </c>
      <c r="Q34" s="2410">
        <f t="shared" si="158"/>
        <v>1.3600000000000001E-2</v>
      </c>
      <c r="R34" s="2411"/>
      <c r="S34" s="2412">
        <f>B34/B35-1</f>
        <v>2.7910129219355539E-2</v>
      </c>
      <c r="T34" s="2413">
        <f>C34/C35-1</f>
        <v>2.3037937762975247E-2</v>
      </c>
      <c r="U34" s="2413">
        <f>E34/E35-1</f>
        <v>3.3519033243940788E-2</v>
      </c>
      <c r="V34" s="2413">
        <f>F34/F35-1</f>
        <v>1.2061818076502862E-2</v>
      </c>
      <c r="W34" s="2414" t="s">
        <v>1205</v>
      </c>
      <c r="X34" s="2415">
        <v>1</v>
      </c>
      <c r="Y34" s="2415">
        <v>1</v>
      </c>
      <c r="Z34" s="2415">
        <v>1</v>
      </c>
      <c r="AA34" s="2415">
        <v>1</v>
      </c>
      <c r="AB34" s="2415">
        <v>1</v>
      </c>
      <c r="AD34" s="2410">
        <f>I34/100</f>
        <v>2.9700000000000001E-2</v>
      </c>
      <c r="AE34" s="2410">
        <f>J34/100</f>
        <v>2.3399999999999997E-2</v>
      </c>
      <c r="AF34" s="2410">
        <f>AE34</f>
        <v>2.3399999999999997E-2</v>
      </c>
      <c r="AG34" s="2410">
        <f>K34/100</f>
        <v>3.2799999999999996E-2</v>
      </c>
      <c r="AH34" s="2410">
        <f>L34/100</f>
        <v>1.3600000000000001E-2</v>
      </c>
    </row>
    <row r="35" spans="1:34" ht="13.5" thickBot="1">
      <c r="A35" s="2368" t="s">
        <v>1038</v>
      </c>
      <c r="B35" s="2378">
        <v>299</v>
      </c>
      <c r="C35" s="2378">
        <v>252</v>
      </c>
      <c r="D35" s="2378">
        <f t="shared" si="161"/>
        <v>252</v>
      </c>
      <c r="E35" s="2378">
        <v>409</v>
      </c>
      <c r="F35" s="2379">
        <v>227</v>
      </c>
      <c r="G35" s="4275">
        <v>2013</v>
      </c>
      <c r="H35" s="2416">
        <v>4</v>
      </c>
      <c r="I35" s="2416">
        <v>1.83</v>
      </c>
      <c r="J35" s="2416">
        <v>1.68</v>
      </c>
      <c r="K35" s="2416">
        <v>1.97</v>
      </c>
      <c r="L35" s="2417">
        <v>0.87</v>
      </c>
      <c r="N35" s="2380">
        <f t="shared" si="163"/>
        <v>1.83E-2</v>
      </c>
      <c r="O35" s="2381">
        <f t="shared" si="158"/>
        <v>1.6799999999999999E-2</v>
      </c>
      <c r="P35" s="2381">
        <f t="shared" si="158"/>
        <v>1.9699999999999999E-2</v>
      </c>
      <c r="Q35" s="2381">
        <f t="shared" si="158"/>
        <v>8.6999999999999994E-3</v>
      </c>
      <c r="R35" s="2382"/>
      <c r="S35" s="2383"/>
      <c r="T35" s="2384"/>
      <c r="U35" s="2384"/>
      <c r="V35" s="2384"/>
      <c r="X35" s="2384"/>
      <c r="Y35" s="2384"/>
      <c r="Z35" s="2384"/>
    </row>
    <row r="36" spans="1:34">
      <c r="A36" s="2368" t="s">
        <v>1039</v>
      </c>
      <c r="B36" s="2385">
        <f t="shared" ref="B36:C38" si="170">B35/(1+N35)</f>
        <v>293.62663262299913</v>
      </c>
      <c r="C36" s="2385">
        <f t="shared" si="170"/>
        <v>247.83634933123525</v>
      </c>
      <c r="D36" s="2385">
        <f t="shared" si="161"/>
        <v>247.83634933123525</v>
      </c>
      <c r="E36" s="2385">
        <f t="shared" ref="E36:F38" si="171">E35/(1+P35)</f>
        <v>401.09836226341076</v>
      </c>
      <c r="F36" s="2385">
        <f t="shared" si="171"/>
        <v>225.04213343908003</v>
      </c>
      <c r="G36" s="4276"/>
      <c r="H36" s="2398">
        <v>3</v>
      </c>
      <c r="I36" s="2398">
        <v>1.86</v>
      </c>
      <c r="J36" s="2398">
        <v>1.72</v>
      </c>
      <c r="K36" s="2398">
        <v>1.98</v>
      </c>
      <c r="L36" s="2399">
        <v>0.88</v>
      </c>
      <c r="N36" s="2386">
        <f t="shared" si="163"/>
        <v>1.8600000000000002E-2</v>
      </c>
      <c r="O36" s="2392">
        <f t="shared" si="158"/>
        <v>1.72E-2</v>
      </c>
      <c r="P36" s="2392">
        <f t="shared" si="158"/>
        <v>1.9799999999999998E-2</v>
      </c>
      <c r="Q36" s="2392">
        <f t="shared" si="158"/>
        <v>8.8000000000000005E-3</v>
      </c>
      <c r="R36" s="2382"/>
      <c r="S36" s="2386"/>
      <c r="T36" s="2355"/>
      <c r="U36" s="2355"/>
      <c r="V36" s="2355"/>
    </row>
    <row r="37" spans="1:34">
      <c r="A37" s="2368" t="s">
        <v>1040</v>
      </c>
      <c r="B37" s="2385">
        <f t="shared" si="170"/>
        <v>288.2649053828776</v>
      </c>
      <c r="C37" s="2385">
        <f t="shared" si="170"/>
        <v>243.64564425013293</v>
      </c>
      <c r="D37" s="2385">
        <f t="shared" si="161"/>
        <v>243.64564425013293</v>
      </c>
      <c r="E37" s="2385">
        <f t="shared" si="171"/>
        <v>393.31080825986544</v>
      </c>
      <c r="F37" s="2385">
        <f t="shared" si="171"/>
        <v>223.07903790551154</v>
      </c>
      <c r="G37" s="4276"/>
      <c r="H37" s="2388">
        <v>2</v>
      </c>
      <c r="I37" s="2388">
        <v>2.04</v>
      </c>
      <c r="J37" s="2388">
        <v>2.33</v>
      </c>
      <c r="K37" s="2388">
        <v>2.0699999999999998</v>
      </c>
      <c r="L37" s="2389">
        <v>0.69</v>
      </c>
      <c r="N37" s="2386">
        <f t="shared" si="163"/>
        <v>2.0400000000000001E-2</v>
      </c>
      <c r="O37" s="2392">
        <f t="shared" si="158"/>
        <v>2.3300000000000001E-2</v>
      </c>
      <c r="P37" s="2392">
        <f t="shared" si="158"/>
        <v>2.07E-2</v>
      </c>
      <c r="Q37" s="2392">
        <f t="shared" si="158"/>
        <v>6.8999999999999999E-3</v>
      </c>
      <c r="R37" s="2382"/>
      <c r="S37" s="2386"/>
      <c r="T37" s="2355"/>
      <c r="U37" s="2355"/>
      <c r="V37" s="2355"/>
      <c r="X37" s="2418"/>
      <c r="Y37" s="2419"/>
    </row>
    <row r="38" spans="1:34">
      <c r="A38" s="2368" t="s">
        <v>1041</v>
      </c>
      <c r="B38" s="2385">
        <f t="shared" si="170"/>
        <v>282.50186729015837</v>
      </c>
      <c r="C38" s="2385">
        <f t="shared" si="170"/>
        <v>238.09796174155468</v>
      </c>
      <c r="D38" s="2385">
        <f t="shared" si="161"/>
        <v>238.09796174155468</v>
      </c>
      <c r="E38" s="2385">
        <f t="shared" si="171"/>
        <v>385.33438646014054</v>
      </c>
      <c r="F38" s="2385">
        <f t="shared" si="171"/>
        <v>221.55034055567739</v>
      </c>
      <c r="G38" s="4277"/>
      <c r="H38" s="2370">
        <v>1</v>
      </c>
      <c r="I38" s="2370">
        <v>1.67</v>
      </c>
      <c r="J38" s="2370">
        <v>1.31</v>
      </c>
      <c r="K38" s="2370">
        <v>1.85</v>
      </c>
      <c r="L38" s="2371">
        <v>0.96</v>
      </c>
      <c r="N38" s="2390">
        <f t="shared" si="163"/>
        <v>1.67E-2</v>
      </c>
      <c r="O38" s="2391">
        <f t="shared" si="163"/>
        <v>1.3100000000000001E-2</v>
      </c>
      <c r="P38" s="2391">
        <f t="shared" si="163"/>
        <v>1.8500000000000003E-2</v>
      </c>
      <c r="Q38" s="2391">
        <f t="shared" si="163"/>
        <v>9.5999999999999992E-3</v>
      </c>
      <c r="R38" s="2382"/>
      <c r="S38" s="2390">
        <f>B38/B39-1</f>
        <v>1.6193767230785472E-2</v>
      </c>
      <c r="T38" s="2391">
        <f>C38/C39-1</f>
        <v>1.7512657015190891E-2</v>
      </c>
      <c r="U38" s="2391">
        <f>E38/E39-1</f>
        <v>1.6713420739157048E-2</v>
      </c>
      <c r="V38" s="2391">
        <f>F38/F39-1</f>
        <v>7.0470025258062563E-3</v>
      </c>
      <c r="X38" s="2420"/>
      <c r="Y38" s="2355"/>
      <c r="Z38" s="2355"/>
    </row>
    <row r="39" spans="1:34" ht="13.5" thickBot="1">
      <c r="A39" s="2368" t="s">
        <v>1042</v>
      </c>
      <c r="B39" s="2421">
        <v>278</v>
      </c>
      <c r="C39" s="2421">
        <v>234</v>
      </c>
      <c r="D39" s="2421">
        <f t="shared" si="161"/>
        <v>234</v>
      </c>
      <c r="E39" s="2421">
        <v>379</v>
      </c>
      <c r="F39" s="2422">
        <v>220</v>
      </c>
      <c r="G39" s="4270">
        <v>2012</v>
      </c>
      <c r="H39" s="2395">
        <v>4</v>
      </c>
      <c r="I39" s="2395">
        <v>0.91</v>
      </c>
      <c r="J39" s="2395">
        <v>0.68</v>
      </c>
      <c r="K39" s="2395">
        <v>0.98</v>
      </c>
      <c r="L39" s="2396">
        <v>0.9</v>
      </c>
      <c r="N39" s="2386">
        <f t="shared" si="163"/>
        <v>9.1000000000000004E-3</v>
      </c>
      <c r="O39" s="2355">
        <f t="shared" si="163"/>
        <v>6.8000000000000005E-3</v>
      </c>
      <c r="P39" s="2355">
        <f t="shared" si="163"/>
        <v>9.7999999999999997E-3</v>
      </c>
      <c r="Q39" s="2355">
        <f t="shared" si="163"/>
        <v>9.0000000000000011E-3</v>
      </c>
      <c r="R39" s="2382"/>
      <c r="S39" s="2383"/>
      <c r="T39" s="2384"/>
      <c r="U39" s="2384"/>
      <c r="V39" s="2384"/>
      <c r="X39" s="2384"/>
      <c r="Y39" s="2384"/>
      <c r="Z39" s="2384"/>
    </row>
    <row r="40" spans="1:34">
      <c r="A40" s="2368" t="s">
        <v>1043</v>
      </c>
      <c r="B40" s="2385">
        <f>B39/(1+N39)</f>
        <v>275.49301357645425</v>
      </c>
      <c r="C40" s="2385">
        <f>C39/(1+O39)</f>
        <v>232.41954707985698</v>
      </c>
      <c r="D40" s="2385">
        <f t="shared" si="161"/>
        <v>232.41954707985698</v>
      </c>
      <c r="E40" s="2385">
        <f t="shared" ref="E40:F42" si="172">E39/(1+P39)</f>
        <v>375.32184591008121</v>
      </c>
      <c r="F40" s="2385">
        <f t="shared" si="172"/>
        <v>218.03766105054513</v>
      </c>
      <c r="G40" s="4271"/>
      <c r="H40" s="2398">
        <v>3</v>
      </c>
      <c r="I40" s="2398">
        <v>0.09</v>
      </c>
      <c r="J40" s="2398">
        <v>0.28999999999999998</v>
      </c>
      <c r="K40" s="2398">
        <v>-0.01</v>
      </c>
      <c r="L40" s="2399">
        <v>0.57999999999999996</v>
      </c>
      <c r="N40" s="2386">
        <f t="shared" si="163"/>
        <v>8.9999999999999998E-4</v>
      </c>
      <c r="O40" s="2355">
        <f t="shared" si="163"/>
        <v>2.8999999999999998E-3</v>
      </c>
      <c r="P40" s="2355">
        <f t="shared" si="163"/>
        <v>-1E-4</v>
      </c>
      <c r="Q40" s="2355">
        <f t="shared" si="163"/>
        <v>5.7999999999999996E-3</v>
      </c>
      <c r="R40" s="2382"/>
      <c r="S40" s="2386"/>
      <c r="T40" s="2355"/>
      <c r="U40" s="2355"/>
      <c r="V40" s="2355"/>
    </row>
    <row r="41" spans="1:34">
      <c r="A41" s="2368" t="s">
        <v>1044</v>
      </c>
      <c r="B41" s="2385">
        <f>B40/(1+N40)</f>
        <v>275.24529281292263</v>
      </c>
      <c r="C41" s="2385">
        <f>C40/(1+O40)</f>
        <v>231.74747938962707</v>
      </c>
      <c r="D41" s="2385">
        <f t="shared" si="161"/>
        <v>231.74747938962707</v>
      </c>
      <c r="E41" s="2385">
        <f t="shared" si="172"/>
        <v>375.35938184826603</v>
      </c>
      <c r="F41" s="2385">
        <f t="shared" si="172"/>
        <v>216.78033510692495</v>
      </c>
      <c r="G41" s="4271"/>
      <c r="H41" s="2388">
        <v>2</v>
      </c>
      <c r="I41" s="2388">
        <v>0.02</v>
      </c>
      <c r="J41" s="2388">
        <v>0.12</v>
      </c>
      <c r="K41" s="2388">
        <v>-0.08</v>
      </c>
      <c r="L41" s="2389">
        <v>1.24</v>
      </c>
      <c r="N41" s="2386">
        <f t="shared" si="163"/>
        <v>2.0000000000000001E-4</v>
      </c>
      <c r="O41" s="2355">
        <f t="shared" si="163"/>
        <v>1.1999999999999999E-3</v>
      </c>
      <c r="P41" s="2355">
        <f t="shared" si="163"/>
        <v>-8.0000000000000004E-4</v>
      </c>
      <c r="Q41" s="2355">
        <f t="shared" si="163"/>
        <v>1.24E-2</v>
      </c>
      <c r="R41" s="2382"/>
      <c r="S41" s="2386"/>
      <c r="T41" s="2355"/>
      <c r="U41" s="2355"/>
      <c r="V41" s="2355"/>
    </row>
    <row r="42" spans="1:34" ht="13.5" thickBot="1">
      <c r="A42" s="2368" t="s">
        <v>1045</v>
      </c>
      <c r="B42" s="2385">
        <f>B41/(1+N41)</f>
        <v>275.19025476197027</v>
      </c>
      <c r="C42" s="2423">
        <v>232</v>
      </c>
      <c r="D42" s="2423">
        <f t="shared" si="161"/>
        <v>232</v>
      </c>
      <c r="E42" s="2385">
        <f t="shared" si="172"/>
        <v>375.65990977608692</v>
      </c>
      <c r="F42" s="2385">
        <f t="shared" si="172"/>
        <v>214.12518283971252</v>
      </c>
      <c r="G42" s="4272"/>
      <c r="H42" s="2370">
        <v>1</v>
      </c>
      <c r="I42" s="2370">
        <v>0.02</v>
      </c>
      <c r="J42" s="2370">
        <v>0.13</v>
      </c>
      <c r="K42" s="2370">
        <v>-0.04</v>
      </c>
      <c r="L42" s="2371">
        <v>0.46</v>
      </c>
      <c r="N42" s="2386">
        <f t="shared" si="163"/>
        <v>2.0000000000000001E-4</v>
      </c>
      <c r="O42" s="2355">
        <f t="shared" si="163"/>
        <v>1.2999999999999999E-3</v>
      </c>
      <c r="P42" s="2355">
        <f t="shared" si="163"/>
        <v>-4.0000000000000002E-4</v>
      </c>
      <c r="Q42" s="2355">
        <f t="shared" si="163"/>
        <v>4.5999999999999999E-3</v>
      </c>
      <c r="R42" s="2382"/>
      <c r="S42" s="2390">
        <f>B42/B43-1</f>
        <v>6.9183549807361189E-4</v>
      </c>
      <c r="T42" s="2391">
        <f>C42/C43-1</f>
        <v>0</v>
      </c>
      <c r="U42" s="2391">
        <f>E42/E43-1</f>
        <v>-9.0449527636460303E-4</v>
      </c>
      <c r="V42" s="2391">
        <f>F42/F43-1</f>
        <v>5.2825485432512753E-3</v>
      </c>
      <c r="X42" s="2355"/>
      <c r="Y42" s="2355"/>
      <c r="Z42" s="2355"/>
    </row>
    <row r="43" spans="1:34" ht="13.5" thickBot="1">
      <c r="A43" s="2368" t="s">
        <v>1046</v>
      </c>
      <c r="B43" s="2378">
        <v>275</v>
      </c>
      <c r="C43" s="2378">
        <v>232</v>
      </c>
      <c r="D43" s="2378">
        <f t="shared" si="161"/>
        <v>232</v>
      </c>
      <c r="E43" s="2378">
        <v>376</v>
      </c>
      <c r="F43" s="2379">
        <v>213</v>
      </c>
      <c r="G43" s="4270">
        <v>2011</v>
      </c>
      <c r="H43" s="2395">
        <v>4</v>
      </c>
      <c r="I43" s="2395">
        <v>-0.2</v>
      </c>
      <c r="J43" s="2395">
        <v>0.04</v>
      </c>
      <c r="K43" s="2395">
        <v>-0.34</v>
      </c>
      <c r="L43" s="2396">
        <v>0.46</v>
      </c>
      <c r="N43" s="2380">
        <f t="shared" si="163"/>
        <v>-2E-3</v>
      </c>
      <c r="O43" s="2381">
        <f t="shared" si="163"/>
        <v>4.0000000000000002E-4</v>
      </c>
      <c r="P43" s="2381">
        <f t="shared" si="163"/>
        <v>-3.4000000000000002E-3</v>
      </c>
      <c r="Q43" s="2381">
        <f t="shared" si="163"/>
        <v>4.5999999999999999E-3</v>
      </c>
      <c r="R43" s="2382"/>
      <c r="S43" s="2383"/>
      <c r="T43" s="2384"/>
      <c r="U43" s="2384"/>
      <c r="V43" s="2384"/>
      <c r="X43" s="2384"/>
      <c r="Y43" s="2384"/>
      <c r="Z43" s="2384"/>
    </row>
    <row r="44" spans="1:34">
      <c r="A44" s="2368" t="s">
        <v>1047</v>
      </c>
      <c r="B44" s="2385">
        <f t="shared" ref="B44:C46" si="173">B43/(1+N43)</f>
        <v>275.55110220440883</v>
      </c>
      <c r="C44" s="2385">
        <f t="shared" si="173"/>
        <v>231.90723710515795</v>
      </c>
      <c r="D44" s="2385">
        <f t="shared" si="161"/>
        <v>231.90723710515795</v>
      </c>
      <c r="E44" s="2385">
        <f t="shared" ref="E44:F46" si="174">E43/(1+P43)</f>
        <v>377.28276138872161</v>
      </c>
      <c r="F44" s="2385">
        <f t="shared" si="174"/>
        <v>212.02468644236512</v>
      </c>
      <c r="G44" s="4271">
        <v>2011</v>
      </c>
      <c r="H44" s="2398">
        <v>3</v>
      </c>
      <c r="I44" s="2398">
        <v>0.13</v>
      </c>
      <c r="J44" s="2398">
        <v>0.75</v>
      </c>
      <c r="K44" s="2398">
        <v>-0.08</v>
      </c>
      <c r="L44" s="2399">
        <v>0.53</v>
      </c>
      <c r="N44" s="2386">
        <f t="shared" si="163"/>
        <v>1.2999999999999999E-3</v>
      </c>
      <c r="O44" s="2392">
        <f t="shared" si="163"/>
        <v>7.4999999999999997E-3</v>
      </c>
      <c r="P44" s="2392">
        <f t="shared" si="163"/>
        <v>-8.0000000000000004E-4</v>
      </c>
      <c r="Q44" s="2392">
        <f t="shared" si="163"/>
        <v>5.3E-3</v>
      </c>
      <c r="R44" s="2382"/>
      <c r="S44" s="2386"/>
      <c r="T44" s="2355"/>
      <c r="U44" s="2355"/>
      <c r="V44" s="2355"/>
    </row>
    <row r="45" spans="1:34">
      <c r="A45" s="2368" t="s">
        <v>1048</v>
      </c>
      <c r="B45" s="2385">
        <f t="shared" si="173"/>
        <v>275.19335084830601</v>
      </c>
      <c r="C45" s="2385">
        <f t="shared" si="173"/>
        <v>230.18088050139744</v>
      </c>
      <c r="D45" s="2385">
        <f t="shared" si="161"/>
        <v>230.18088050139744</v>
      </c>
      <c r="E45" s="2385">
        <f t="shared" si="174"/>
        <v>377.58482925212331</v>
      </c>
      <c r="F45" s="2385">
        <f t="shared" si="174"/>
        <v>210.90687997847917</v>
      </c>
      <c r="G45" s="4271">
        <v>2011</v>
      </c>
      <c r="H45" s="2388">
        <v>2</v>
      </c>
      <c r="I45" s="2388">
        <v>-0.4</v>
      </c>
      <c r="J45" s="2388">
        <v>0.17</v>
      </c>
      <c r="K45" s="2388">
        <v>-0.57999999999999996</v>
      </c>
      <c r="L45" s="2389">
        <v>-0.2</v>
      </c>
      <c r="N45" s="2386">
        <f t="shared" si="163"/>
        <v>-4.0000000000000001E-3</v>
      </c>
      <c r="O45" s="2392">
        <f t="shared" si="163"/>
        <v>1.7000000000000001E-3</v>
      </c>
      <c r="P45" s="2392">
        <f t="shared" si="163"/>
        <v>-5.7999999999999996E-3</v>
      </c>
      <c r="Q45" s="2392">
        <f t="shared" si="163"/>
        <v>-2E-3</v>
      </c>
      <c r="R45" s="2382"/>
      <c r="S45" s="2386"/>
      <c r="T45" s="2355"/>
      <c r="U45" s="2355"/>
      <c r="V45" s="2355"/>
    </row>
    <row r="46" spans="1:34" ht="13.5" thickBot="1">
      <c r="A46" s="2368" t="s">
        <v>1049</v>
      </c>
      <c r="B46" s="2385">
        <f t="shared" si="173"/>
        <v>276.29854502841971</v>
      </c>
      <c r="C46" s="2385">
        <f t="shared" si="173"/>
        <v>229.79023709833027</v>
      </c>
      <c r="D46" s="2385">
        <f t="shared" si="161"/>
        <v>229.79023709833027</v>
      </c>
      <c r="E46" s="2385">
        <f t="shared" si="174"/>
        <v>379.78759731655936</v>
      </c>
      <c r="F46" s="2385">
        <f t="shared" si="174"/>
        <v>211.32953905659235</v>
      </c>
      <c r="G46" s="4272">
        <v>2011</v>
      </c>
      <c r="H46" s="2370">
        <v>1</v>
      </c>
      <c r="I46" s="2370">
        <v>2.65</v>
      </c>
      <c r="J46" s="2370">
        <v>3.76</v>
      </c>
      <c r="K46" s="2370">
        <v>1.89</v>
      </c>
      <c r="L46" s="2371">
        <v>7.95</v>
      </c>
      <c r="N46" s="2390">
        <f t="shared" si="163"/>
        <v>2.6499999999999999E-2</v>
      </c>
      <c r="O46" s="2391">
        <f t="shared" si="163"/>
        <v>3.7599999999999995E-2</v>
      </c>
      <c r="P46" s="2391">
        <f t="shared" si="163"/>
        <v>1.89E-2</v>
      </c>
      <c r="Q46" s="2391">
        <f t="shared" si="163"/>
        <v>7.9500000000000001E-2</v>
      </c>
      <c r="R46" s="2382"/>
      <c r="S46" s="2390">
        <f>B46/B47-1</f>
        <v>2.713213765211786E-2</v>
      </c>
      <c r="T46" s="2391">
        <f>C46/C47-1</f>
        <v>3.9774828499231862E-2</v>
      </c>
      <c r="U46" s="2391">
        <f>E46/E47-1</f>
        <v>1.8197311840641772E-2</v>
      </c>
      <c r="V46" s="2391">
        <f>F46/F47-1</f>
        <v>7.8211933962205826E-2</v>
      </c>
      <c r="X46" s="2355"/>
      <c r="Y46" s="2355"/>
      <c r="Z46" s="2355"/>
    </row>
    <row r="47" spans="1:34" ht="13.5" thickBot="1">
      <c r="A47" s="2368" t="s">
        <v>1050</v>
      </c>
      <c r="B47" s="2378">
        <v>269</v>
      </c>
      <c r="C47" s="2378">
        <v>221</v>
      </c>
      <c r="D47" s="2378">
        <f t="shared" si="161"/>
        <v>221</v>
      </c>
      <c r="E47" s="2378">
        <v>373</v>
      </c>
      <c r="F47" s="2379">
        <v>196</v>
      </c>
      <c r="G47" s="4270">
        <v>2010</v>
      </c>
      <c r="H47" s="2395">
        <v>4</v>
      </c>
      <c r="I47" s="2395">
        <v>5.72</v>
      </c>
      <c r="J47" s="2395">
        <v>6.57</v>
      </c>
      <c r="K47" s="2395">
        <v>5.72</v>
      </c>
      <c r="L47" s="2396">
        <v>2.72</v>
      </c>
      <c r="N47" s="2386">
        <f t="shared" si="163"/>
        <v>5.7200000000000001E-2</v>
      </c>
      <c r="O47" s="2355">
        <f t="shared" si="163"/>
        <v>6.5700000000000008E-2</v>
      </c>
      <c r="P47" s="2355">
        <f t="shared" si="163"/>
        <v>5.7200000000000001E-2</v>
      </c>
      <c r="Q47" s="2355">
        <f t="shared" si="163"/>
        <v>2.7200000000000002E-2</v>
      </c>
      <c r="R47" s="2382"/>
      <c r="S47" s="2383"/>
      <c r="T47" s="2384"/>
      <c r="U47" s="2384"/>
      <c r="V47" s="2384"/>
      <c r="X47" s="2384"/>
      <c r="Y47" s="2384"/>
      <c r="Z47" s="2384"/>
    </row>
    <row r="48" spans="1:34">
      <c r="A48" s="2368" t="s">
        <v>1051</v>
      </c>
      <c r="B48" s="2385">
        <f t="shared" ref="B48:C50" si="175">B47/(1+N47)</f>
        <v>254.44570563753314</v>
      </c>
      <c r="C48" s="2385">
        <f t="shared" si="175"/>
        <v>207.37543398705074</v>
      </c>
      <c r="D48" s="2385">
        <f t="shared" si="161"/>
        <v>207.37543398705074</v>
      </c>
      <c r="E48" s="2385">
        <f t="shared" ref="E48:F50" si="176">E47/(1+P47)</f>
        <v>352.81876655315932</v>
      </c>
      <c r="F48" s="2385">
        <f t="shared" si="176"/>
        <v>190.809968847352</v>
      </c>
      <c r="G48" s="4271">
        <v>2010</v>
      </c>
      <c r="H48" s="2398">
        <v>3</v>
      </c>
      <c r="I48" s="2398">
        <v>4.7300000000000004</v>
      </c>
      <c r="J48" s="2398">
        <v>3.9</v>
      </c>
      <c r="K48" s="2398">
        <v>5.03</v>
      </c>
      <c r="L48" s="2399">
        <v>4.21</v>
      </c>
      <c r="N48" s="2386">
        <f t="shared" si="163"/>
        <v>4.7300000000000002E-2</v>
      </c>
      <c r="O48" s="2355">
        <f t="shared" si="163"/>
        <v>3.9E-2</v>
      </c>
      <c r="P48" s="2355">
        <f t="shared" si="163"/>
        <v>5.0300000000000004E-2</v>
      </c>
      <c r="Q48" s="2355">
        <f t="shared" si="163"/>
        <v>4.2099999999999999E-2</v>
      </c>
      <c r="R48" s="2382"/>
      <c r="S48" s="2386"/>
      <c r="T48" s="2355"/>
      <c r="U48" s="2355"/>
      <c r="V48" s="2355"/>
    </row>
    <row r="49" spans="1:26">
      <c r="A49" s="2368" t="s">
        <v>1052</v>
      </c>
      <c r="B49" s="2385">
        <f t="shared" si="175"/>
        <v>242.95398227588385</v>
      </c>
      <c r="C49" s="2385">
        <f t="shared" si="175"/>
        <v>199.59137053614126</v>
      </c>
      <c r="D49" s="2385">
        <f t="shared" si="161"/>
        <v>199.59137053614126</v>
      </c>
      <c r="E49" s="2385">
        <f t="shared" si="176"/>
        <v>335.92189522342125</v>
      </c>
      <c r="F49" s="2385">
        <f t="shared" si="176"/>
        <v>183.10139991109489</v>
      </c>
      <c r="G49" s="4271">
        <v>2010</v>
      </c>
      <c r="H49" s="2388">
        <v>2</v>
      </c>
      <c r="I49" s="2388">
        <v>4.6900000000000004</v>
      </c>
      <c r="J49" s="2388">
        <v>3.55</v>
      </c>
      <c r="K49" s="2388">
        <v>5.07</v>
      </c>
      <c r="L49" s="2389">
        <v>4.2300000000000004</v>
      </c>
      <c r="N49" s="2386">
        <f t="shared" si="163"/>
        <v>4.6900000000000004E-2</v>
      </c>
      <c r="O49" s="2355">
        <f t="shared" si="163"/>
        <v>3.5499999999999997E-2</v>
      </c>
      <c r="P49" s="2355">
        <f t="shared" si="163"/>
        <v>5.0700000000000002E-2</v>
      </c>
      <c r="Q49" s="2355">
        <f t="shared" si="163"/>
        <v>4.2300000000000004E-2</v>
      </c>
      <c r="R49" s="2382"/>
      <c r="S49" s="2386"/>
      <c r="T49" s="2355"/>
      <c r="U49" s="2355"/>
      <c r="V49" s="2355"/>
    </row>
    <row r="50" spans="1:26" ht="13.5" thickBot="1">
      <c r="A50" s="2368" t="s">
        <v>1053</v>
      </c>
      <c r="B50" s="2385">
        <f t="shared" si="175"/>
        <v>232.06990378821649</v>
      </c>
      <c r="C50" s="2385">
        <f t="shared" si="175"/>
        <v>192.74878854286936</v>
      </c>
      <c r="D50" s="2385">
        <f t="shared" si="161"/>
        <v>192.74878854286936</v>
      </c>
      <c r="E50" s="2385">
        <f t="shared" si="176"/>
        <v>319.71247284992984</v>
      </c>
      <c r="F50" s="2385">
        <f t="shared" si="176"/>
        <v>175.67053622862409</v>
      </c>
      <c r="G50" s="4272">
        <v>2010</v>
      </c>
      <c r="H50" s="2370">
        <v>1</v>
      </c>
      <c r="I50" s="2370">
        <v>5.4</v>
      </c>
      <c r="J50" s="2370">
        <v>3.2</v>
      </c>
      <c r="K50" s="2370">
        <v>6.16</v>
      </c>
      <c r="L50" s="2371">
        <v>4.51</v>
      </c>
      <c r="N50" s="2386">
        <f t="shared" si="163"/>
        <v>5.4000000000000006E-2</v>
      </c>
      <c r="O50" s="2355">
        <f t="shared" si="163"/>
        <v>3.2000000000000001E-2</v>
      </c>
      <c r="P50" s="2355">
        <f t="shared" si="163"/>
        <v>6.1600000000000002E-2</v>
      </c>
      <c r="Q50" s="2355">
        <f t="shared" si="163"/>
        <v>4.5100000000000001E-2</v>
      </c>
      <c r="R50" s="2382"/>
      <c r="S50" s="2390">
        <f>B50/B51-1</f>
        <v>5.4863199037347599E-2</v>
      </c>
      <c r="T50" s="2391">
        <f>C50/C51-1</f>
        <v>3.0742184721226584E-2</v>
      </c>
      <c r="U50" s="2391">
        <f>E50/E51-1</f>
        <v>6.2167683886810154E-2</v>
      </c>
      <c r="V50" s="2391">
        <f>F50/F51-1</f>
        <v>4.5657953741810031E-2</v>
      </c>
      <c r="X50" s="2355"/>
      <c r="Y50" s="2355"/>
      <c r="Z50" s="2355"/>
    </row>
    <row r="51" spans="1:26" ht="13.5" thickBot="1">
      <c r="A51" s="2368" t="s">
        <v>1054</v>
      </c>
      <c r="B51" s="2378">
        <v>220</v>
      </c>
      <c r="C51" s="2378">
        <v>187</v>
      </c>
      <c r="D51" s="2378">
        <f t="shared" si="161"/>
        <v>187</v>
      </c>
      <c r="E51" s="2378">
        <v>301</v>
      </c>
      <c r="F51" s="2379">
        <v>168</v>
      </c>
      <c r="G51" s="4270">
        <v>2009</v>
      </c>
      <c r="H51" s="2395">
        <v>4</v>
      </c>
      <c r="I51" s="2395">
        <v>2.2999999999999998</v>
      </c>
      <c r="J51" s="2395">
        <v>1.04</v>
      </c>
      <c r="K51" s="2395">
        <v>2.84</v>
      </c>
      <c r="L51" s="2396">
        <v>0.67</v>
      </c>
      <c r="N51" s="2380">
        <f t="shared" si="163"/>
        <v>2.3E-2</v>
      </c>
      <c r="O51" s="2381">
        <f t="shared" si="163"/>
        <v>1.04E-2</v>
      </c>
      <c r="P51" s="2381">
        <f t="shared" si="163"/>
        <v>2.8399999999999998E-2</v>
      </c>
      <c r="Q51" s="2381">
        <f t="shared" si="163"/>
        <v>6.7000000000000002E-3</v>
      </c>
      <c r="R51" s="2382"/>
      <c r="S51" s="2383"/>
      <c r="T51" s="2384"/>
      <c r="U51" s="2384"/>
      <c r="V51" s="2384"/>
      <c r="X51" s="2384"/>
      <c r="Y51" s="2384"/>
      <c r="Z51" s="2384"/>
    </row>
    <row r="52" spans="1:26">
      <c r="A52" s="2368" t="s">
        <v>1055</v>
      </c>
      <c r="B52" s="2385">
        <f t="shared" ref="B52:C54" si="177">B51/(1+N51)</f>
        <v>215.05376344086022</v>
      </c>
      <c r="C52" s="2385">
        <f t="shared" si="177"/>
        <v>185.0752177355503</v>
      </c>
      <c r="D52" s="2385">
        <f t="shared" si="161"/>
        <v>185.0752177355503</v>
      </c>
      <c r="E52" s="2385">
        <f t="shared" ref="E52:F54" si="178">E51/(1+P51)</f>
        <v>292.68767016725008</v>
      </c>
      <c r="F52" s="2385">
        <f t="shared" si="178"/>
        <v>166.88189132810174</v>
      </c>
      <c r="G52" s="4271">
        <v>2009</v>
      </c>
      <c r="H52" s="2398">
        <v>3</v>
      </c>
      <c r="I52" s="2398">
        <v>2.1</v>
      </c>
      <c r="J52" s="2398">
        <v>1.86</v>
      </c>
      <c r="K52" s="2398">
        <v>2.29</v>
      </c>
      <c r="L52" s="2399">
        <v>0.85</v>
      </c>
      <c r="N52" s="2386">
        <f t="shared" si="163"/>
        <v>2.1000000000000001E-2</v>
      </c>
      <c r="O52" s="2392">
        <f t="shared" si="163"/>
        <v>1.8600000000000002E-2</v>
      </c>
      <c r="P52" s="2392">
        <f t="shared" si="163"/>
        <v>2.29E-2</v>
      </c>
      <c r="Q52" s="2392">
        <f t="shared" si="163"/>
        <v>8.5000000000000006E-3</v>
      </c>
      <c r="R52" s="2382"/>
      <c r="S52" s="2386"/>
      <c r="T52" s="2355"/>
      <c r="U52" s="2355"/>
      <c r="V52" s="2355"/>
    </row>
    <row r="53" spans="1:26">
      <c r="A53" s="2368" t="s">
        <v>1056</v>
      </c>
      <c r="B53" s="2385">
        <f t="shared" si="177"/>
        <v>210.630522469011</v>
      </c>
      <c r="C53" s="2385">
        <f t="shared" si="177"/>
        <v>181.69567812247232</v>
      </c>
      <c r="D53" s="2385">
        <f t="shared" si="161"/>
        <v>181.69567812247232</v>
      </c>
      <c r="E53" s="2385">
        <f t="shared" si="178"/>
        <v>286.13517466736738</v>
      </c>
      <c r="F53" s="2385">
        <f t="shared" si="178"/>
        <v>165.47535084591149</v>
      </c>
      <c r="G53" s="4271">
        <v>2009</v>
      </c>
      <c r="H53" s="2388">
        <v>2</v>
      </c>
      <c r="I53" s="2388">
        <v>0.86</v>
      </c>
      <c r="J53" s="2388">
        <v>-1.1299999999999999</v>
      </c>
      <c r="K53" s="2388">
        <v>1.79</v>
      </c>
      <c r="L53" s="2389">
        <v>-2.0699999999999998</v>
      </c>
      <c r="N53" s="2386">
        <f t="shared" si="163"/>
        <v>8.6E-3</v>
      </c>
      <c r="O53" s="2392">
        <f t="shared" si="163"/>
        <v>-1.1299999999999999E-2</v>
      </c>
      <c r="P53" s="2392">
        <f t="shared" si="163"/>
        <v>1.7899999999999999E-2</v>
      </c>
      <c r="Q53" s="2392">
        <f t="shared" si="163"/>
        <v>-2.07E-2</v>
      </c>
      <c r="R53" s="2382"/>
      <c r="S53" s="2386"/>
      <c r="T53" s="2355"/>
      <c r="U53" s="2355"/>
      <c r="V53" s="2355"/>
    </row>
    <row r="54" spans="1:26">
      <c r="A54" s="2368" t="s">
        <v>1057</v>
      </c>
      <c r="B54" s="2385">
        <f t="shared" si="177"/>
        <v>208.83454537875372</v>
      </c>
      <c r="C54" s="2385">
        <f t="shared" si="177"/>
        <v>183.77230517090351</v>
      </c>
      <c r="D54" s="2385">
        <f t="shared" si="161"/>
        <v>183.77230517090351</v>
      </c>
      <c r="E54" s="2385">
        <f t="shared" si="178"/>
        <v>281.10342338870947</v>
      </c>
      <c r="F54" s="2385">
        <f t="shared" si="178"/>
        <v>168.97309388942256</v>
      </c>
      <c r="G54" s="4272">
        <v>2009</v>
      </c>
      <c r="H54" s="2370">
        <v>1</v>
      </c>
      <c r="I54" s="2370">
        <v>-2.64</v>
      </c>
      <c r="J54" s="2370">
        <v>-2.5299999999999998</v>
      </c>
      <c r="K54" s="2370">
        <v>-3.02</v>
      </c>
      <c r="L54" s="2371">
        <v>1.52</v>
      </c>
      <c r="N54" s="2390">
        <f t="shared" si="163"/>
        <v>-2.64E-2</v>
      </c>
      <c r="O54" s="2391">
        <f t="shared" si="163"/>
        <v>-2.53E-2</v>
      </c>
      <c r="P54" s="2391">
        <f t="shared" si="163"/>
        <v>-3.0200000000000001E-2</v>
      </c>
      <c r="Q54" s="2391">
        <f t="shared" si="163"/>
        <v>1.52E-2</v>
      </c>
      <c r="R54" s="2382"/>
      <c r="S54" s="2390">
        <f>B54/B55-1</f>
        <v>-2.4137638417038754E-2</v>
      </c>
      <c r="T54" s="2391">
        <f>C54/C55-1</f>
        <v>-2.248773845264096E-2</v>
      </c>
      <c r="U54" s="2391">
        <f>E54/E55-1</f>
        <v>-2.7323794502735366E-2</v>
      </c>
      <c r="V54" s="2391">
        <f>F54/F55-1</f>
        <v>1.7910204153148035E-2</v>
      </c>
      <c r="X54" s="2355"/>
      <c r="Y54" s="2355"/>
      <c r="Z54" s="2355"/>
    </row>
    <row r="55" spans="1:26" ht="13.5" thickBot="1">
      <c r="A55" s="2368" t="s">
        <v>1058</v>
      </c>
      <c r="B55" s="2421">
        <v>214</v>
      </c>
      <c r="C55" s="2421">
        <v>188</v>
      </c>
      <c r="D55" s="2421">
        <f t="shared" si="161"/>
        <v>188</v>
      </c>
      <c r="E55" s="2421">
        <v>289</v>
      </c>
      <c r="F55" s="2422">
        <v>166</v>
      </c>
      <c r="G55" s="4270">
        <v>2008</v>
      </c>
      <c r="H55" s="2395">
        <v>4</v>
      </c>
      <c r="I55" s="2395">
        <v>1.73</v>
      </c>
      <c r="J55" s="2395">
        <v>0.03</v>
      </c>
      <c r="K55" s="2395">
        <v>2.59</v>
      </c>
      <c r="L55" s="2396">
        <v>-1.66</v>
      </c>
      <c r="N55" s="2386">
        <f t="shared" si="163"/>
        <v>1.7299999999999999E-2</v>
      </c>
      <c r="O55" s="2355">
        <f t="shared" si="163"/>
        <v>2.9999999999999997E-4</v>
      </c>
      <c r="P55" s="2355">
        <f t="shared" si="163"/>
        <v>2.5899999999999999E-2</v>
      </c>
      <c r="Q55" s="2355">
        <f t="shared" si="163"/>
        <v>-1.66E-2</v>
      </c>
      <c r="R55" s="2382"/>
      <c r="S55" s="2383"/>
      <c r="T55" s="2384"/>
      <c r="U55" s="2384"/>
      <c r="V55" s="2384"/>
      <c r="X55" s="2384"/>
      <c r="Y55" s="2384"/>
      <c r="Z55" s="2384"/>
    </row>
    <row r="56" spans="1:26">
      <c r="A56" s="2368" t="s">
        <v>1059</v>
      </c>
      <c r="B56" s="2385">
        <f t="shared" ref="B56:C58" si="179">B55/(1+N55)</f>
        <v>210.36075887152265</v>
      </c>
      <c r="C56" s="2385">
        <f t="shared" si="179"/>
        <v>187.94361691492554</v>
      </c>
      <c r="D56" s="2385">
        <f t="shared" si="161"/>
        <v>187.94361691492554</v>
      </c>
      <c r="E56" s="2385">
        <f t="shared" ref="E56:F58" si="180">E55/(1+P55)</f>
        <v>281.70386977288234</v>
      </c>
      <c r="F56" s="2385">
        <f t="shared" si="180"/>
        <v>168.80211511083994</v>
      </c>
      <c r="G56" s="4271">
        <v>2008</v>
      </c>
      <c r="H56" s="2398">
        <v>3</v>
      </c>
      <c r="I56" s="2398">
        <v>1.96</v>
      </c>
      <c r="J56" s="2398">
        <v>2.36</v>
      </c>
      <c r="K56" s="2398">
        <v>1.82</v>
      </c>
      <c r="L56" s="2399">
        <v>2.2200000000000002</v>
      </c>
      <c r="N56" s="2386">
        <f t="shared" si="163"/>
        <v>1.9599999999999999E-2</v>
      </c>
      <c r="O56" s="2355">
        <f t="shared" si="163"/>
        <v>2.3599999999999999E-2</v>
      </c>
      <c r="P56" s="2355">
        <f t="shared" si="163"/>
        <v>1.8200000000000001E-2</v>
      </c>
      <c r="Q56" s="2355">
        <f t="shared" si="163"/>
        <v>2.2200000000000001E-2</v>
      </c>
      <c r="R56" s="2382"/>
      <c r="S56" s="2386"/>
      <c r="T56" s="2355"/>
      <c r="U56" s="2355"/>
      <c r="V56" s="2355"/>
    </row>
    <row r="57" spans="1:26">
      <c r="A57" s="2368" t="s">
        <v>1060</v>
      </c>
      <c r="B57" s="2385">
        <f t="shared" si="179"/>
        <v>206.31694671589116</v>
      </c>
      <c r="C57" s="2385">
        <f t="shared" si="179"/>
        <v>183.61041121036101</v>
      </c>
      <c r="D57" s="2385">
        <f t="shared" si="161"/>
        <v>183.61041121036101</v>
      </c>
      <c r="E57" s="2385">
        <f t="shared" si="180"/>
        <v>276.66850301795557</v>
      </c>
      <c r="F57" s="2385">
        <f t="shared" si="180"/>
        <v>165.1360938278614</v>
      </c>
      <c r="G57" s="4271">
        <v>2008</v>
      </c>
      <c r="H57" s="2388">
        <v>2</v>
      </c>
      <c r="I57" s="2388">
        <v>4.93</v>
      </c>
      <c r="J57" s="2388">
        <v>7.38</v>
      </c>
      <c r="K57" s="2388">
        <v>3.98</v>
      </c>
      <c r="L57" s="2389">
        <v>6.86</v>
      </c>
      <c r="N57" s="2386">
        <f t="shared" si="163"/>
        <v>4.9299999999999997E-2</v>
      </c>
      <c r="O57" s="2355">
        <f t="shared" si="163"/>
        <v>7.3800000000000004E-2</v>
      </c>
      <c r="P57" s="2355">
        <f t="shared" si="163"/>
        <v>3.9800000000000002E-2</v>
      </c>
      <c r="Q57" s="2355">
        <f t="shared" si="163"/>
        <v>6.8600000000000008E-2</v>
      </c>
      <c r="R57" s="2382"/>
      <c r="S57" s="2386"/>
      <c r="T57" s="2355"/>
      <c r="U57" s="2355"/>
      <c r="V57" s="2355"/>
    </row>
    <row r="58" spans="1:26" s="2427" customFormat="1" ht="13.5" thickBot="1">
      <c r="A58" s="2368" t="s">
        <v>1061</v>
      </c>
      <c r="B58" s="2424">
        <f t="shared" si="179"/>
        <v>196.62341248059772</v>
      </c>
      <c r="C58" s="2424">
        <f t="shared" si="179"/>
        <v>170.99125648199012</v>
      </c>
      <c r="D58" s="2424">
        <f t="shared" si="161"/>
        <v>170.99125648199012</v>
      </c>
      <c r="E58" s="2424">
        <f t="shared" si="180"/>
        <v>266.07857570490052</v>
      </c>
      <c r="F58" s="2424">
        <f t="shared" si="180"/>
        <v>154.53499328828505</v>
      </c>
      <c r="G58" s="4272">
        <v>2008</v>
      </c>
      <c r="H58" s="2425">
        <v>1</v>
      </c>
      <c r="I58" s="2425">
        <v>4.1399999999999997</v>
      </c>
      <c r="J58" s="2425">
        <v>3.45</v>
      </c>
      <c r="K58" s="2425">
        <v>4.95</v>
      </c>
      <c r="L58" s="2426">
        <v>4.82</v>
      </c>
      <c r="N58" s="2428">
        <f t="shared" si="163"/>
        <v>4.1399999999999999E-2</v>
      </c>
      <c r="O58" s="2429">
        <f t="shared" si="163"/>
        <v>3.4500000000000003E-2</v>
      </c>
      <c r="P58" s="2429">
        <f t="shared" si="163"/>
        <v>4.9500000000000002E-2</v>
      </c>
      <c r="Q58" s="2429">
        <f t="shared" si="163"/>
        <v>4.82E-2</v>
      </c>
      <c r="R58" s="2430"/>
      <c r="S58" s="2428">
        <f>B58/B59-1</f>
        <v>4.5869215322328349E-2</v>
      </c>
      <c r="T58" s="2429">
        <f>C58/C59-1</f>
        <v>3.6310645345394743E-2</v>
      </c>
      <c r="U58" s="2429">
        <f>E58/E59-1</f>
        <v>4.7553447657088688E-2</v>
      </c>
      <c r="V58" s="2429">
        <f>F58/F59-1</f>
        <v>4.4155360055980086E-2</v>
      </c>
      <c r="X58" s="2429"/>
      <c r="Y58" s="2429"/>
      <c r="Z58" s="2429"/>
    </row>
    <row r="59" spans="1:26" ht="13.5" thickBot="1">
      <c r="A59" s="2368" t="s">
        <v>1062</v>
      </c>
      <c r="B59" s="2378">
        <v>188</v>
      </c>
      <c r="C59" s="2378">
        <v>165</v>
      </c>
      <c r="D59" s="2378">
        <f t="shared" si="161"/>
        <v>165</v>
      </c>
      <c r="E59" s="2378">
        <v>254</v>
      </c>
      <c r="F59" s="2379">
        <v>148</v>
      </c>
      <c r="G59" s="4270">
        <v>2007</v>
      </c>
      <c r="H59" s="2431">
        <v>4</v>
      </c>
      <c r="I59" s="2431">
        <v>5.51</v>
      </c>
      <c r="J59" s="2431">
        <v>4.8899999999999997</v>
      </c>
      <c r="K59" s="2431">
        <v>6.43</v>
      </c>
      <c r="L59" s="2432">
        <v>5.36</v>
      </c>
      <c r="N59" s="2433">
        <f t="shared" ref="N59:O62" si="181">B59/B60-1</f>
        <v>4.1339718365245526E-2</v>
      </c>
      <c r="O59" s="2434">
        <f t="shared" si="181"/>
        <v>4.0324492593776018E-2</v>
      </c>
      <c r="P59" s="2434">
        <f t="shared" ref="P59:Q62" si="182">E59/E60-1</f>
        <v>6.1625555347990968E-2</v>
      </c>
      <c r="Q59" s="2434">
        <f t="shared" si="182"/>
        <v>4.6757569250590603E-2</v>
      </c>
      <c r="R59" s="2382"/>
      <c r="S59" s="2383"/>
      <c r="T59" s="2384"/>
      <c r="U59" s="2384"/>
      <c r="V59" s="2384"/>
      <c r="X59" s="2384"/>
      <c r="Y59" s="2384"/>
      <c r="Z59" s="2384"/>
    </row>
    <row r="60" spans="1:26">
      <c r="A60" s="2368" t="s">
        <v>1063</v>
      </c>
      <c r="B60" s="2385">
        <f t="shared" ref="B60:C62" si="183">B61+(B$59-B$63)*I60/SUM(I$59:I$62)</f>
        <v>180.5366651097618</v>
      </c>
      <c r="C60" s="2385">
        <f t="shared" si="183"/>
        <v>158.60435967302453</v>
      </c>
      <c r="D60" s="2385">
        <f t="shared" si="161"/>
        <v>158.60435967302453</v>
      </c>
      <c r="E60" s="2385">
        <f t="shared" ref="E60:F62" si="184">E61+(E$59-E$63)*K60/SUM(K$59:K$62)</f>
        <v>239.25573260785075</v>
      </c>
      <c r="F60" s="2385">
        <f t="shared" si="184"/>
        <v>141.38899430740037</v>
      </c>
      <c r="G60" s="4271">
        <v>2007</v>
      </c>
      <c r="H60" s="2398">
        <v>3</v>
      </c>
      <c r="I60" s="2398">
        <v>8.65</v>
      </c>
      <c r="J60" s="2398">
        <v>8.06</v>
      </c>
      <c r="K60" s="2398">
        <v>9.94</v>
      </c>
      <c r="L60" s="2399">
        <v>5.8</v>
      </c>
      <c r="N60" s="2433">
        <f t="shared" si="181"/>
        <v>6.940217571740015E-2</v>
      </c>
      <c r="O60" s="2434">
        <f t="shared" si="181"/>
        <v>7.1197482471153428E-2</v>
      </c>
      <c r="P60" s="2434">
        <f t="shared" si="182"/>
        <v>0.10529679922579582</v>
      </c>
      <c r="Q60" s="2434">
        <f t="shared" si="182"/>
        <v>5.3292245059512133E-2</v>
      </c>
      <c r="R60" s="2382"/>
      <c r="S60" s="2386"/>
      <c r="T60" s="2355"/>
      <c r="U60" s="2355"/>
      <c r="V60" s="2355"/>
      <c r="X60" s="2435"/>
      <c r="Y60" s="2435"/>
      <c r="Z60" s="2435"/>
    </row>
    <row r="61" spans="1:26">
      <c r="A61" s="2368" t="s">
        <v>1064</v>
      </c>
      <c r="B61" s="2385">
        <f t="shared" si="183"/>
        <v>168.82017748715555</v>
      </c>
      <c r="C61" s="2385">
        <f t="shared" si="183"/>
        <v>148.06267029972753</v>
      </c>
      <c r="D61" s="2385">
        <f t="shared" si="161"/>
        <v>148.06267029972753</v>
      </c>
      <c r="E61" s="2385">
        <f t="shared" si="184"/>
        <v>216.46288379323747</v>
      </c>
      <c r="F61" s="2385">
        <f t="shared" si="184"/>
        <v>134.23529411764704</v>
      </c>
      <c r="G61" s="4271">
        <v>2007</v>
      </c>
      <c r="H61" s="2388">
        <v>2</v>
      </c>
      <c r="I61" s="2388">
        <v>3.67</v>
      </c>
      <c r="J61" s="2388">
        <v>2.3199999999999998</v>
      </c>
      <c r="K61" s="2388">
        <v>5.0199999999999996</v>
      </c>
      <c r="L61" s="2389">
        <v>6.71</v>
      </c>
      <c r="N61" s="2433">
        <f t="shared" si="181"/>
        <v>3.0339138143848032E-2</v>
      </c>
      <c r="O61" s="2434">
        <f t="shared" si="181"/>
        <v>2.0922341588790472E-2</v>
      </c>
      <c r="P61" s="2434">
        <f t="shared" si="182"/>
        <v>5.6164796592717003E-2</v>
      </c>
      <c r="Q61" s="2434">
        <f t="shared" si="182"/>
        <v>6.5704536723887319E-2</v>
      </c>
      <c r="R61" s="2382"/>
      <c r="S61" s="2386"/>
      <c r="T61" s="2355"/>
      <c r="U61" s="2355"/>
      <c r="V61" s="2355"/>
      <c r="X61" s="2435"/>
      <c r="Y61" s="2435"/>
      <c r="Z61" s="2435"/>
    </row>
    <row r="62" spans="1:26">
      <c r="A62" s="2368" t="s">
        <v>1065</v>
      </c>
      <c r="B62" s="2385">
        <f t="shared" si="183"/>
        <v>163.84913591779542</v>
      </c>
      <c r="C62" s="2385">
        <f t="shared" si="183"/>
        <v>145.0283378746594</v>
      </c>
      <c r="D62" s="2385">
        <f t="shared" si="161"/>
        <v>145.0283378746594</v>
      </c>
      <c r="E62" s="2385">
        <f t="shared" si="184"/>
        <v>204.95180722891567</v>
      </c>
      <c r="F62" s="2385">
        <f t="shared" si="184"/>
        <v>125.95920303605313</v>
      </c>
      <c r="G62" s="4272">
        <v>2007</v>
      </c>
      <c r="H62" s="2370">
        <v>1</v>
      </c>
      <c r="I62" s="2370">
        <v>3.58</v>
      </c>
      <c r="J62" s="2370">
        <v>3.08</v>
      </c>
      <c r="K62" s="2370">
        <v>4.34</v>
      </c>
      <c r="L62" s="2371">
        <v>3.21</v>
      </c>
      <c r="N62" s="2436">
        <f t="shared" si="181"/>
        <v>3.0497710174814063E-2</v>
      </c>
      <c r="O62" s="2437">
        <f t="shared" si="181"/>
        <v>2.8569772160704998E-2</v>
      </c>
      <c r="P62" s="2437">
        <f t="shared" si="182"/>
        <v>5.1034908866234296E-2</v>
      </c>
      <c r="Q62" s="2437">
        <f t="shared" si="182"/>
        <v>3.245248390207478E-2</v>
      </c>
      <c r="R62" s="2382"/>
      <c r="S62" s="2390">
        <f>B62/B63-1</f>
        <v>3.0497710174814063E-2</v>
      </c>
      <c r="T62" s="2391">
        <f>C62/C63-1</f>
        <v>2.8569772160704998E-2</v>
      </c>
      <c r="U62" s="2391">
        <f>E62/E63-1</f>
        <v>5.1034908866234296E-2</v>
      </c>
      <c r="V62" s="2391">
        <f>F62/F63-1</f>
        <v>3.245248390207478E-2</v>
      </c>
      <c r="X62" s="2435"/>
      <c r="Y62" s="2435"/>
      <c r="Z62" s="2435"/>
    </row>
    <row r="63" spans="1:26" ht="13.5" thickBot="1">
      <c r="A63" s="2368" t="s">
        <v>1066</v>
      </c>
      <c r="B63" s="2400">
        <v>159</v>
      </c>
      <c r="C63" s="2400">
        <v>141</v>
      </c>
      <c r="D63" s="2400">
        <f t="shared" si="161"/>
        <v>141</v>
      </c>
      <c r="E63" s="2400">
        <v>195</v>
      </c>
      <c r="F63" s="2401">
        <v>122</v>
      </c>
      <c r="G63" s="4270">
        <v>2006</v>
      </c>
      <c r="H63" s="2395">
        <v>4</v>
      </c>
      <c r="I63" s="2395">
        <v>3.79</v>
      </c>
      <c r="J63" s="2395">
        <v>2.21</v>
      </c>
      <c r="K63" s="2395">
        <v>5.65</v>
      </c>
      <c r="L63" s="2396">
        <v>5.41</v>
      </c>
      <c r="N63" s="2433">
        <f t="shared" ref="N63:O66" si="185">I63/SUM(I$63:I$66)*(B$63/B$67-1)</f>
        <v>7.245466462748526E-2</v>
      </c>
      <c r="O63" s="2434">
        <f t="shared" si="185"/>
        <v>2.3237230038062766E-2</v>
      </c>
      <c r="P63" s="2434">
        <f t="shared" ref="P63:Q66" si="186">K63/SUM(K$63:K$66)*(E$63/E$67-1)</f>
        <v>0.16146893866323722</v>
      </c>
      <c r="Q63" s="2434">
        <f t="shared" si="186"/>
        <v>5.0755230321793784E-2</v>
      </c>
      <c r="R63" s="2382"/>
      <c r="S63" s="2383"/>
      <c r="T63" s="2384"/>
      <c r="U63" s="2384"/>
      <c r="V63" s="2384"/>
      <c r="X63" s="2435"/>
      <c r="Y63" s="2435"/>
      <c r="Z63" s="2435"/>
    </row>
    <row r="64" spans="1:26">
      <c r="A64" s="2368" t="s">
        <v>1067</v>
      </c>
      <c r="B64" s="2385">
        <f t="shared" ref="B64:C66" si="187">B65+(B$63-B$67)*I64/SUM(I$63:I$66)</f>
        <v>149.00125628140702</v>
      </c>
      <c r="C64" s="2385">
        <f t="shared" si="187"/>
        <v>137.95592286501378</v>
      </c>
      <c r="D64" s="2385">
        <f t="shared" si="161"/>
        <v>137.95592286501378</v>
      </c>
      <c r="E64" s="2385">
        <f t="shared" ref="E64:F66" si="188">E65+(E$63-E$67)*K64/SUM(K$63:K$66)</f>
        <v>169.97231450719823</v>
      </c>
      <c r="F64" s="2385">
        <f t="shared" si="188"/>
        <v>116.21390374331551</v>
      </c>
      <c r="G64" s="4271">
        <v>2006</v>
      </c>
      <c r="H64" s="2398">
        <v>3</v>
      </c>
      <c r="I64" s="2398">
        <v>0.92</v>
      </c>
      <c r="J64" s="2398">
        <v>1.08</v>
      </c>
      <c r="K64" s="2398">
        <v>0.73</v>
      </c>
      <c r="L64" s="2399">
        <v>1.08</v>
      </c>
      <c r="N64" s="2433">
        <f t="shared" si="185"/>
        <v>1.7587939698492462E-2</v>
      </c>
      <c r="O64" s="2434">
        <f t="shared" si="185"/>
        <v>1.1355750425840628E-2</v>
      </c>
      <c r="P64" s="2434">
        <f t="shared" si="186"/>
        <v>2.0862358446754544E-2</v>
      </c>
      <c r="Q64" s="2434">
        <f t="shared" si="186"/>
        <v>1.0132282578103011E-2</v>
      </c>
      <c r="R64" s="2382"/>
      <c r="S64" s="2386"/>
      <c r="T64" s="2355"/>
      <c r="U64" s="2355"/>
      <c r="V64" s="2355"/>
      <c r="X64" s="2435"/>
      <c r="Y64" s="2435"/>
      <c r="Z64" s="2435"/>
    </row>
    <row r="65" spans="1:26">
      <c r="A65" s="2368" t="s">
        <v>1068</v>
      </c>
      <c r="B65" s="2385">
        <f t="shared" si="187"/>
        <v>146.57412060301507</v>
      </c>
      <c r="C65" s="2385">
        <f t="shared" si="187"/>
        <v>136.46831955922866</v>
      </c>
      <c r="D65" s="2385">
        <f t="shared" si="161"/>
        <v>136.46831955922866</v>
      </c>
      <c r="E65" s="2385">
        <f t="shared" si="188"/>
        <v>166.73864894795128</v>
      </c>
      <c r="F65" s="2385">
        <f t="shared" si="188"/>
        <v>115.05882352941177</v>
      </c>
      <c r="G65" s="4271">
        <v>2006</v>
      </c>
      <c r="H65" s="2388">
        <v>2</v>
      </c>
      <c r="I65" s="2388">
        <v>0.96</v>
      </c>
      <c r="J65" s="2388">
        <v>0.25</v>
      </c>
      <c r="K65" s="2388">
        <v>1.9</v>
      </c>
      <c r="L65" s="2389">
        <v>0.95</v>
      </c>
      <c r="N65" s="2433">
        <f t="shared" si="185"/>
        <v>1.8352632728861701E-2</v>
      </c>
      <c r="O65" s="2434">
        <f t="shared" si="185"/>
        <v>2.6286459319075526E-3</v>
      </c>
      <c r="P65" s="2434">
        <f t="shared" si="186"/>
        <v>5.4299289107991269E-2</v>
      </c>
      <c r="Q65" s="2434">
        <f t="shared" si="186"/>
        <v>8.9126559714794995E-3</v>
      </c>
      <c r="R65" s="2382"/>
      <c r="S65" s="2386"/>
      <c r="T65" s="2355"/>
      <c r="U65" s="2355"/>
      <c r="V65" s="2355"/>
      <c r="X65" s="2435"/>
      <c r="Y65" s="2435"/>
      <c r="Z65" s="2435"/>
    </row>
    <row r="66" spans="1:26">
      <c r="A66" s="2368" t="s">
        <v>1069</v>
      </c>
      <c r="B66" s="2385">
        <f t="shared" si="187"/>
        <v>144.04145728643215</v>
      </c>
      <c r="C66" s="2385">
        <f t="shared" si="187"/>
        <v>136.12396694214877</v>
      </c>
      <c r="D66" s="2385">
        <f t="shared" si="161"/>
        <v>136.12396694214877</v>
      </c>
      <c r="E66" s="2385">
        <f t="shared" si="188"/>
        <v>158.32225913621264</v>
      </c>
      <c r="F66" s="2385">
        <f t="shared" si="188"/>
        <v>114.04278074866311</v>
      </c>
      <c r="G66" s="4272">
        <v>2006</v>
      </c>
      <c r="H66" s="2370">
        <v>1</v>
      </c>
      <c r="I66" s="2370">
        <v>2.29</v>
      </c>
      <c r="J66" s="2370">
        <v>3.72</v>
      </c>
      <c r="K66" s="2370">
        <v>0.75</v>
      </c>
      <c r="L66" s="2371">
        <v>0.04</v>
      </c>
      <c r="N66" s="2436">
        <f t="shared" si="185"/>
        <v>4.3778675988638847E-2</v>
      </c>
      <c r="O66" s="2437">
        <f t="shared" si="185"/>
        <v>3.9114251466784385E-2</v>
      </c>
      <c r="P66" s="2437">
        <f t="shared" si="186"/>
        <v>2.1433929911049188E-2</v>
      </c>
      <c r="Q66" s="2437">
        <f t="shared" si="186"/>
        <v>3.7526972511492629E-4</v>
      </c>
      <c r="R66" s="2382"/>
      <c r="S66" s="2390">
        <f>B66/B67-1</f>
        <v>4.3778675988638716E-2</v>
      </c>
      <c r="T66" s="2391">
        <f>C66/C67-1</f>
        <v>3.91142514667846E-2</v>
      </c>
      <c r="U66" s="2391">
        <f>E66/E67-1</f>
        <v>2.143392991104931E-2</v>
      </c>
      <c r="V66" s="2391">
        <f>F66/F67-1</f>
        <v>3.7526972511492396E-4</v>
      </c>
      <c r="X66" s="2435"/>
      <c r="Y66" s="2435"/>
      <c r="Z66" s="2435"/>
    </row>
    <row r="67" spans="1:26" ht="13.5" thickBot="1">
      <c r="A67" s="2368" t="s">
        <v>1070</v>
      </c>
      <c r="B67" s="2400">
        <v>138</v>
      </c>
      <c r="C67" s="2400">
        <v>131</v>
      </c>
      <c r="D67" s="2400">
        <f t="shared" si="161"/>
        <v>131</v>
      </c>
      <c r="E67" s="2400">
        <v>155</v>
      </c>
      <c r="F67" s="2401">
        <v>114</v>
      </c>
      <c r="G67" s="4270">
        <v>2005</v>
      </c>
      <c r="H67" s="2395">
        <v>4</v>
      </c>
      <c r="I67" s="2395">
        <v>3.29</v>
      </c>
      <c r="J67" s="2395">
        <v>1.44</v>
      </c>
      <c r="K67" s="2395">
        <v>0.66</v>
      </c>
      <c r="L67" s="2396">
        <v>7.78</v>
      </c>
      <c r="N67" s="2433">
        <f t="shared" ref="N67:O70" si="189">I67/SUM(I$67:I$70)*(B$67/B$71-1)</f>
        <v>9.9404603216919935E-2</v>
      </c>
      <c r="O67" s="2434">
        <f t="shared" si="189"/>
        <v>4.7636550760861554E-2</v>
      </c>
      <c r="P67" s="2434">
        <f t="shared" ref="P67:Q70" si="190">K67/SUM(K$67:K$70)*(E$67/E$71-1)</f>
        <v>8.3756345177664976E-2</v>
      </c>
      <c r="Q67" s="2434">
        <f t="shared" si="190"/>
        <v>5.2148766661559584E-2</v>
      </c>
      <c r="R67" s="2382"/>
      <c r="S67" s="2383"/>
      <c r="T67" s="2384"/>
      <c r="U67" s="2384"/>
      <c r="V67" s="2384"/>
      <c r="X67" s="2435"/>
      <c r="Y67" s="2435"/>
      <c r="Z67" s="2435"/>
    </row>
    <row r="68" spans="1:26">
      <c r="A68" s="2368" t="s">
        <v>1071</v>
      </c>
      <c r="B68" s="2385">
        <f t="shared" ref="B68:C70" si="191">B69+(B$67-B$71)*I68/SUM(I$67:I$70)</f>
        <v>125.9720430107527</v>
      </c>
      <c r="C68" s="2385">
        <f t="shared" si="191"/>
        <v>125.1883408071749</v>
      </c>
      <c r="D68" s="2385">
        <f t="shared" si="161"/>
        <v>125.1883408071749</v>
      </c>
      <c r="E68" s="2385">
        <f t="shared" ref="E68:F70" si="192">E69+(E$67-E$71)*K68/SUM(K$67:K$70)</f>
        <v>144.61421319796952</v>
      </c>
      <c r="F68" s="2385">
        <f t="shared" si="192"/>
        <v>108.42008196721311</v>
      </c>
      <c r="G68" s="4271">
        <v>2005</v>
      </c>
      <c r="H68" s="2398">
        <v>3</v>
      </c>
      <c r="I68" s="2398">
        <v>0.46</v>
      </c>
      <c r="J68" s="2398">
        <v>0.32</v>
      </c>
      <c r="K68" s="2398">
        <v>0.42</v>
      </c>
      <c r="L68" s="2399">
        <v>0.64</v>
      </c>
      <c r="N68" s="2433">
        <f t="shared" si="189"/>
        <v>1.3898515951301874E-2</v>
      </c>
      <c r="O68" s="2434">
        <f t="shared" si="189"/>
        <v>1.0585900169080346E-2</v>
      </c>
      <c r="P68" s="2434">
        <f t="shared" si="190"/>
        <v>5.3299492385786795E-2</v>
      </c>
      <c r="Q68" s="2434">
        <f t="shared" si="190"/>
        <v>4.2898728359123568E-3</v>
      </c>
      <c r="R68" s="2382"/>
      <c r="S68" s="2386"/>
      <c r="T68" s="2355"/>
      <c r="U68" s="2355"/>
      <c r="V68" s="2355"/>
      <c r="X68" s="2435"/>
      <c r="Y68" s="2435"/>
      <c r="Z68" s="2435"/>
    </row>
    <row r="69" spans="1:26">
      <c r="A69" s="2368" t="s">
        <v>1072</v>
      </c>
      <c r="B69" s="2385">
        <f t="shared" si="191"/>
        <v>124.29032258064517</v>
      </c>
      <c r="C69" s="2385">
        <f t="shared" si="191"/>
        <v>123.8968609865471</v>
      </c>
      <c r="D69" s="2385">
        <f t="shared" si="161"/>
        <v>123.8968609865471</v>
      </c>
      <c r="E69" s="2385">
        <f t="shared" si="192"/>
        <v>138.00507614213197</v>
      </c>
      <c r="F69" s="2385">
        <f t="shared" si="192"/>
        <v>107.96106557377048</v>
      </c>
      <c r="G69" s="4271">
        <v>2005</v>
      </c>
      <c r="H69" s="2388">
        <v>2</v>
      </c>
      <c r="I69" s="2388">
        <v>0.47</v>
      </c>
      <c r="J69" s="2388">
        <v>0.1</v>
      </c>
      <c r="K69" s="2388">
        <v>0.52</v>
      </c>
      <c r="L69" s="2389">
        <v>0.79</v>
      </c>
      <c r="N69" s="2433">
        <f t="shared" si="189"/>
        <v>1.420065760241713E-2</v>
      </c>
      <c r="O69" s="2434">
        <f t="shared" si="189"/>
        <v>3.3080938028376083E-3</v>
      </c>
      <c r="P69" s="2434">
        <f t="shared" si="190"/>
        <v>6.598984771573603E-2</v>
      </c>
      <c r="Q69" s="2434">
        <f t="shared" si="190"/>
        <v>5.2953117818293153E-3</v>
      </c>
      <c r="R69" s="2382"/>
      <c r="S69" s="2386"/>
      <c r="T69" s="2355"/>
      <c r="U69" s="2355"/>
      <c r="V69" s="2355"/>
      <c r="X69" s="2435"/>
      <c r="Y69" s="2435"/>
      <c r="Z69" s="2435"/>
    </row>
    <row r="70" spans="1:26">
      <c r="A70" s="2368" t="s">
        <v>1073</v>
      </c>
      <c r="B70" s="2385">
        <f t="shared" si="191"/>
        <v>122.57204301075269</v>
      </c>
      <c r="C70" s="2385">
        <f t="shared" si="191"/>
        <v>123.4932735426009</v>
      </c>
      <c r="D70" s="2385">
        <f t="shared" si="161"/>
        <v>123.4932735426009</v>
      </c>
      <c r="E70" s="2385">
        <f t="shared" si="192"/>
        <v>129.82233502538071</v>
      </c>
      <c r="F70" s="2385">
        <f t="shared" si="192"/>
        <v>107.39446721311475</v>
      </c>
      <c r="G70" s="4272">
        <v>2005</v>
      </c>
      <c r="H70" s="2370">
        <v>1</v>
      </c>
      <c r="I70" s="2370">
        <v>0.43</v>
      </c>
      <c r="J70" s="2370">
        <v>0.37</v>
      </c>
      <c r="K70" s="2370">
        <v>0.37</v>
      </c>
      <c r="L70" s="2371">
        <v>0.55000000000000004</v>
      </c>
      <c r="N70" s="2436">
        <f t="shared" si="189"/>
        <v>1.2992090997956099E-2</v>
      </c>
      <c r="O70" s="2437">
        <f t="shared" si="189"/>
        <v>1.2239947070499151E-2</v>
      </c>
      <c r="P70" s="2437">
        <f t="shared" si="190"/>
        <v>4.6954314720812178E-2</v>
      </c>
      <c r="Q70" s="2437">
        <f t="shared" si="190"/>
        <v>3.6866094683621815E-3</v>
      </c>
      <c r="R70" s="2382"/>
      <c r="S70" s="2390">
        <f>B70/B71-1</f>
        <v>1.2992090997956174E-2</v>
      </c>
      <c r="T70" s="2391">
        <f>C70/C71-1</f>
        <v>1.2239947070499246E-2</v>
      </c>
      <c r="U70" s="2391">
        <f>E70/E71-1</f>
        <v>4.695431472081224E-2</v>
      </c>
      <c r="V70" s="2391">
        <f>F70/F71-1</f>
        <v>3.6866094683620787E-3</v>
      </c>
      <c r="X70" s="2435"/>
      <c r="Y70" s="2435"/>
      <c r="Z70" s="2435"/>
    </row>
    <row r="71" spans="1:26" ht="13.5" thickBot="1">
      <c r="A71" s="2368" t="s">
        <v>1074</v>
      </c>
      <c r="B71" s="2421">
        <v>121</v>
      </c>
      <c r="C71" s="2421">
        <v>122</v>
      </c>
      <c r="D71" s="2421">
        <f t="shared" si="161"/>
        <v>122</v>
      </c>
      <c r="E71" s="2421">
        <v>124</v>
      </c>
      <c r="F71" s="2422">
        <v>107</v>
      </c>
      <c r="G71" s="4270">
        <v>2004</v>
      </c>
      <c r="H71" s="2395">
        <v>4</v>
      </c>
      <c r="I71" s="2395">
        <v>0.33</v>
      </c>
      <c r="J71" s="2395">
        <v>0.5</v>
      </c>
      <c r="K71" s="2395">
        <v>0.5</v>
      </c>
      <c r="L71" s="2396">
        <v>0</v>
      </c>
      <c r="N71" s="2433">
        <f t="shared" ref="N71:O74" si="193">I71/SUM(I$71:I$74)*(B$71/B$75-1)</f>
        <v>1.3391770148526898E-2</v>
      </c>
      <c r="O71" s="2434">
        <f t="shared" si="193"/>
        <v>1.063264221158958E-2</v>
      </c>
      <c r="P71" s="2434">
        <f t="shared" ref="P71:Q74" si="194">K71/SUM(K$71:K$74)*(E$71/E$75-1)</f>
        <v>2.2244466688911134E-2</v>
      </c>
      <c r="Q71" s="2434">
        <f t="shared" si="194"/>
        <v>0</v>
      </c>
      <c r="R71" s="2382"/>
      <c r="S71" s="2383"/>
      <c r="T71" s="2384"/>
      <c r="U71" s="2384"/>
      <c r="V71" s="2384"/>
      <c r="X71" s="2435"/>
      <c r="Y71" s="2435"/>
      <c r="Z71" s="2435"/>
    </row>
    <row r="72" spans="1:26">
      <c r="A72" s="2368" t="s">
        <v>1075</v>
      </c>
      <c r="B72" s="2385">
        <f t="shared" ref="B72:C74" si="195">B73+(B$71-B$75)*I72/SUM(I$71:I$74)</f>
        <v>119.51351351351352</v>
      </c>
      <c r="C72" s="2385">
        <f t="shared" si="195"/>
        <v>120.7878787878788</v>
      </c>
      <c r="D72" s="2385">
        <f t="shared" si="161"/>
        <v>120.7878787878788</v>
      </c>
      <c r="E72" s="2385">
        <f t="shared" ref="E72:F74" si="196">E73+(E$71-E$75)*K72/SUM(K$71:K$74)</f>
        <v>121.5975975975976</v>
      </c>
      <c r="F72" s="2385">
        <f t="shared" si="196"/>
        <v>107</v>
      </c>
      <c r="G72" s="4271">
        <v>2004</v>
      </c>
      <c r="H72" s="2398">
        <v>3</v>
      </c>
      <c r="I72" s="2398">
        <v>0.56000000000000005</v>
      </c>
      <c r="J72" s="2398">
        <v>0.8</v>
      </c>
      <c r="K72" s="2398">
        <v>0.83</v>
      </c>
      <c r="L72" s="2399">
        <v>0.06</v>
      </c>
      <c r="N72" s="2433">
        <f t="shared" si="193"/>
        <v>2.2725428130833527E-2</v>
      </c>
      <c r="O72" s="2434">
        <f t="shared" si="193"/>
        <v>1.7012227538543329E-2</v>
      </c>
      <c r="P72" s="2434">
        <f t="shared" si="194"/>
        <v>3.6925814703592477E-2</v>
      </c>
      <c r="Q72" s="2434">
        <f t="shared" si="194"/>
        <v>2.8846153846153744E-2</v>
      </c>
      <c r="R72" s="2382"/>
      <c r="S72" s="2386"/>
      <c r="T72" s="2355"/>
      <c r="U72" s="2355"/>
      <c r="V72" s="2355"/>
      <c r="X72" s="2435"/>
      <c r="Y72" s="2435"/>
      <c r="Z72" s="2435"/>
    </row>
    <row r="73" spans="1:26">
      <c r="A73" s="2368" t="s">
        <v>1076</v>
      </c>
      <c r="B73" s="2385">
        <f t="shared" si="195"/>
        <v>116.99099099099099</v>
      </c>
      <c r="C73" s="2385">
        <f t="shared" si="195"/>
        <v>118.84848484848486</v>
      </c>
      <c r="D73" s="2385">
        <f t="shared" si="161"/>
        <v>118.84848484848486</v>
      </c>
      <c r="E73" s="2385">
        <f t="shared" si="196"/>
        <v>117.60960960960961</v>
      </c>
      <c r="F73" s="2385">
        <f t="shared" si="196"/>
        <v>104</v>
      </c>
      <c r="G73" s="4271">
        <v>2004</v>
      </c>
      <c r="H73" s="2388">
        <v>2</v>
      </c>
      <c r="I73" s="2388">
        <v>1</v>
      </c>
      <c r="J73" s="2388">
        <v>1.5</v>
      </c>
      <c r="K73" s="2388">
        <v>1.5</v>
      </c>
      <c r="L73" s="2389">
        <v>0</v>
      </c>
      <c r="N73" s="2433">
        <f t="shared" si="193"/>
        <v>4.0581121662202721E-2</v>
      </c>
      <c r="O73" s="2434">
        <f t="shared" si="193"/>
        <v>3.1897926634768738E-2</v>
      </c>
      <c r="P73" s="2434">
        <f t="shared" si="194"/>
        <v>6.6733400066733395E-2</v>
      </c>
      <c r="Q73" s="2434">
        <f t="shared" si="194"/>
        <v>0</v>
      </c>
      <c r="R73" s="2382"/>
      <c r="S73" s="2386"/>
      <c r="T73" s="2355"/>
      <c r="U73" s="2355"/>
      <c r="V73" s="2355"/>
      <c r="X73" s="2435"/>
      <c r="Y73" s="2435"/>
      <c r="Z73" s="2435"/>
    </row>
    <row r="74" spans="1:26" s="2427" customFormat="1" ht="13.5" thickBot="1">
      <c r="A74" s="2368" t="s">
        <v>1077</v>
      </c>
      <c r="B74" s="2424">
        <f t="shared" si="195"/>
        <v>112.48648648648648</v>
      </c>
      <c r="C74" s="2424">
        <f t="shared" si="195"/>
        <v>115.21212121212122</v>
      </c>
      <c r="D74" s="2424">
        <f t="shared" si="161"/>
        <v>115.21212121212122</v>
      </c>
      <c r="E74" s="2424">
        <f t="shared" si="196"/>
        <v>110.4024024024024</v>
      </c>
      <c r="F74" s="2424">
        <f t="shared" si="196"/>
        <v>104</v>
      </c>
      <c r="G74" s="4272">
        <v>2004</v>
      </c>
      <c r="H74" s="2425">
        <v>1</v>
      </c>
      <c r="I74" s="2425">
        <v>0.33</v>
      </c>
      <c r="J74" s="2425">
        <v>0.5</v>
      </c>
      <c r="K74" s="2425">
        <v>0.5</v>
      </c>
      <c r="L74" s="2426">
        <v>0</v>
      </c>
      <c r="N74" s="2438">
        <f t="shared" si="193"/>
        <v>1.3391770148526898E-2</v>
      </c>
      <c r="O74" s="2439">
        <f t="shared" si="193"/>
        <v>1.063264221158958E-2</v>
      </c>
      <c r="P74" s="2439">
        <f t="shared" si="194"/>
        <v>2.2244466688911134E-2</v>
      </c>
      <c r="Q74" s="2439">
        <f t="shared" si="194"/>
        <v>0</v>
      </c>
      <c r="R74" s="2430"/>
      <c r="S74" s="2428">
        <f>B74/B75-1</f>
        <v>1.3391770148526883E-2</v>
      </c>
      <c r="T74" s="2429">
        <f>C74/C75-1</f>
        <v>1.063264221158966E-2</v>
      </c>
      <c r="U74" s="2429">
        <f>E74/E75-1</f>
        <v>2.2244466688911224E-2</v>
      </c>
      <c r="V74" s="2429">
        <f>F74/F75-1</f>
        <v>0</v>
      </c>
      <c r="X74" s="2440"/>
      <c r="Y74" s="2440"/>
      <c r="Z74" s="2440"/>
    </row>
    <row r="75" spans="1:26" ht="13.5" thickBot="1">
      <c r="A75" s="2368" t="s">
        <v>1078</v>
      </c>
      <c r="B75" s="2441">
        <v>111</v>
      </c>
      <c r="C75" s="2441">
        <v>114</v>
      </c>
      <c r="D75" s="2441">
        <f t="shared" si="161"/>
        <v>114</v>
      </c>
      <c r="E75" s="2441">
        <v>108</v>
      </c>
      <c r="F75" s="2442">
        <v>104</v>
      </c>
      <c r="G75" s="4270">
        <v>2003</v>
      </c>
      <c r="H75" s="2431">
        <v>4</v>
      </c>
      <c r="I75" s="2443"/>
      <c r="J75" s="2443"/>
      <c r="K75" s="2443"/>
      <c r="L75" s="2443"/>
      <c r="N75" s="2444"/>
      <c r="O75" s="2443"/>
      <c r="P75" s="2443"/>
      <c r="Q75" s="2443"/>
      <c r="S75" s="2444"/>
      <c r="T75" s="2443"/>
      <c r="U75" s="2443"/>
      <c r="V75" s="2443"/>
      <c r="X75" s="2435"/>
      <c r="Y75" s="2435"/>
      <c r="Z75" s="2435"/>
    </row>
    <row r="76" spans="1:26">
      <c r="A76" s="2368" t="s">
        <v>1079</v>
      </c>
      <c r="B76" s="2445">
        <f t="shared" ref="B76:C78" si="197">B77+(B$75-B$79)/4</f>
        <v>109.75</v>
      </c>
      <c r="C76" s="2445">
        <f t="shared" si="197"/>
        <v>112.25</v>
      </c>
      <c r="D76" s="2445">
        <f t="shared" si="161"/>
        <v>112.25</v>
      </c>
      <c r="E76" s="2445">
        <f t="shared" ref="E76:F78" si="198">E77+(E$75-E$79)/4</f>
        <v>107.25</v>
      </c>
      <c r="F76" s="2445">
        <f t="shared" si="198"/>
        <v>103.5</v>
      </c>
      <c r="G76" s="4271">
        <v>2003</v>
      </c>
      <c r="H76" s="2398">
        <v>3</v>
      </c>
      <c r="I76" s="2443"/>
      <c r="J76" s="2443"/>
      <c r="K76" s="2443"/>
      <c r="L76" s="2443"/>
      <c r="X76" s="2435"/>
      <c r="Y76" s="2435"/>
      <c r="Z76" s="2435"/>
    </row>
    <row r="77" spans="1:26">
      <c r="A77" s="2368" t="s">
        <v>1080</v>
      </c>
      <c r="B77" s="2445">
        <f t="shared" si="197"/>
        <v>108.5</v>
      </c>
      <c r="C77" s="2445">
        <f t="shared" si="197"/>
        <v>110.5</v>
      </c>
      <c r="D77" s="2445">
        <f t="shared" si="161"/>
        <v>110.5</v>
      </c>
      <c r="E77" s="2445">
        <f t="shared" si="198"/>
        <v>106.5</v>
      </c>
      <c r="F77" s="2445">
        <f t="shared" si="198"/>
        <v>103</v>
      </c>
      <c r="G77" s="4271">
        <v>2003</v>
      </c>
      <c r="H77" s="2388">
        <v>2</v>
      </c>
      <c r="I77" s="2443"/>
      <c r="J77" s="2443"/>
      <c r="K77" s="2443"/>
      <c r="L77" s="2443"/>
      <c r="X77" s="2435"/>
      <c r="Y77" s="2435"/>
      <c r="Z77" s="2435"/>
    </row>
    <row r="78" spans="1:26" ht="13.5" thickBot="1">
      <c r="A78" s="2368" t="s">
        <v>1081</v>
      </c>
      <c r="B78" s="2445">
        <f t="shared" si="197"/>
        <v>107.25</v>
      </c>
      <c r="C78" s="2445">
        <f t="shared" si="197"/>
        <v>108.75</v>
      </c>
      <c r="D78" s="2445">
        <f t="shared" si="161"/>
        <v>108.75</v>
      </c>
      <c r="E78" s="2445">
        <f t="shared" si="198"/>
        <v>105.75</v>
      </c>
      <c r="F78" s="2445">
        <f t="shared" si="198"/>
        <v>102.5</v>
      </c>
      <c r="G78" s="4272">
        <v>2003</v>
      </c>
      <c r="H78" s="2446">
        <v>1</v>
      </c>
      <c r="I78" s="2443"/>
      <c r="J78" s="2443"/>
      <c r="K78" s="2443"/>
      <c r="L78" s="2443"/>
      <c r="S78" s="2386"/>
      <c r="T78" s="2355"/>
      <c r="U78" s="2355"/>
      <c r="X78" s="2435"/>
      <c r="Y78" s="2435"/>
      <c r="Z78" s="2435"/>
    </row>
    <row r="79" spans="1:26" ht="13.5" thickBot="1">
      <c r="A79" s="2368" t="s">
        <v>1082</v>
      </c>
      <c r="B79" s="2447">
        <v>106</v>
      </c>
      <c r="C79" s="2447">
        <v>107</v>
      </c>
      <c r="D79" s="2447">
        <f t="shared" si="161"/>
        <v>107</v>
      </c>
      <c r="E79" s="2447">
        <v>105</v>
      </c>
      <c r="F79" s="2448">
        <v>102</v>
      </c>
      <c r="G79" s="4270">
        <v>2002</v>
      </c>
      <c r="H79" s="2395">
        <v>4</v>
      </c>
      <c r="I79" s="2443"/>
      <c r="J79" s="2443"/>
      <c r="K79" s="2443"/>
      <c r="L79" s="2443"/>
      <c r="N79" s="2444"/>
      <c r="O79" s="2443"/>
      <c r="P79" s="2443"/>
      <c r="Q79" s="2443"/>
      <c r="S79" s="2444"/>
      <c r="T79" s="2443"/>
      <c r="U79" s="2443"/>
      <c r="V79" s="2443"/>
      <c r="X79" s="2435"/>
      <c r="Y79" s="2435"/>
      <c r="Z79" s="2435"/>
    </row>
    <row r="80" spans="1:26">
      <c r="A80" s="2368" t="s">
        <v>1083</v>
      </c>
      <c r="B80" s="2445">
        <f t="shared" ref="B80:C82" si="199">B81+(B$79-B$83)/4</f>
        <v>105</v>
      </c>
      <c r="C80" s="2445">
        <f t="shared" si="199"/>
        <v>106</v>
      </c>
      <c r="D80" s="2445">
        <f t="shared" si="161"/>
        <v>106</v>
      </c>
      <c r="E80" s="2445">
        <f t="shared" ref="E80:F82" si="200">E81+(E$79-E$83)/4</f>
        <v>104.5</v>
      </c>
      <c r="F80" s="2445">
        <f t="shared" si="200"/>
        <v>101.5</v>
      </c>
      <c r="G80" s="4271">
        <v>2002</v>
      </c>
      <c r="H80" s="2398">
        <v>3</v>
      </c>
      <c r="I80" s="2443"/>
      <c r="J80" s="2443"/>
      <c r="K80" s="2443"/>
      <c r="L80" s="2443"/>
      <c r="X80" s="2435"/>
      <c r="Y80" s="2435"/>
      <c r="Z80" s="2435"/>
    </row>
    <row r="81" spans="1:26">
      <c r="A81" s="2368" t="s">
        <v>1084</v>
      </c>
      <c r="B81" s="2445">
        <f t="shared" si="199"/>
        <v>104</v>
      </c>
      <c r="C81" s="2445">
        <f t="shared" si="199"/>
        <v>105</v>
      </c>
      <c r="D81" s="2445">
        <f t="shared" si="161"/>
        <v>105</v>
      </c>
      <c r="E81" s="2445">
        <f t="shared" si="200"/>
        <v>104</v>
      </c>
      <c r="F81" s="2445">
        <f t="shared" si="200"/>
        <v>101</v>
      </c>
      <c r="G81" s="4271">
        <v>2002</v>
      </c>
      <c r="H81" s="2388">
        <v>2</v>
      </c>
      <c r="I81" s="2443"/>
      <c r="J81" s="2443"/>
      <c r="K81" s="2443"/>
      <c r="L81" s="2443"/>
      <c r="X81" s="2435"/>
      <c r="Y81" s="2435"/>
      <c r="Z81" s="2435"/>
    </row>
    <row r="82" spans="1:26" s="2408" customFormat="1" ht="13.5" thickBot="1">
      <c r="A82" s="2404" t="s">
        <v>1085</v>
      </c>
      <c r="B82" s="2411">
        <f t="shared" si="199"/>
        <v>103</v>
      </c>
      <c r="C82" s="2411">
        <f t="shared" si="199"/>
        <v>104</v>
      </c>
      <c r="D82" s="2411">
        <f t="shared" si="161"/>
        <v>104</v>
      </c>
      <c r="E82" s="2411">
        <f t="shared" si="200"/>
        <v>103.5</v>
      </c>
      <c r="F82" s="2411">
        <f t="shared" si="200"/>
        <v>100.5</v>
      </c>
      <c r="G82" s="4272">
        <v>2002</v>
      </c>
      <c r="H82" s="2449">
        <v>1</v>
      </c>
      <c r="I82" s="2450"/>
      <c r="J82" s="2450"/>
      <c r="K82" s="2450"/>
      <c r="L82" s="2450"/>
      <c r="N82" s="2451"/>
      <c r="S82" s="2451"/>
      <c r="X82" s="2452"/>
      <c r="Y82" s="2452"/>
      <c r="Z82" s="2452"/>
    </row>
    <row r="83" spans="1:26" ht="13.5" thickBot="1">
      <c r="B83" s="2453">
        <v>102</v>
      </c>
      <c r="C83" s="2454">
        <v>103</v>
      </c>
      <c r="D83" s="2454">
        <f t="shared" si="161"/>
        <v>103</v>
      </c>
      <c r="E83" s="2454">
        <v>103</v>
      </c>
      <c r="F83" s="2455">
        <v>100</v>
      </c>
      <c r="I83" s="2443"/>
      <c r="J83" s="2443"/>
      <c r="K83" s="2443"/>
      <c r="L83" s="2443"/>
      <c r="N83" s="2444"/>
      <c r="O83" s="2443"/>
      <c r="P83" s="2443"/>
      <c r="Q83" s="2443"/>
      <c r="S83" s="2444"/>
      <c r="T83" s="2443"/>
      <c r="U83" s="2443"/>
      <c r="V83" s="2443"/>
      <c r="X83" s="2384"/>
      <c r="Y83" s="2384"/>
      <c r="Z83" s="2384"/>
    </row>
    <row r="85" spans="1:26" s="2457" customFormat="1">
      <c r="A85" s="2456" t="s">
        <v>1086</v>
      </c>
      <c r="G85" s="2458"/>
      <c r="N85" s="2458"/>
      <c r="S85" s="2458"/>
    </row>
    <row r="86" spans="1:26" s="2457" customFormat="1">
      <c r="A86" s="2457" t="s">
        <v>1087</v>
      </c>
      <c r="G86" s="2458"/>
      <c r="N86" s="2458"/>
      <c r="S86" s="2458"/>
    </row>
    <row r="87" spans="1:26" s="2457" customFormat="1">
      <c r="A87" s="2457" t="s">
        <v>1088</v>
      </c>
      <c r="G87" s="2458"/>
      <c r="I87" s="2459"/>
      <c r="J87" s="2459"/>
      <c r="K87" s="2459"/>
      <c r="L87" s="2459"/>
      <c r="N87" s="2460"/>
      <c r="O87" s="2459"/>
      <c r="P87" s="2459"/>
      <c r="Q87" s="2459"/>
      <c r="S87" s="2460"/>
      <c r="T87" s="2459"/>
      <c r="U87" s="2459"/>
      <c r="V87" s="2459"/>
    </row>
    <row r="88" spans="1:26" s="2457" customFormat="1">
      <c r="A88" s="2457" t="s">
        <v>1089</v>
      </c>
      <c r="G88" s="2458"/>
      <c r="N88" s="2458"/>
      <c r="S88" s="2458"/>
    </row>
    <row r="95" spans="1:26" ht="13.5" thickBot="1"/>
    <row r="96" spans="1:26">
      <c r="G96" s="2354"/>
      <c r="S96" s="2461" t="s">
        <v>1090</v>
      </c>
      <c r="T96" s="2462" t="s">
        <v>1091</v>
      </c>
      <c r="U96" s="2462" t="s">
        <v>1092</v>
      </c>
      <c r="V96" s="2462" t="s">
        <v>1093</v>
      </c>
    </row>
    <row r="97" spans="7:22">
      <c r="G97" s="2354"/>
      <c r="N97" s="2383"/>
      <c r="O97" s="2384"/>
      <c r="P97" s="2384"/>
      <c r="Q97" s="2384"/>
      <c r="S97" s="2463">
        <v>2006</v>
      </c>
      <c r="T97" s="2464">
        <v>15.1</v>
      </c>
      <c r="U97" s="2464">
        <v>7.43</v>
      </c>
      <c r="V97" s="2464">
        <v>26.26</v>
      </c>
    </row>
    <row r="98" spans="7:22">
      <c r="G98" s="2354"/>
      <c r="N98" s="2383"/>
      <c r="O98" s="2384"/>
      <c r="P98" s="2384"/>
      <c r="Q98" s="2384"/>
      <c r="S98" s="2465">
        <v>2005</v>
      </c>
      <c r="T98" s="2466">
        <v>13.9</v>
      </c>
      <c r="U98" s="2466">
        <v>7.49</v>
      </c>
      <c r="V98" s="2466">
        <v>24.92</v>
      </c>
    </row>
    <row r="99" spans="7:22">
      <c r="G99" s="2354"/>
      <c r="N99" s="2383"/>
      <c r="O99" s="2384"/>
      <c r="P99" s="2384"/>
      <c r="Q99" s="2384"/>
      <c r="S99" s="2463">
        <v>2004</v>
      </c>
      <c r="T99" s="2464">
        <v>9.48</v>
      </c>
      <c r="U99" s="2464">
        <v>7.2</v>
      </c>
      <c r="V99" s="2464">
        <v>14.68</v>
      </c>
    </row>
    <row r="100" spans="7:22">
      <c r="G100" s="2354"/>
      <c r="N100" s="2383"/>
      <c r="O100" s="2384"/>
      <c r="P100" s="2384"/>
      <c r="Q100" s="2384"/>
      <c r="S100" s="2465">
        <v>2003</v>
      </c>
      <c r="T100" s="2466">
        <v>4.5</v>
      </c>
      <c r="U100" s="2466">
        <v>6.12</v>
      </c>
      <c r="V100" s="2466">
        <v>2.34</v>
      </c>
    </row>
    <row r="101" spans="7:22" ht="13.5" thickBot="1">
      <c r="G101" s="2354"/>
      <c r="N101" s="2383"/>
      <c r="O101" s="2384"/>
      <c r="P101" s="2384"/>
      <c r="Q101" s="2384"/>
      <c r="S101" s="2467">
        <v>2002</v>
      </c>
      <c r="T101" s="2468">
        <v>3.59</v>
      </c>
      <c r="U101" s="2468">
        <v>4.54</v>
      </c>
      <c r="V101" s="2468">
        <v>2.5499999999999998</v>
      </c>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A1:IW68"/>
  <sheetViews>
    <sheetView workbookViewId="0">
      <selection activeCell="H13" sqref="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42558</v>
      </c>
      <c r="D1" s="1293" t="s">
        <v>1173</v>
      </c>
      <c r="E1" s="1299">
        <f>'数据-取费表'!B24</f>
        <v>2</v>
      </c>
      <c r="F1" s="1293" t="s">
        <v>1174</v>
      </c>
      <c r="G1" s="1300">
        <f ca="1">INDIRECT("d"&amp;$K$1)/100</f>
        <v>4.7500000000000001E-2</v>
      </c>
      <c r="H1" s="1293" t="s">
        <v>1204</v>
      </c>
      <c r="I1" s="1300">
        <f ca="1">F4/100</f>
        <v>1.4999999999999999E-2</v>
      </c>
      <c r="J1" s="1294">
        <f>IF(C1&gt;C13,0,MATCH(C1,C$13:C$105,-1))+IF(SUMIF(C13:C105,C1,D13:D105)=0,13,12)</f>
        <v>18</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2879</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776" t="str">
        <f>IF(项目基本情况!D5="房地产市场价值","估价结果一览表","结果表-2")</f>
        <v>估价结果一览表</v>
      </c>
      <c r="B1" s="3776"/>
      <c r="C1" s="3776"/>
      <c r="D1" s="3776"/>
      <c r="E1" s="3776"/>
      <c r="F1" s="3776"/>
      <c r="G1" s="3776"/>
      <c r="H1" s="3776"/>
      <c r="I1" s="3776"/>
    </row>
    <row r="2" spans="1:9" ht="30" customHeight="1" thickTop="1">
      <c r="A2" s="3777" t="s">
        <v>1261</v>
      </c>
      <c r="B2" s="3777" t="s">
        <v>1262</v>
      </c>
      <c r="C2" s="3777" t="s">
        <v>1263</v>
      </c>
      <c r="D2" s="3777" t="str">
        <f>IF('数据-取费表'!E3="否",结果表!D119,'结果表 (1修多)'!D123)</f>
        <v>出让国有建设用地使用权价值</v>
      </c>
      <c r="E2" s="3777"/>
      <c r="F2" s="3777" t="s">
        <v>1264</v>
      </c>
      <c r="G2" s="3777"/>
      <c r="H2" s="3777" t="s">
        <v>1265</v>
      </c>
      <c r="I2" s="3777"/>
    </row>
    <row r="3" spans="1:9" ht="15">
      <c r="A3" s="3770"/>
      <c r="B3" s="3770"/>
      <c r="C3" s="3770"/>
      <c r="D3" s="818" t="s">
        <v>1266</v>
      </c>
      <c r="E3" s="818" t="s">
        <v>1267</v>
      </c>
      <c r="F3" s="818" t="s">
        <v>1266</v>
      </c>
      <c r="G3" s="818" t="s">
        <v>1268</v>
      </c>
      <c r="H3" s="818" t="s">
        <v>1266</v>
      </c>
      <c r="I3" s="818" t="s">
        <v>1268</v>
      </c>
    </row>
    <row r="4" spans="1:9" ht="46.5" customHeight="1">
      <c r="A4" s="818" t="str">
        <f>项目基本情况!I1</f>
        <v>北京市房地产</v>
      </c>
      <c r="B4" s="818">
        <f>结果表!B121</f>
        <v>459.68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770" t="s">
        <v>1269</v>
      </c>
      <c r="B5" s="3770"/>
      <c r="C5" s="3770"/>
      <c r="D5" s="3771" t="str">
        <f>IF('数据-取费表'!E3="否",结果表!D122,'结果表 (1修多)'!D126)</f>
        <v>零元整</v>
      </c>
      <c r="E5" s="3771"/>
      <c r="F5" s="3771" t="str">
        <f>IF('数据-取费表'!E3="否",结果表!F122,'结果表 (1修多)'!F126)</f>
        <v>零元整</v>
      </c>
      <c r="G5" s="3771"/>
      <c r="H5" s="3771" t="str">
        <f>IF('数据-取费表'!E3="否",结果表!H122,'结果表 (1修多)'!H126)</f>
        <v>零元整</v>
      </c>
      <c r="I5" s="3771"/>
    </row>
    <row r="6" spans="1:9" ht="15.75">
      <c r="A6" s="3772" t="str">
        <f>IF('数据-取费表'!E3="否",结果表!A123,'结果表 (1修多)'!A127)</f>
        <v>——</v>
      </c>
      <c r="B6" s="3772"/>
      <c r="C6" s="3772"/>
      <c r="D6" s="3772">
        <f>IF('数据-取费表'!E3="否",结果表!D123,'结果表 (1修多)'!D127)</f>
        <v>0</v>
      </c>
      <c r="E6" s="3772"/>
      <c r="F6" s="3772"/>
      <c r="G6" s="3772"/>
      <c r="H6" s="3772"/>
      <c r="I6" s="3772"/>
    </row>
    <row r="7" spans="1:9" ht="15">
      <c r="A7" s="3770" t="s">
        <v>1269</v>
      </c>
      <c r="B7" s="3770"/>
      <c r="C7" s="3770"/>
      <c r="D7" s="3778">
        <f>IF('数据-取费表'!E3="否",结果表!D124,'结果表 (1修多)'!D128)</f>
        <v>0</v>
      </c>
      <c r="E7" s="3779"/>
      <c r="F7" s="3779"/>
      <c r="G7" s="3779"/>
      <c r="H7" s="3779"/>
      <c r="I7" s="3780"/>
    </row>
    <row r="8" spans="1:9" ht="15.75">
      <c r="A8" s="3772" t="str">
        <f>IF('数据-取费表'!E3="否",结果表!A125,'结果表 (1修多)'!A129)</f>
        <v>——</v>
      </c>
      <c r="B8" s="3772"/>
      <c r="C8" s="3772"/>
      <c r="D8" s="3772">
        <f>IF('数据-取费表'!E3="否",结果表!D125,'结果表 (1修多)'!D129)</f>
        <v>0</v>
      </c>
      <c r="E8" s="3772"/>
      <c r="F8" s="3772"/>
      <c r="G8" s="3772"/>
      <c r="H8" s="3772"/>
      <c r="I8" s="3772"/>
    </row>
    <row r="9" spans="1:9" ht="15">
      <c r="A9" s="3770" t="s">
        <v>1269</v>
      </c>
      <c r="B9" s="3770"/>
      <c r="C9" s="3770"/>
      <c r="D9" s="3771" t="e">
        <f>IF('数据-取费表'!E3="否",结果表!D126,'结果表 (1修多)'!D130)</f>
        <v>#DIV/0!</v>
      </c>
      <c r="E9" s="3771"/>
      <c r="F9" s="3771"/>
      <c r="G9" s="3771"/>
      <c r="H9" s="3771"/>
      <c r="I9" s="3771"/>
    </row>
    <row r="10" spans="1:9" ht="15.75">
      <c r="A10" s="3772" t="str">
        <f>IF('数据-取费表'!E3="否",结果表!A127,'结果表 (1修多)'!A131)</f>
        <v>——</v>
      </c>
      <c r="B10" s="3772"/>
      <c r="C10" s="3772"/>
      <c r="D10" s="3772" t="e">
        <f>IF('数据-取费表'!E3="否",结果表!D127,'结果表 (1修多)'!D130)</f>
        <v>#DIV/0!</v>
      </c>
      <c r="E10" s="3772"/>
      <c r="F10" s="3772"/>
      <c r="G10" s="3772"/>
      <c r="H10" s="3772"/>
      <c r="I10" s="3772"/>
    </row>
    <row r="11" spans="1:9" ht="15">
      <c r="A11" s="3770" t="s">
        <v>1269</v>
      </c>
      <c r="B11" s="3770"/>
      <c r="C11" s="3770"/>
      <c r="D11" s="3771" t="str">
        <f>IF('数据-取费表'!E3="否",结果表!D128,'结果表 (1修多)'!D132)</f>
        <v>——</v>
      </c>
      <c r="E11" s="3771"/>
      <c r="F11" s="3771"/>
      <c r="G11" s="3771"/>
      <c r="H11" s="3771"/>
      <c r="I11" s="3771"/>
    </row>
    <row r="12" spans="1:9" ht="15.75">
      <c r="A12" s="3772" t="str">
        <f>IF('数据-取费表'!E3="否",结果表!A129,'结果表 (1修多)'!A133)</f>
        <v>——</v>
      </c>
      <c r="B12" s="3772"/>
      <c r="C12" s="3772"/>
      <c r="D12" s="3772" t="str">
        <f>IF('数据-取费表'!E3="否",结果表!D129,'结果表 (1修多)'!D133)</f>
        <v>——</v>
      </c>
      <c r="E12" s="3772"/>
      <c r="F12" s="3772"/>
      <c r="G12" s="3772"/>
      <c r="H12" s="3772"/>
      <c r="I12" s="3772"/>
    </row>
    <row r="13" spans="1:9" ht="15.75" thickBot="1">
      <c r="A13" s="3773" t="s">
        <v>1269</v>
      </c>
      <c r="B13" s="3773"/>
      <c r="C13" s="3773"/>
      <c r="D13" s="3774">
        <f>IF('数据-取费表'!E3="否",结果表!D130,'结果表 (1修多)'!D134)</f>
        <v>0</v>
      </c>
      <c r="E13" s="3774"/>
      <c r="F13" s="3774"/>
      <c r="G13" s="3774"/>
      <c r="H13" s="3774"/>
      <c r="I13" s="3774"/>
    </row>
    <row r="14" spans="1:9" ht="15" thickTop="1">
      <c r="A14" s="3775" t="str">
        <f>IF('数据-取费表'!E3="否",结果表!A131,'结果表 (1修多)'!A135)</f>
        <v>单位：平方米、元、元/平方米（币种：人民币）</v>
      </c>
      <c r="B14" s="3775"/>
      <c r="C14" s="3775"/>
      <c r="D14" s="3775"/>
      <c r="E14" s="3775"/>
      <c r="F14" s="3775"/>
      <c r="G14" s="3775"/>
      <c r="H14" s="3775"/>
      <c r="I14" s="377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782" t="s">
        <v>1282</v>
      </c>
      <c r="B1" s="3782"/>
      <c r="C1" s="3782"/>
      <c r="D1" s="3782"/>
    </row>
    <row r="2" spans="1:4" ht="18">
      <c r="A2" s="3781" t="s">
        <v>1271</v>
      </c>
      <c r="B2" s="3781"/>
      <c r="C2" s="3781"/>
      <c r="D2" s="3781"/>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0</v>
      </c>
      <c r="C5" s="1393"/>
      <c r="D5" s="1392" t="s">
        <v>1283</v>
      </c>
    </row>
    <row r="6" spans="1:4" ht="12" customHeight="1">
      <c r="A6" s="1389"/>
      <c r="B6" s="1390"/>
      <c r="C6" s="1394"/>
      <c r="D6" s="1392"/>
    </row>
    <row r="7" spans="1:4" ht="18">
      <c r="A7" s="3781" t="s">
        <v>1276</v>
      </c>
      <c r="B7" s="3781"/>
      <c r="C7" s="3781"/>
      <c r="D7" s="378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783" t="s">
        <v>2734</v>
      </c>
      <c r="B12" s="3784"/>
      <c r="C12" s="3784"/>
      <c r="D12" s="3784"/>
    </row>
    <row r="13" spans="1:4" ht="15.75">
      <c r="A13" s="3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784"/>
      <c r="C13" s="3784"/>
      <c r="D13" s="3784"/>
    </row>
    <row r="14" spans="1:4" ht="30" customHeight="1">
      <c r="A14" s="3783" t="str">
        <f>IF(项目基本情况!D4="抵押","3.抵押双方在办理抵押登记手续时，应使用本公司出具的正式《不动产估价报告书》，特提醒报告使用者注意。","——")</f>
        <v>——</v>
      </c>
      <c r="B14" s="3784"/>
      <c r="C14" s="3784"/>
      <c r="D14" s="3784"/>
    </row>
    <row r="15" spans="1:4" ht="15.75" customHeight="1">
      <c r="A15" s="3783" t="str">
        <f>IF(项目基本情况!D4="抵押","4.本次评估估价师所知悉的法定优先受偿款情况说明如下：","——")</f>
        <v>——</v>
      </c>
      <c r="B15" s="3784"/>
      <c r="C15" s="3784"/>
      <c r="D15" s="3784"/>
    </row>
    <row r="16" spans="1:4" ht="75" customHeight="1">
      <c r="A16" s="3783" t="str">
        <f>IF(项目基本情况!D4="抵押",CONCATENATE(项目基本情况!J13,项目基本情况!J14,项目基本情况!J15),"——")</f>
        <v>——</v>
      </c>
      <c r="B16" s="3783"/>
      <c r="C16" s="3783"/>
      <c r="D16" s="3783"/>
    </row>
    <row r="17" spans="1:4" ht="63.75" customHeight="1">
      <c r="A17" s="3785" t="s">
        <v>1284</v>
      </c>
      <c r="B17" s="3785"/>
      <c r="C17" s="3785"/>
      <c r="D17" s="3785"/>
    </row>
    <row r="18" spans="1:4" ht="15.75" customHeight="1">
      <c r="A18" s="3783" t="str">
        <f>IF(项目基本情况!D4="抵押",结果表!L106,"——")</f>
        <v>——</v>
      </c>
      <c r="B18" s="3783"/>
      <c r="C18" s="3783"/>
      <c r="D18" s="3783"/>
    </row>
    <row r="19" spans="1:4" ht="46.5" customHeight="1">
      <c r="A19" s="3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783"/>
      <c r="C19" s="3783"/>
      <c r="D19" s="3783"/>
    </row>
    <row r="20" spans="1:4" ht="15">
      <c r="A20" s="3785" t="s">
        <v>2735</v>
      </c>
      <c r="B20" s="3785"/>
      <c r="C20" s="3785"/>
      <c r="D20" s="378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791" t="s">
        <v>1363</v>
      </c>
      <c r="B15" s="3786" t="s">
        <v>1364</v>
      </c>
      <c r="C15" s="3787"/>
    </row>
    <row r="16" spans="1:7" ht="14.25">
      <c r="A16" s="3792"/>
      <c r="B16" s="3786" t="s">
        <v>1365</v>
      </c>
      <c r="C16" s="3787"/>
    </row>
    <row r="17" spans="1:3" ht="14.25">
      <c r="A17" s="3792"/>
      <c r="B17" s="3786" t="s">
        <v>1366</v>
      </c>
      <c r="C17" s="3787"/>
    </row>
    <row r="18" spans="1:3" ht="14.25">
      <c r="A18" s="3793"/>
      <c r="B18" s="3788" t="s">
        <v>1367</v>
      </c>
      <c r="C18" s="3787"/>
    </row>
    <row r="19" spans="1:3" ht="14.25">
      <c r="A19" s="1412" t="s">
        <v>1368</v>
      </c>
      <c r="B19" s="1413"/>
      <c r="C19" s="1414"/>
    </row>
    <row r="20" spans="1:3" ht="14.25">
      <c r="A20" s="3789" t="s">
        <v>1369</v>
      </c>
      <c r="B20" s="3788" t="s">
        <v>1370</v>
      </c>
      <c r="C20" s="3787"/>
    </row>
    <row r="21" spans="1:3" ht="14.25">
      <c r="A21" s="3789"/>
      <c r="B21" s="3788" t="s">
        <v>1371</v>
      </c>
      <c r="C21" s="3787"/>
    </row>
    <row r="22" spans="1:3" ht="14.25">
      <c r="A22" s="3789"/>
      <c r="B22" s="3788" t="s">
        <v>1372</v>
      </c>
      <c r="C22" s="3787"/>
    </row>
    <row r="23" spans="1:3" ht="14.25">
      <c r="A23" s="3789"/>
      <c r="B23" s="3790" t="s">
        <v>1373</v>
      </c>
      <c r="C23" s="1415" t="s">
        <v>1374</v>
      </c>
    </row>
    <row r="24" spans="1:3" ht="14.25">
      <c r="A24" s="3789"/>
      <c r="B24" s="3790"/>
      <c r="C24" s="1415" t="s">
        <v>1375</v>
      </c>
    </row>
    <row r="25" spans="1:3" ht="14.25">
      <c r="A25" s="3789"/>
      <c r="B25" s="3790"/>
      <c r="C25" s="1415" t="s">
        <v>1376</v>
      </c>
    </row>
    <row r="26" spans="1:3" ht="14.25">
      <c r="A26" s="3789"/>
      <c r="B26" s="3790"/>
      <c r="C26" s="1415" t="s">
        <v>1377</v>
      </c>
    </row>
    <row r="27" spans="1:3" ht="14.25">
      <c r="A27" s="3789"/>
      <c r="B27" s="3790"/>
      <c r="C27" s="1415" t="s">
        <v>1378</v>
      </c>
    </row>
    <row r="28" spans="1:3" ht="14.25">
      <c r="A28" s="3789"/>
      <c r="B28" s="3790"/>
      <c r="C28" s="1415" t="s">
        <v>1379</v>
      </c>
    </row>
    <row r="29" spans="1:3" ht="14.25">
      <c r="A29" s="3789"/>
      <c r="B29" s="3790"/>
      <c r="C29" s="1415" t="s">
        <v>1380</v>
      </c>
    </row>
    <row r="30" spans="1:3" ht="14.25">
      <c r="A30" s="3789"/>
      <c r="B30" s="3790"/>
      <c r="C30" s="1415" t="s">
        <v>1381</v>
      </c>
    </row>
    <row r="31" spans="1:3" ht="14.25">
      <c r="A31" s="3789"/>
      <c r="B31" s="379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30"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44998</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t="str">
        <f ca="1">IF(C4&lt;B2,"已过期",1119970066)</f>
        <v>已过期</v>
      </c>
      <c r="C4" s="3069">
        <v>44876</v>
      </c>
      <c r="D4" s="3080" t="str">
        <f ca="1">A4&amp;"（注册号："&amp;B4&amp;"）"</f>
        <v>梁津（注册号：已过期）</v>
      </c>
      <c r="E4" s="3082" t="s">
        <v>753</v>
      </c>
      <c r="F4" s="1301">
        <f ca="1">IF(G4&lt;B2,"已过期",96010014)</f>
        <v>96010014</v>
      </c>
      <c r="G4" s="3070">
        <v>47118</v>
      </c>
      <c r="H4" s="3071" t="str">
        <f ca="1">E4&amp;"（注册号："&amp;F4&amp;"）"</f>
        <v>梁津（注册号：96010014）</v>
      </c>
    </row>
    <row r="5" spans="1:8" ht="24" customHeight="1">
      <c r="A5" s="1301" t="s">
        <v>754</v>
      </c>
      <c r="B5" s="1301" t="str">
        <f ca="1">IF(C5&lt;B2,"已过期",1119970111)</f>
        <v>已过期</v>
      </c>
      <c r="C5" s="3069">
        <v>44876</v>
      </c>
      <c r="D5" s="3080" t="str">
        <f t="shared" ref="D5:D14" ca="1" si="0">A5&amp;"（注册号："&amp;B5&amp;"）"</f>
        <v>叶凌（注册号：已过期）</v>
      </c>
      <c r="E5" s="3082" t="s">
        <v>754</v>
      </c>
      <c r="F5" s="1301">
        <f ca="1">IF(G5&lt;B2,"已过期",94010078)</f>
        <v>94010078</v>
      </c>
      <c r="G5" s="3070">
        <v>46387</v>
      </c>
      <c r="H5" s="3071" t="str">
        <f t="shared" ref="H5:H16" ca="1" si="1">E5&amp;"（注册号："&amp;F5&amp;"）"</f>
        <v>叶凌（注册号：94010078）</v>
      </c>
    </row>
    <row r="6" spans="1:8" ht="24" customHeight="1">
      <c r="A6" s="1301" t="s">
        <v>755</v>
      </c>
      <c r="B6" s="1301" t="str">
        <f ca="1">IF(C6&lt;B2,"已过期",1120050019)</f>
        <v>已过期</v>
      </c>
      <c r="C6" s="3069">
        <v>44395</v>
      </c>
      <c r="D6" s="3080" t="str">
        <f t="shared" ca="1" si="0"/>
        <v>王鹏（注册号：已过期）</v>
      </c>
      <c r="E6" s="3082" t="s">
        <v>755</v>
      </c>
      <c r="F6" s="1301">
        <f ca="1">IF(G6&lt;B2,"已过期",2002110030)</f>
        <v>2002110030</v>
      </c>
      <c r="G6" s="3070">
        <v>46387</v>
      </c>
      <c r="H6" s="3071" t="str">
        <f t="shared" ca="1" si="1"/>
        <v>王鹏（注册号：2002110030）</v>
      </c>
    </row>
    <row r="7" spans="1:8" ht="24" customHeight="1">
      <c r="A7" s="1301" t="s">
        <v>756</v>
      </c>
      <c r="B7" s="1301" t="str">
        <f ca="1">IF(C7&lt;B2,"已过期",1120000080)</f>
        <v>已过期</v>
      </c>
      <c r="C7" s="3069">
        <v>44876</v>
      </c>
      <c r="D7" s="3080" t="str">
        <f t="shared" ca="1" si="0"/>
        <v>欧红伟（注册号：已过期）</v>
      </c>
      <c r="E7" s="3082" t="s">
        <v>756</v>
      </c>
      <c r="F7" s="1301">
        <f ca="1">IF(G7&lt;B2,"已过期",2000110082)</f>
        <v>2000110082</v>
      </c>
      <c r="G7" s="3070">
        <v>46387</v>
      </c>
      <c r="H7" s="3071" t="str">
        <f t="shared" ca="1" si="1"/>
        <v>欧红伟（注册号：2000110082）</v>
      </c>
    </row>
    <row r="8" spans="1:8" ht="24" customHeight="1">
      <c r="A8" s="1301" t="s">
        <v>757</v>
      </c>
      <c r="B8" s="1301" t="str">
        <f ca="1">IF(C8&lt;B2,"已过期",1419970001)</f>
        <v>已过期</v>
      </c>
      <c r="C8" s="3069">
        <v>44899</v>
      </c>
      <c r="D8" s="3080" t="str">
        <f t="shared" ca="1" si="0"/>
        <v>吴薇（注册号：已过期）</v>
      </c>
      <c r="E8" s="3082" t="s">
        <v>757</v>
      </c>
      <c r="F8" s="1301">
        <f ca="1">IF(G8&lt;B2,"已过期",2002110125)</f>
        <v>2002110125</v>
      </c>
      <c r="G8" s="3070">
        <v>47118</v>
      </c>
      <c r="H8" s="3071" t="str">
        <f t="shared" ca="1" si="1"/>
        <v>吴薇（注册号：2002110125）</v>
      </c>
    </row>
    <row r="9" spans="1:8" ht="24" customHeight="1">
      <c r="A9" s="1301" t="s">
        <v>758</v>
      </c>
      <c r="B9" s="1301" t="str">
        <f ca="1">IF(C9&lt;B2,"已过期",1120060040)</f>
        <v>已过期</v>
      </c>
      <c r="C9" s="3072">
        <v>44554</v>
      </c>
      <c r="D9" s="3080" t="str">
        <f t="shared" ca="1" si="0"/>
        <v>陈颖（注册号：已过期）</v>
      </c>
      <c r="E9" s="3082" t="s">
        <v>758</v>
      </c>
      <c r="F9" s="1301">
        <f ca="1">IF(G9&lt;B2,"已过期",2004110096)</f>
        <v>2004110096</v>
      </c>
      <c r="G9" s="3070">
        <v>47118</v>
      </c>
      <c r="H9" s="3071" t="str">
        <f t="shared" ca="1" si="1"/>
        <v>陈颖（注册号：2004110096）</v>
      </c>
    </row>
    <row r="10" spans="1:8" ht="24" customHeight="1">
      <c r="A10" s="1301" t="s">
        <v>759</v>
      </c>
      <c r="B10" s="1301" t="str">
        <f ca="1">IF(C10&lt;B2,"已过期",1120100036)</f>
        <v>已过期</v>
      </c>
      <c r="C10" s="3072">
        <v>44675</v>
      </c>
      <c r="D10" s="3080" t="str">
        <f t="shared" ca="1" si="0"/>
        <v>崔锴（注册号：已过期）</v>
      </c>
      <c r="E10" s="3082" t="s">
        <v>759</v>
      </c>
      <c r="F10" s="1301">
        <f ca="1">IF(G10&lt;B2,"已过期",2010110070)</f>
        <v>2010110070</v>
      </c>
      <c r="G10" s="3070">
        <v>47907</v>
      </c>
      <c r="H10" s="3071" t="str">
        <f t="shared" ca="1" si="1"/>
        <v>崔锴（注册号：2010110070）</v>
      </c>
    </row>
    <row r="11" spans="1:8" ht="24" customHeight="1">
      <c r="A11" s="1301" t="s">
        <v>760</v>
      </c>
      <c r="B11" s="1301" t="str">
        <f ca="1">IF(C11&lt;B2,"已过期",1120070131)</f>
        <v>已过期</v>
      </c>
      <c r="C11" s="3069">
        <v>44849</v>
      </c>
      <c r="D11" s="3080" t="str">
        <f t="shared" ca="1" si="0"/>
        <v>郑燚（注册号：已过期）</v>
      </c>
      <c r="E11" s="3082" t="s">
        <v>760</v>
      </c>
      <c r="F11" s="1301">
        <f ca="1">IF(G11&lt;B2,"已过期",2014110011)</f>
        <v>2014110011</v>
      </c>
      <c r="G11" s="3070">
        <v>49302</v>
      </c>
      <c r="H11" s="3071" t="str">
        <f t="shared" ca="1" si="1"/>
        <v>郑燚（注册号：2014110011）</v>
      </c>
    </row>
    <row r="12" spans="1:8" ht="24" customHeight="1">
      <c r="A12" s="1301" t="s">
        <v>2710</v>
      </c>
      <c r="B12" s="1301" t="str">
        <f ca="1">IF(C12&lt;B2,"已过期",1120040230)</f>
        <v>已过期</v>
      </c>
      <c r="C12" s="3072">
        <v>44864</v>
      </c>
      <c r="D12" s="3080" t="str">
        <f t="shared" ca="1" si="0"/>
        <v>苏海（注册号：已过期）</v>
      </c>
      <c r="E12" s="3082" t="s">
        <v>2710</v>
      </c>
      <c r="F12" s="1301">
        <f ca="1">IF(G12&lt;B2,"已过期",98030020)</f>
        <v>98030020</v>
      </c>
      <c r="G12" s="3070">
        <v>47118</v>
      </c>
      <c r="H12" s="3071" t="str">
        <f t="shared" ca="1" si="1"/>
        <v>苏海（注册号：98030020）</v>
      </c>
    </row>
    <row r="13" spans="1:8" ht="24" customHeight="1">
      <c r="A13" s="1301" t="s">
        <v>761</v>
      </c>
      <c r="B13" s="1301" t="str">
        <f ca="1">IF(C13&lt;B2,"已过期",1120020033)</f>
        <v>已过期</v>
      </c>
      <c r="C13" s="3069">
        <v>44339</v>
      </c>
      <c r="D13" s="3080" t="str">
        <f t="shared" ca="1" si="0"/>
        <v>刘敬东（注册号：已过期）</v>
      </c>
      <c r="E13" s="3082" t="s">
        <v>761</v>
      </c>
      <c r="F13" s="1301">
        <f ca="1">IF(G13&lt;B2,"已过期",2000110137)</f>
        <v>2000110137</v>
      </c>
      <c r="G13" s="3070">
        <v>46387</v>
      </c>
      <c r="H13" s="3071" t="str">
        <f t="shared" ca="1" si="1"/>
        <v>刘敬东（注册号：2000110137）</v>
      </c>
    </row>
    <row r="14" spans="1:8" ht="24" customHeight="1">
      <c r="A14" s="1301" t="s">
        <v>2727</v>
      </c>
      <c r="B14" s="1301" t="str">
        <f ca="1">IF(C14&lt;B2,"已过期",1119980106)</f>
        <v>已过期</v>
      </c>
      <c r="C14" s="3072">
        <v>44969</v>
      </c>
      <c r="D14" s="3080" t="str">
        <f t="shared" ca="1" si="0"/>
        <v>刘俊财（注册号：已过期）</v>
      </c>
      <c r="E14" s="3082" t="s">
        <v>2827</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2831</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794" t="s">
        <v>762</v>
      </c>
      <c r="B17" s="3794"/>
      <c r="C17" s="3794"/>
      <c r="D17" s="3794"/>
      <c r="E17" s="3794"/>
      <c r="F17" s="3794"/>
      <c r="G17" s="3794"/>
      <c r="H17" s="3794"/>
    </row>
    <row r="18" spans="1:8" ht="24" customHeight="1">
      <c r="A18" s="3795" t="s">
        <v>763</v>
      </c>
      <c r="B18" s="3795"/>
      <c r="C18" s="3795"/>
      <c r="D18" s="3068"/>
      <c r="E18" s="3796" t="s">
        <v>764</v>
      </c>
      <c r="F18" s="3795"/>
      <c r="G18" s="3795"/>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2828</v>
      </c>
      <c r="B20" s="3075" t="s">
        <v>2829</v>
      </c>
      <c r="C20" s="3070">
        <v>44820</v>
      </c>
      <c r="D20" s="3083"/>
      <c r="E20" s="3085" t="s">
        <v>768</v>
      </c>
      <c r="F20" s="3075" t="s">
        <v>769</v>
      </c>
      <c r="G20" s="3076">
        <v>44377</v>
      </c>
    </row>
    <row r="21" spans="1:8" s="3058" customFormat="1" ht="24" customHeight="1">
      <c r="A21" s="3075"/>
      <c r="B21" s="3075"/>
      <c r="C21" s="3077"/>
      <c r="D21" s="3084"/>
      <c r="E21" s="3085" t="s">
        <v>770</v>
      </c>
      <c r="F21" s="3078" t="s">
        <v>2726</v>
      </c>
      <c r="G21" s="3079">
        <v>44012</v>
      </c>
    </row>
    <row r="22" spans="1:8" ht="24" customHeight="1">
      <c r="C22" s="3061"/>
      <c r="D22" s="3061"/>
      <c r="E22" s="3086"/>
      <c r="F22" s="3087"/>
      <c r="G22" s="3088" t="s">
        <v>2830</v>
      </c>
    </row>
  </sheetData>
  <sheetProtection password="CEE9" sheet="1" objects="1" scenarios="1" formatCells="0" formatColumns="0" formatRows="0"/>
  <mergeCells count="3">
    <mergeCell ref="A17:H17"/>
    <mergeCell ref="A18:C18"/>
    <mergeCell ref="E18:G18"/>
  </mergeCells>
  <phoneticPr fontId="83"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79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本次估价的“房地产价值”是指在正常市场情况下，在价值时点2016年7月7日，估价对象规划用途为，假定未设立法定优先受偿款下的房地产市场价值。</v>
      </c>
    </row>
    <row r="54" spans="1:4">
      <c r="A54" s="3797"/>
      <c r="B54" s="9" t="s">
        <v>1519</v>
      </c>
      <c r="C54" s="9" t="s">
        <v>1520</v>
      </c>
    </row>
    <row r="55" spans="1:4">
      <c r="A55" s="3797"/>
      <c r="B55" s="9" t="s">
        <v>1521</v>
      </c>
      <c r="C55" s="9" t="s">
        <v>1522</v>
      </c>
    </row>
    <row r="56" spans="1:4">
      <c r="A56" s="3797"/>
      <c r="B56" s="9" t="s">
        <v>1523</v>
      </c>
      <c r="C56" s="9" t="s">
        <v>1524</v>
      </c>
    </row>
    <row r="57" spans="1:4">
      <c r="A57" s="379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165</vt:i4>
      </vt:variant>
    </vt:vector>
  </HeadingPairs>
  <TitlesOfParts>
    <vt:vector size="21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比较法-办公</vt:lpstr>
      <vt:lpstr>结果一览表-</vt:lpstr>
      <vt:lpstr>结果表</vt:lpstr>
      <vt:lpstr>结果表 (1修多)</vt:lpstr>
      <vt:lpstr>假设开发法</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成本法</vt:lpstr>
      <vt:lpstr>基准地价修正</vt:lpstr>
      <vt:lpstr>e世界中心</vt:lpstr>
      <vt:lpstr>中鼎大厦</vt:lpstr>
      <vt:lpstr>东润大厦</vt:lpstr>
      <vt:lpstr>数据-取费表（市场）</vt:lpstr>
      <vt:lpstr>Sheet4</vt:lpstr>
      <vt:lpstr>写字楼</vt:lpstr>
      <vt:lpstr>统计表</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中鼎大厦!Print_Area</vt:lpstr>
      <vt:lpstr>中鼎大厦!Print_Titles</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'数据-取费表（市场）'!城镇土地纳税等级分级范围</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2023-03-13T08:37:01Z</dcterms:modified>
</cp:coreProperties>
</file>