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I36" i="33"/>
  <c r="G36" i="33"/>
  <c r="E36" i="33"/>
  <c r="C36" i="33"/>
  <c r="I7" i="33"/>
  <c r="G7" i="33"/>
  <c r="E7" i="33"/>
  <c r="Y6" i="1"/>
  <c r="N6" i="1"/>
  <c r="B21"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A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L17" i="3"/>
  <c r="AZ17" i="3"/>
  <c r="BL13" i="3"/>
  <c r="BL5" i="3" s="1"/>
  <c r="J56" i="9"/>
  <c r="J57" i="9" s="1"/>
  <c r="J59" i="9" s="1"/>
  <c r="J61" i="9" s="1"/>
  <c r="U29" i="34"/>
  <c r="E5" i="6"/>
  <c r="E32" i="6"/>
  <c r="G1" i="68"/>
  <c r="K1" i="12"/>
  <c r="E19" i="69"/>
  <c r="E1" i="73"/>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6" i="73"/>
  <c r="F6" i="15"/>
  <c r="F43" i="67"/>
  <c r="F13" i="15"/>
  <c r="B11" i="76"/>
  <c r="F5" i="73"/>
  <c r="F9" i="67"/>
  <c r="F42" i="67"/>
  <c r="E13" i="76"/>
  <c r="D3" i="73"/>
  <c r="B12" i="76"/>
  <c r="F40" i="15"/>
  <c r="M23" i="67"/>
  <c r="E2" i="68"/>
  <c r="M8" i="67"/>
  <c r="L47" i="15"/>
  <c r="M22" i="67"/>
  <c r="F38" i="15"/>
  <c r="F16" i="15"/>
  <c r="F43" i="15"/>
  <c r="D6" i="73"/>
  <c r="E8" i="76"/>
  <c r="F36" i="67"/>
  <c r="E11" i="76"/>
  <c r="F37" i="67"/>
  <c r="E7" i="76"/>
  <c r="M6" i="67"/>
  <c r="F37" i="15"/>
  <c r="F38" i="67"/>
  <c r="F20" i="31"/>
  <c r="F4" i="73"/>
  <c r="M29" i="67"/>
  <c r="M9" i="15"/>
  <c r="M29" i="15"/>
  <c r="M22" i="15"/>
  <c r="M6" i="15"/>
  <c r="B9" i="76"/>
  <c r="M28" i="15"/>
  <c r="F7" i="73"/>
  <c r="D7" i="73"/>
  <c r="F16" i="67"/>
  <c r="J15" i="67"/>
  <c r="E9" i="76"/>
  <c r="AO13" i="1"/>
  <c r="E12" i="76"/>
  <c r="F36" i="15"/>
  <c r="M23" i="15"/>
  <c r="F8" i="15"/>
  <c r="F42" i="15"/>
  <c r="F40" i="67"/>
  <c r="M26" i="67"/>
  <c r="F6" i="67"/>
  <c r="B8" i="76"/>
  <c r="M9" i="67"/>
  <c r="D4" i="73"/>
  <c r="B13" i="76"/>
  <c r="C76" i="67"/>
  <c r="M26" i="15"/>
  <c r="F13" i="67"/>
  <c r="C76" i="15"/>
  <c r="D35" i="9"/>
  <c r="M24" i="67"/>
  <c r="J15" i="15"/>
  <c r="F26" i="15"/>
  <c r="F3" i="73"/>
  <c r="M8" i="15"/>
  <c r="B7" i="76"/>
  <c r="F9" i="15"/>
  <c r="F26" i="67"/>
  <c r="M28" i="67"/>
  <c r="M24" i="15"/>
  <c r="F7" i="67"/>
  <c r="D34" i="9"/>
  <c r="L48" i="15"/>
  <c r="E10" i="76"/>
  <c r="L48" i="67"/>
  <c r="A24" i="51" l="1"/>
  <c r="B18" i="72" s="1"/>
  <c r="AB36" i="33"/>
  <c r="S36" i="33"/>
  <c r="W33" i="33"/>
  <c r="C24" i="12"/>
  <c r="B41" i="1"/>
  <c r="F53" i="9" s="1"/>
  <c r="D93" i="9"/>
  <c r="C40" i="69"/>
  <c r="C40" i="11"/>
  <c r="C21" i="68"/>
  <c r="E19" i="11"/>
  <c r="G22" i="68"/>
  <c r="G22" i="69"/>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G30" i="6" s="1"/>
  <c r="G31" i="6" s="1"/>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F48" i="9" l="1"/>
  <c r="O52" i="9" s="1"/>
  <c r="F31" i="12"/>
  <c r="C31" i="12" s="1"/>
  <c r="F30" i="69"/>
  <c r="D68" i="9"/>
  <c r="F30" i="68"/>
  <c r="F52" i="9"/>
  <c r="F32" i="15"/>
  <c r="F60" i="15" s="1"/>
  <c r="F54" i="9"/>
  <c r="F32" i="67"/>
  <c r="F60" i="67" s="1"/>
  <c r="F28" i="15"/>
  <c r="C28" i="15" s="1"/>
  <c r="F30" i="11"/>
  <c r="M18" i="67"/>
  <c r="J18" i="67" s="1"/>
  <c r="M18" i="15"/>
  <c r="J18" i="15" s="1"/>
  <c r="F28" i="67"/>
  <c r="C28" i="67" s="1"/>
  <c r="E28" i="6"/>
  <c r="K14" i="1" s="1"/>
  <c r="K16" i="1" s="1"/>
  <c r="E59" i="40"/>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C32" i="67" l="1"/>
  <c r="F48" i="68"/>
  <c r="C48" i="68"/>
  <c r="C30" i="68"/>
  <c r="C48" i="11"/>
  <c r="C30" i="11"/>
  <c r="F48" i="69"/>
  <c r="C30" i="69"/>
  <c r="C48" i="69"/>
  <c r="M14" i="1"/>
  <c r="O14" i="1" s="1"/>
  <c r="O16" i="1"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6"/>
  <c r="D2" i="37"/>
  <c r="D2" i="35"/>
  <c r="D2" i="34"/>
  <c r="L51" i="15"/>
  <c r="C102" i="9" l="1"/>
  <c r="C21" i="9"/>
  <c r="B3" i="33"/>
  <c r="D102" i="9"/>
  <c r="G19" i="9"/>
  <c r="G21" i="9" s="1"/>
  <c r="D2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0" i="1"/>
  <c r="AO7" i="1"/>
  <c r="AO11" i="1"/>
  <c r="AO9" i="1"/>
  <c r="AO8" i="1"/>
  <c r="AO12" i="1"/>
  <c r="C103" i="9" l="1"/>
  <c r="D103" i="9"/>
  <c r="G20" i="9"/>
  <c r="C32"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l="1"/>
  <c r="H4" i="52"/>
  <c r="D52" i="9"/>
  <c r="D53" i="9"/>
  <c r="M67" i="9"/>
  <c r="C105" i="9"/>
  <c r="I4" i="52"/>
  <c r="L67" i="9"/>
  <c r="C81" i="9"/>
  <c r="B53" i="72"/>
  <c r="B31" i="72"/>
  <c r="F5" i="52"/>
  <c r="C68" i="9"/>
  <c r="D54" i="9"/>
  <c r="L68" i="9"/>
  <c r="M68" i="9"/>
  <c r="M54" i="9"/>
  <c r="B30" i="72"/>
  <c r="D9" i="52"/>
  <c r="B20" i="72"/>
  <c r="N58" i="9"/>
  <c r="P57" i="9"/>
  <c r="F119" i="9"/>
  <c r="D14" i="53"/>
  <c r="B32" i="72"/>
  <c r="C93" i="9"/>
  <c r="C86" i="9"/>
  <c r="F4" i="52"/>
  <c r="B51" i="72"/>
  <c r="M48" i="9"/>
  <c r="L65" i="9"/>
  <c r="M65" i="9"/>
  <c r="C5" i="74"/>
  <c r="C67" i="9"/>
  <c r="D59" i="9"/>
  <c r="M55" i="9"/>
  <c r="D5" i="53"/>
  <c r="D6" i="53"/>
  <c r="B22" i="72"/>
  <c r="N61" i="9"/>
  <c r="N59" i="9"/>
  <c r="N60" i="9"/>
  <c r="H102" i="9"/>
  <c r="D7" i="53"/>
  <c r="B21" i="72"/>
  <c r="D15" i="53"/>
  <c r="C6" i="74"/>
  <c r="D56" i="9"/>
  <c r="C80" i="9"/>
  <c r="E80" i="9"/>
  <c r="E81" i="9"/>
  <c r="H108" i="9"/>
  <c r="D13" i="53"/>
  <c r="L64" i="9"/>
  <c r="M64" i="9"/>
  <c r="L63" i="9"/>
  <c r="M63" i="9"/>
  <c r="M69" i="9"/>
  <c r="N69" i="9"/>
  <c r="C96" i="9"/>
  <c r="E96" i="9"/>
  <c r="E97" i="9"/>
  <c r="M49" i="9"/>
  <c r="L66" i="9"/>
  <c r="M66" i="9"/>
  <c r="E4" i="52"/>
  <c r="B48" i="72"/>
  <c r="C78" i="9"/>
  <c r="C73" i="9"/>
  <c r="D55" i="9"/>
  <c r="M53" i="9"/>
  <c r="N57" i="9"/>
  <c r="D119" i="9"/>
  <c r="D5" i="52"/>
  <c r="B49" i="72"/>
  <c r="C72" i="9"/>
  <c r="C79" i="9"/>
  <c r="F118" i="9"/>
  <c r="G118" i="9"/>
  <c r="G4" i="52"/>
  <c r="B52" i="72"/>
  <c r="D8" i="52"/>
  <c r="H107" i="9"/>
  <c r="D122" i="9"/>
  <c r="D123" i="9"/>
  <c r="H119" i="9"/>
  <c r="H5" i="52"/>
  <c r="C64" i="9"/>
  <c r="C63" i="9"/>
  <c r="H101" i="9"/>
  <c r="D45" i="9"/>
  <c r="C85" i="9"/>
  <c r="C95" i="9"/>
  <c r="C97" i="9"/>
  <c r="D58" i="9"/>
  <c r="H118" i="9"/>
  <c r="I118" i="9"/>
  <c r="E118" i="9"/>
  <c r="D118" i="9"/>
  <c r="D4" i="52"/>
  <c r="B47"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<sst xmlns="http://schemas.openxmlformats.org/spreadsheetml/2006/main" count="7787" uniqueCount="3397">
  <si>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</si>
  <si>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</si>
  <si>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</si>
  <si>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</si>
  <si>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</si>
  <si>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</si>
  <si>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</si>
  <si>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</si>
  <si>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</si>
  <si>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</si>
  <si>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</si>
  <si>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</si>
  <si>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</si>
  <si>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</si>
  <si>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</si>
  <si>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</si>
  <si>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</si>
  <si>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</si>
  <si>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</si>
  <si>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</si>
  <si>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</si>
  <si>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</si>
  <si>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</si>
  <si>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</si>
  <si>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</si>
  <si>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</si>
  <si>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</si>
  <si>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</si>
  <si>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</si>
  <si>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</si>
  <si>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</si>
  <si>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</si>
  <si>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</si>
  <si>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</si>
  <si>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</si>
  <si>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</si>
  <si>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</si>
  <si>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</si>
  <si>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</si>
  <si>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</si>
  <si>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</si>
  <si>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</si>
  <si>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</si>
  <si>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</si>
  <si>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</si>
  <si>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</si>
  <si>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</si>
  <si>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</si>
  <si>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</si>
  <si>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</si>
  <si>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</si>
  <si>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</si>
  <si>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</si>
  <si>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</si>
  <si>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</si>
  <si>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</si>
  <si>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</si>
  <si>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</si>
  <si>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</si>
  <si>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</si>
  <si>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</si>
  <si>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</si>
  <si>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</si>
  <si>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</si>
  <si>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</si>
  <si>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</si>
  <si>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</si>
  <si>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</si>
  <si>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</si>
  <si>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</si>
  <si>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</si>
  <si>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</si>
  <si>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</si>
  <si>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</si>
  <si>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</si>
  <si>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</si>
  <si>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</si>
  <si>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</si>
  <si>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</si>
  <si>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</si>
  <si>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</si>
  <si>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</si>
  <si>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</si>
  <si>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</si>
  <si>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</si>
  <si>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</si>
  <si>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</si>
  <si>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</si>
  <si>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</si>
  <si>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</si>
  <si>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</si>
  <si>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</si>
  <si>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</si>
  <si>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</si>
  <si>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</si>
  <si>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</si>
  <si>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</si>
  <si>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</si>
  <si>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</si>
  <si>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</si>
  <si>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</si>
  <si>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</si>
  <si>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</si>
  <si>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</si>
  <si>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</si>
  <si>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</si>
  <si>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</si>
  <si>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</si>
  <si>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</si>
  <si>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</si>
  <si>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</si>
  <si>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</si>
  <si>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</si>
  <si>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</si>
  <si>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</si>
  <si>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</si>
  <si>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</si>
  <si>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</si>
  <si>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</si>
  <si>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</si>
  <si>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</si>
  <si>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</si>
  <si>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</si>
  <si>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</si>
  <si>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</si>
  <si>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</si>
  <si>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</si>
  <si>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</si>
  <si>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</si>
  <si>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</si>
  <si>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</si>
  <si>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</si>
  <si>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</si>
  <si>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</si>
  <si>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</si>
  <si>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</si>
  <si>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</si>
  <si>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</si>
  <si>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</si>
  <si>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</si>
  <si>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</si>
  <si>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</si>
  <si>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</si>
  <si>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</si>
  <si>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</si>
  <si>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</si>
  <si>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</si>
  <si>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</si>
  <si>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</si>
  <si>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</si>
  <si>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</si>
  <si>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</si>
  <si>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</si>
  <si>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</si>
  <si>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</si>
  <si>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</si>
  <si>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</si>
  <si>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</si>
  <si>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</si>
  <si>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</si>
  <si>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</si>
  <si>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</si>
  <si>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</si>
  <si>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</si>
  <si>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</si>
  <si>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</si>
  <si>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</si>
  <si>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</si>
  <si>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</si>
  <si>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</si>
  <si>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</si>
  <si>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</si>
  <si>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</si>
  <si>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</si>
  <si>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</si>
  <si>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</si>
  <si>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</si>
  <si>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</si>
  <si>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</si>
  <si>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</si>
  <si>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</si>
  <si>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</si>
  <si>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</si>
  <si>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</si>
  <si>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</si>
  <si>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</si>
  <si>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</si>
  <si>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</si>
  <si>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</si>
  <si>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</si>
  <si>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</si>
  <si>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</si>
  <si>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</si>
  <si>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</si>
  <si>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</si>
  <si>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</si>
  <si>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</si>
  <si>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</si>
  <si>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</si>
  <si>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</si>
  <si>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</si>
  <si>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</si>
  <si>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</si>
  <si>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</si>
  <si>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</si>
  <si>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</si>
  <si>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</si>
  <si>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</si>
  <si>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</si>
  <si>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</si>
  <si>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</si>
  <si>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</si>
  <si>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</si>
  <si>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</si>
  <si>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</si>
  <si>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</si>
  <si>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</si>
  <si>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</si>
  <si>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</si>
  <si>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</si>
  <si>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</si>
  <si>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</si>
  <si>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</si>
  <si>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</si>
  <si>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</si>
  <si>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</si>
  <si>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</si>
  <si>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</si>
  <si>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</si>
  <si>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</si>
  <si>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</si>
  <si>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</si>
  <si>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</si>
  <si>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</si>
  <si>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</si>
  <si>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</si>
  <si>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</si>
  <si>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</si>
  <si>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</si>
  <si>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</si>
  <si>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</si>
  <si>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</si>
  <si>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</si>
  <si>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</si>
  <si>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</si>
  <si>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</si>
  <si>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</si>
  <si>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</si>
  <si>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</si>
  <si>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</si>
  <si>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</si>
  <si>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</si>
  <si>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</si>
  <si>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</si>
  <si>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</si>
  <si>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</si>
  <si>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</si>
  <si>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</si>
  <si>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</si>
  <si>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</si>
  <si>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</si>
  <si>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</si>
  <si>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</si>
  <si>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</si>
  <si>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</si>
  <si>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</si>
  <si>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</si>
  <si>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</si>
  <si>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</si>
  <si>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</si>
  <si>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</si>
  <si>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</si>
  <si>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</si>
  <si>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</si>
  <si>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</si>
  <si>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</si>
  <si>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</si>
  <si>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</si>
  <si>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</si>
  <si>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</si>
  <si>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</si>
  <si>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</si>
  <si>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</si>
  <si>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</si>
  <si>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</si>
  <si>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</si>
  <si>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</si>
  <si>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</si>
  <si>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</si>
  <si>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</si>
  <si>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</si>
  <si>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</si>
  <si>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</si>
  <si>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</si>
  <si>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</si>
  <si>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</si>
  <si>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</si>
  <si>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</si>
  <si>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</si>
  <si>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</si>
  <si>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</si>
  <si>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</si>
  <si>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</si>
  <si>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</si>
  <si>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</si>
  <si>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</si>
  <si>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</si>
  <si>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</si>
  <si>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</si>
  <si>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</si>
  <si>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</si>
  <si>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</si>
  <si>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</si>
  <si>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</si>
  <si>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</si>
  <si>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</si>
  <si>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</si>
  <si>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</si>
  <si>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</si>
  <si>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</si>
  <si>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</si>
  <si>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</si>
  <si>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</si>
  <si>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</si>
  <si>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</si>
  <si>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</si>
  <si>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</si>
  <si>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</si>
  <si>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</si>
  <si>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</si>
  <si>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</si>
  <si>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</si>
  <si>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</si>
  <si>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</si>
  <si>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</si>
  <si>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</si>
  <si>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</si>
  <si>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</si>
  <si>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</si>
  <si>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</si>
  <si>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</si>
  <si>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</si>
  <si>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</si>
  <si>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</si>
  <si>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</si>
  <si>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</si>
  <si>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</si>
  <si>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</si>
  <si>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</si>
  <si>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</si>
  <si>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</si>
  <si>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</si>
  <si>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</si>
  <si>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</si>
  <si>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</si>
  <si>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</si>
  <si>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</si>
  <si>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</si>
  <si>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</si>
  <si>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</si>
  <si>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</si>
  <si>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</si>
  <si>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</si>
  <si>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</si>
  <si>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</si>
  <si>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</si>
  <si>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</si>
  <si>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</si>
  <si>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</si>
  <si>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</si>
  <si>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</si>
  <si>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</si>
  <si>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</si>
  <si>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</si>
  <si>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</si>
  <si>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</si>
  <si>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</si>
  <si>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</si>
  <si>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</si>
  <si>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</si>
  <si>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</si>
  <si>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</si>
  <si>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</si>
  <si>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</si>
  <si>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</si>
  <si>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</si>
  <si>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</si>
  <si>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</si>
  <si>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</si>
  <si>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</si>
  <si>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</si>
  <si>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</si>
  <si>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</si>
  <si>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</si>
  <si>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</si>
  <si>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</si>
  <si>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</si>
  <si>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</si>
  <si>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</si>
  <si>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</si>
  <si>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</si>
  <si>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</si>
  <si>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</si>
  <si>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</si>
  <si>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</si>
  <si>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</si>
  <si>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</si>
  <si>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</si>
  <si>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</si>
  <si>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</si>
  <si>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</si>
  <si>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</si>
  <si>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</si>
  <si>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</si>
  <si>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</si>
  <si>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</si>
  <si>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</si>
  <si>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</si>
  <si>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</si>
  <si>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</si>
  <si>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</si>
  <si>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</si>
  <si>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</si>
  <si>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</si>
  <si>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</si>
  <si>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</si>
  <si>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</si>
  <si>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</si>
  <si>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</si>
  <si>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</si>
  <si>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</si>
  <si>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</si>
  <si>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</si>
  <si>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</si>
  <si>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</si>
  <si>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</si>
  <si>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</si>
  <si>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</si>
  <si>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</si>
  <si>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</si>
  <si>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</si>
  <si>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</si>
  <si>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</si>
  <si>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</si>
  <si>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</si>
  <si>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</si>
  <si>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</si>
  <si>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</si>
  <si>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</si>
  <si>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</si>
  <si>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</si>
  <si>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</si>
  <si>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</si>
  <si>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</si>
  <si>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</si>
  <si>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</si>
  <si>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</si>
  <si>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</si>
  <si>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</si>
  <si>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</si>
  <si>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</si>
  <si>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</si>
  <si>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</si>
  <si>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</si>
  <si>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</si>
  <si>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</si>
  <si>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</si>
  <si>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</si>
  <si>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</si>
  <si>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</si>
  <si>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</si>
  <si>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</si>
  <si>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</si>
  <si>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</si>
  <si>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</si>
  <si>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</si>
  <si>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</si>
  <si>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</si>
  <si>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</si>
  <si>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</si>
  <si>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</si>
  <si>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</si>
  <si>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</si>
  <si>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</si>
  <si>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</si>
  <si>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</si>
  <si>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</si>
  <si>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</si>
  <si>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</si>
  <si>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</si>
  <si>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</si>
  <si>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</si>
  <si>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</si>
  <si>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</si>
  <si>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</si>
  <si>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</si>
  <si>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</si>
  <si>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</si>
  <si>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</si>
  <si>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</si>
  <si>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</si>
  <si>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</si>
  <si>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</si>
  <si>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</si>
  <si>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</si>
  <si>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</si>
  <si>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</si>
  <si>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</si>
  <si>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</si>
  <si>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</si>
  <si>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</si>
  <si>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</si>
  <si>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</si>
  <si>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</si>
  <si>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</si>
  <si>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</si>
  <si>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</si>
  <si>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</si>
  <si>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</si>
  <si>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</si>
  <si>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</si>
  <si>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</si>
  <si>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</si>
  <si>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</si>
  <si>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</si>
  <si>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</si>
  <si>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</si>
  <si>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</si>
  <si>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</si>
  <si>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</si>
  <si>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</si>
  <si>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</si>
  <si>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</si>
  <si>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</si>
  <si>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</si>
  <si>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</si>
  <si>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</si>
  <si>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</si>
  <si>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</si>
  <si>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</si>
  <si>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</si>
  <si>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</si>
  <si>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</si>
  <si>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</si>
  <si>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</si>
  <si>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</si>
  <si>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</si>
  <si>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</si>
  <si>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</si>
  <si>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</si>
  <si>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</si>
  <si>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</si>
  <si>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</si>
  <si>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</si>
  <si>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</si>
  <si>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</si>
  <si>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</si>
  <si>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</si>
  <si>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</si>
  <si>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</si>
  <si>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</si>
  <si>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</si>
  <si>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</si>
  <si>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</si>
  <si>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</si>
  <si>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</si>
  <si>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</si>
  <si>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</si>
  <si>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</si>
  <si>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</si>
  <si>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</si>
  <si>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</si>
  <si>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</si>
  <si>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</si>
  <si>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</si>
  <si>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</si>
  <si>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</si>
  <si>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</si>
  <si>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</si>
  <si>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</si>
  <si>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</si>
  <si>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</si>
  <si>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</si>
  <si>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</si>
  <si>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</si>
  <si>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</si>
  <si>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</si>
  <si>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</si>
  <si>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</si>
  <si>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</si>
  <si>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</si>
  <si>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</si>
  <si>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</si>
  <si>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</si>
  <si>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</si>
  <si>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</si>
  <si>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</si>
  <si>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</si>
  <si>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</si>
  <si>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</si>
  <si>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</si>
  <si>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</si>
  <si>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</si>
  <si>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</si>
  <si>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</si>
  <si>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</si>
  <si>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</si>
  <si>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</si>
  <si>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</si>
  <si>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</si>
  <si>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</si>
  <si>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</si>
  <si>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</si>
  <si>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</si>
  <si>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</si>
  <si>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</si>
  <si>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</si>
  <si>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</si>
  <si>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</si>
  <si>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</si>
  <si>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</si>
  <si>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</si>
  <si>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</si>
  <si>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</si>
  <si>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</si>
  <si>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</si>
  <si>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</si>
  <si>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</si>
  <si>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</si>
  <si>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</si>
  <si>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</si>
  <si>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</si>
  <si>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</si>
  <si>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</si>
  <si>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</si>
  <si>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</si>
  <si>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</si>
  <si>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</si>
  <si>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</si>
  <si>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</si>
  <si>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</si>
  <si>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</si>
  <si>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</si>
  <si>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</si>
  <si>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</si>
  <si>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</si>
  <si>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</si>
  <si>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</si>
  <si>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</si>
  <si>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</si>
  <si>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</si>
  <si>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</si>
  <si>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</si>
  <si>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</si>
  <si>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</si>
  <si>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</si>
  <si>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</si>
  <si>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</si>
  <si>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</si>
  <si>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</si>
  <si>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</si>
  <si>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</si>
  <si>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</si>
  <si>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</si>
  <si>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</si>
  <si>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</si>
  <si>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</si>
  <si>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</si>
  <si>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</si>
  <si>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</si>
  <si>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</si>
  <si>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</si>
  <si>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</si>
  <si>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</si>
  <si>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</si>
  <si>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</si>
  <si>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</si>
  <si>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</si>
  <si>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</si>
  <si>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</si>
  <si>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</si>
  <si>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</si>
  <si>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</si>
  <si>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</si>
  <si>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</si>
  <si>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</si>
  <si>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</si>
  <si>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</si>
  <si>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</si>
  <si>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</si>
  <si>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</si>
  <si>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</si>
  <si>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</si>
  <si>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</si>
  <si>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</si>
  <si>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</si>
  <si>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</si>
  <si>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</si>
  <si>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</si>
  <si>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</si>
  <si>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</si>
  <si>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</si>
  <si>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</si>
  <si>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</si>
  <si>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</si>
  <si>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</si>
  <si>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</si>
  <si>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</si>
  <si>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</si>
  <si>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</si>
  <si>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</si>
  <si>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</si>
  <si>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</si>
  <si>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</si>
  <si>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</si>
  <si>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</si>
  <si>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</si>
  <si>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</si>
  <si>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</si>
  <si>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</si>
  <si>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</si>
  <si>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</si>
  <si>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</si>
  <si>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</si>
  <si>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</si>
  <si>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</si>
  <si>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</si>
  <si>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</si>
  <si>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</si>
  <si>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</si>
  <si>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</si>
  <si>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</si>
  <si>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</si>
  <si>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</si>
  <si>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</si>
  <si>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</si>
  <si>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</si>
  <si>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</si>
  <si>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</si>
  <si>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</si>
  <si>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</si>
  <si>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</si>
  <si>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</si>
  <si>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</si>
  <si>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</si>
  <si>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</si>
  <si>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</si>
  <si>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</si>
  <si>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</si>
  <si>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</si>
  <si>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</si>
  <si>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</si>
  <si>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</si>
  <si>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</si>
  <si>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</si>
  <si>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</si>
  <si>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</si>
  <si>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</si>
  <si>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</si>
  <si>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</si>
  <si>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</si>
  <si>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</si>
  <si>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</si>
  <si>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</si>
  <si>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</si>
  <si>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</si>
  <si>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</si>
  <si>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</si>
  <si>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</si>
  <si>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</si>
  <si>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</si>
  <si>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</si>
  <si>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</si>
  <si>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</si>
  <si>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</si>
  <si>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</si>
  <si>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</si>
  <si>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</si>
  <si>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</si>
  <si>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</si>
  <si>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</si>
  <si>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</si>
  <si>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</si>
  <si>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</si>
  <si>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</si>
  <si>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</si>
  <si>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</si>
  <si>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</si>
  <si>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</si>
  <si>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</si>
  <si>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</si>
  <si>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</si>
  <si>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</si>
  <si>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</si>
  <si>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</si>
  <si>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</si>
  <si>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</si>
  <si>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</si>
  <si>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</si>
  <si>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</si>
  <si>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</si>
  <si>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</si>
  <si>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</si>
  <si>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</si>
  <si>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</si>
  <si>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</si>
  <si>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</si>
  <si>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</si>
  <si>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</si>
  <si>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</si>
  <si>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</si>
  <si>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</si>
  <si>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</si>
  <si>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</si>
  <si>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</si>
  <si>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</si>
  <si>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</si>
  <si>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</si>
  <si>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</si>
  <si>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</si>
  <si>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</si>
  <si>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</si>
  <si>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</si>
  <si>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</si>
  <si>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</si>
  <si>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</si>
  <si>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</si>
  <si>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</si>
  <si>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</si>
  <si>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</si>
  <si>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</si>
  <si>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</si>
  <si>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</si>
  <si>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</si>
  <si>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</si>
  <si>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</si>
  <si>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</si>
  <si>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</si>
  <si>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</si>
  <si>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</si>
  <si>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</si>
  <si>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</si>
  <si>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</si>
  <si>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</si>
  <si>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</si>
  <si>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</si>
  <si>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</si>
  <si>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</si>
  <si>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</si>
  <si>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</si>
  <si>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</si>
  <si>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</si>
  <si>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</si>
  <si>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</si>
  <si>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</si>
  <si>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</si>
  <si>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</si>
  <si>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</si>
  <si>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</si>
  <si>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</si>
  <si>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</si>
  <si>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</si>
  <si>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</si>
  <si>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</si>
  <si>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</si>
  <si>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</si>
  <si>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</si>
  <si>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</si>
  <si>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</si>
  <si>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</si>
  <si>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</si>
  <si>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</si>
  <si>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</si>
  <si>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</si>
  <si>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</si>
  <si>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</si>
  <si>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</si>
  <si>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</si>
  <si>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</si>
  <si>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</si>
  <si>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</si>
  <si>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</si>
  <si>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</si>
  <si>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</si>
  <si>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</si>
  <si>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</si>
  <si>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</si>
  <si>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</si>
  <si>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</si>
  <si>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</si>
  <si>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</si>
  <si>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</si>
  <si>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</si>
  <si>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</si>
  <si>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</si>
  <si>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</si>
  <si>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</si>
  <si>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</si>
  <si>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</si>
  <si>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</si>
  <si>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</si>
  <si>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</si>
  <si>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</si>
  <si>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</si>
  <si>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</si>
  <si>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</si>
  <si>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</si>
  <si>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</si>
  <si>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</si>
  <si>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</si>
  <si>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</si>
  <si>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</si>
  <si>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</si>
  <si>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</si>
  <si>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</si>
  <si>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</si>
  <si>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</si>
  <si>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</si>
  <si>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</si>
  <si>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</si>
  <si>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</si>
  <si>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</si>
  <si>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</si>
  <si>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</si>
  <si>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</si>
  <si>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</si>
  <si>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</si>
  <si>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</si>
  <si>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</si>
  <si>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</si>
  <si>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</si>
  <si>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</si>
  <si>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</si>
  <si>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</si>
  <si>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</si>
  <si>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</si>
  <si>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</si>
  <si>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</si>
  <si>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</si>
  <si>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</si>
  <si>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</si>
  <si>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</si>
  <si>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</si>
  <si>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</si>
  <si>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</si>
  <si>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</si>
  <si>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</si>
  <si>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</si>
  <si>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</si>
  <si>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</si>
  <si>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</si>
  <si>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</si>
  <si>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</si>
  <si>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</si>
  <si>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</si>
  <si>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</si>
  <si>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</si>
  <si>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</si>
  <si>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</si>
  <si>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</si>
  <si>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</si>
  <si>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</si>
  <si>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</si>
  <si>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</si>
  <si>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</si>
  <si>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</si>
  <si>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</si>
  <si>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</si>
  <si>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</si>
  <si>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</si>
  <si>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</si>
  <si>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</si>
  <si>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</si>
  <si>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</si>
  <si>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</si>
  <si>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</si>
  <si>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</si>
  <si>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</si>
  <si>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</si>
  <si>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</si>
  <si>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</si>
  <si>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</si>
  <si>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</si>
  <si>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</si>
  <si>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</si>
  <si>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</si>
  <si>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</si>
  <si>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</si>
  <si>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</si>
  <si>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</si>
  <si>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</si>
  <si>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</si>
  <si>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</si>
  <si>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</si>
  <si>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</si>
  <si>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</si>
  <si>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</si>
  <si>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</si>
  <si>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</si>
  <si>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</si>
  <si>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</si>
  <si>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</si>
  <si>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</si>
  <si>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</si>
  <si>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</si>
  <si>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</si>
  <si>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</si>
  <si>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</si>
  <si>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</si>
  <si>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</si>
  <si>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</si>
  <si>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</si>
  <si>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</si>
  <si>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</si>
  <si>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</si>
  <si>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</si>
  <si>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</si>
  <si>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</si>
  <si>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</si>
  <si>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</si>
  <si>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</si>
  <si>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</si>
  <si>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</si>
  <si>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</si>
  <si>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</si>
  <si>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</si>
  <si>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</si>
  <si>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</si>
  <si>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</si>
  <si>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</si>
  <si>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</si>
  <si>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</si>
  <si>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</si>
  <si>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</si>
  <si>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</si>
  <si>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</si>
  <si>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</si>
  <si>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</si>
  <si>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</si>
  <si>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</si>
  <si>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</si>
  <si>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</si>
  <si>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</si>
  <si>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</si>
  <si>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</si>
  <si>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</si>
  <si>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</si>
  <si>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</si>
  <si>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</si>
  <si>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</si>
  <si>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</si>
  <si>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</si>
  <si>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</si>
  <si>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</si>
  <si>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</si>
  <si>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</si>
  <si>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</si>
  <si>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</si>
  <si>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</si>
  <si>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</si>
  <si>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</si>
  <si>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</si>
  <si>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</si>
  <si>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</si>
  <si>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</si>
  <si>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</si>
  <si>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</si>
  <si>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</si>
  <si>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</si>
  <si>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</si>
  <si>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</si>
  <si>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</si>
  <si>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</si>
  <si>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</si>
  <si>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</si>
  <si>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</si>
  <si>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</si>
  <si>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</si>
  <si>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</si>
  <si>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</si>
  <si>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</si>
  <si>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</si>
  <si>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</si>
  <si>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</si>
  <si>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</si>
  <si>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</si>
  <si>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</si>
  <si>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</si>
  <si>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</si>
  <si>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</si>
  <si>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</si>
  <si>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</si>
  <si>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</si>
  <si>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</si>
  <si>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</si>
  <si>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</si>
  <si>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</si>
  <si>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</si>
  <si>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</si>
  <si>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</si>
  <si>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</si>
  <si>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</si>
  <si>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</si>
  <si>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</si>
  <si>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</si>
  <si>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</si>
  <si>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</si>
  <si>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</si>
  <si>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</si>
  <si>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</si>
  <si>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</si>
  <si>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</si>
  <si>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</si>
  <si>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</si>
  <si>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</si>
  <si>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</si>
  <si>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</si>
  <si>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</si>
  <si>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</si>
  <si>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</si>
  <si>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</si>
  <si>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</si>
  <si>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</si>
  <si>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</si>
  <si>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</si>
  <si>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</si>
  <si>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</si>
  <si>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</si>
  <si>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</si>
  <si>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</si>
  <si>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</si>
  <si>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</si>
  <si>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</si>
  <si>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</si>
  <si>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</si>
  <si>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</si>
  <si>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</si>
  <si>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</si>
  <si>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</si>
  <si>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</si>
  <si>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</si>
  <si>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</si>
  <si>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</si>
  <si>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</si>
  <si>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</si>
  <si>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</si>
  <si>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</si>
  <si>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</si>
  <si>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</si>
  <si>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</si>
  <si>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</si>
  <si>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</si>
  <si>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</si>
  <si>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</si>
  <si>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</si>
  <si>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</si>
  <si>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</si>
  <si>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</si>
  <si>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</si>
  <si>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</si>
  <si>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</si>
  <si>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</si>
  <si>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</si>
  <si>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</si>
  <si>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</si>
  <si>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</si>
  <si>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</si>
  <si>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</si>
  <si>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</si>
  <si>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</si>
  <si>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</si>
  <si>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</si>
  <si>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</si>
  <si>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</si>
  <si>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</si>
  <si>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</si>
  <si>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</si>
  <si>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</si>
  <si>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</si>
  <si>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</si>
  <si>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</si>
  <si>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</si>
  <si>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</si>
  <si>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</si>
  <si>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</si>
  <si>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</si>
  <si>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</si>
  <si>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</si>
  <si>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</si>
  <si>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</si>
  <si>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</si>
  <si>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</si>
  <si>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</si>
  <si>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</si>
  <si>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</si>
  <si>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</si>
  <si>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</si>
  <si>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</si>
  <si>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</si>
  <si>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</si>
  <si>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</si>
  <si>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</si>
  <si>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</si>
  <si>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</si>
  <si>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</si>
  <si>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</si>
  <si>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</si>
  <si>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</si>
  <si>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</si>
  <si>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</si>
  <si>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</si>
  <si>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</si>
  <si>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</si>
  <si>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</si>
  <si>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</si>
  <si>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</si>
  <si>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</si>
  <si>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</si>
  <si>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</si>
  <si>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</si>
  <si>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</si>
  <si>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</si>
  <si>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</si>
  <si>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</si>
  <si>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</si>
  <si>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</si>
  <si>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</si>
  <si>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</si>
  <si>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</si>
  <si>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</si>
  <si>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</si>
  <si>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</si>
  <si>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</si>
  <si>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</si>
  <si>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</si>
  <si>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</si>
  <si>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</si>
  <si>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</si>
  <si>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</si>
  <si>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</si>
  <si>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</si>
  <si>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</si>
  <si>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</si>
  <si>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</si>
  <si>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</si>
  <si>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</si>
  <si>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</si>
  <si>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</si>
  <si>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</si>
  <si>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</si>
  <si>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</si>
  <si>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</si>
  <si>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</si>
  <si>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</si>
  <si>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</si>
  <si>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</si>
  <si>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</si>
  <si>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</si>
  <si>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</si>
  <si>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</si>
  <si>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</si>
  <si>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</si>
  <si>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</si>
  <si>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</si>
  <si>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</si>
  <si>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</si>
  <si>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</si>
  <si>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</si>
  <si>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</si>
  <si>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</si>
  <si>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</si>
  <si>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</si>
  <si>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</si>
  <si>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</si>
  <si>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</si>
  <si>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</si>
  <si>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</si>
  <si>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</si>
  <si>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</si>
  <si>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</si>
  <si>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</si>
  <si>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</si>
  <si>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</si>
  <si>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</si>
  <si>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</si>
  <si>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</si>
  <si>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</si>
  <si>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</si>
  <si>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</si>
  <si>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</si>
  <si>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</si>
  <si>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</si>
  <si>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</si>
  <si>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</si>
  <si>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</si>
  <si>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</si>
  <si>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</si>
  <si>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</si>
  <si>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</si>
  <si>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</si>
  <si>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</si>
  <si>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</si>
  <si>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</si>
  <si>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</si>
  <si>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</si>
  <si>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</si>
  <si>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</si>
  <si>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</si>
  <si>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</si>
  <si>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</si>
  <si>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</si>
  <si>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</si>
  <si>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</si>
  <si>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</si>
  <si>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</si>
  <si>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</si>
  <si>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</si>
  <si>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</si>
  <si>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</si>
  <si>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</si>
  <si>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</si>
  <si>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</si>
  <si>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</si>
  <si>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</si>
  <si>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</si>
  <si>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</si>
  <si>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</si>
  <si>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</si>
  <si>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</si>
  <si>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</si>
  <si>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</si>
  <si>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</si>
  <si>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</si>
  <si>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</si>
  <si>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</si>
  <si>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</si>
  <si>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</si>
  <si>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</si>
  <si>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</si>
  <si>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</si>
  <si>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</si>
  <si>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</si>
  <si>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</si>
  <si>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</si>
  <si>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</si>
  <si>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</si>
  <si>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</si>
  <si>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</si>
  <si>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</si>
  <si>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</si>
  <si>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</si>
  <si>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</si>
  <si>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</si>
  <si>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</si>
  <si>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</si>
  <si>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</si>
  <si>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</si>
  <si>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</si>
  <si>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</si>
  <si>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</si>
  <si>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</si>
  <si>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</si>
  <si>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</si>
  <si>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</si>
  <si>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</si>
  <si>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</si>
  <si>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</si>
  <si>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</si>
  <si>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</si>
  <si>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</si>
  <si>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</si>
  <si>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</si>
  <si>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</si>
  <si>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</si>
  <si>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</si>
  <si>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</si>
  <si>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</si>
  <si>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</si>
  <si>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</si>
  <si>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</si>
  <si>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</si>
  <si>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</si>
  <si>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</si>
  <si>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</si>
  <si>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</si>
  <si>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</si>
  <si>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</si>
  <si>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</si>
  <si>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</si>
  <si>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</si>
  <si>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</si>
  <si>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</si>
  <si>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</si>
  <si>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</si>
  <si>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</si>
  <si>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</si>
  <si>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</si>
  <si>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</si>
  <si>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</si>
  <si>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</si>
  <si>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</si>
  <si>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</si>
  <si>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</si>
  <si>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</si>
  <si>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</si>
  <si>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</si>
  <si>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</si>
  <si>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</si>
  <si>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</si>
  <si>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</si>
  <si>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</si>
  <si>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</si>
  <si>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</si>
  <si>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</si>
  <si>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</si>
  <si>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</si>
  <si>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</si>
  <si>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</si>
  <si>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</si>
  <si>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</si>
  <si>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</si>
  <si>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</si>
  <si>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</si>
  <si>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</si>
  <si>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</si>
  <si>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</si>
  <si>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</si>
  <si>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</si>
  <si>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</si>
  <si>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</si>
  <si>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</si>
  <si>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</si>
  <si>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</si>
  <si>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</si>
  <si>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</si>
  <si>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</si>
  <si>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</si>
  <si>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</si>
  <si>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</si>
  <si>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</si>
  <si>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</si>
  <si>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</si>
  <si>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</si>
  <si>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</si>
  <si>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</si>
  <si>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</si>
  <si>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</si>
  <si>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</si>
  <si>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</si>
  <si>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</si>
  <si>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</si>
  <si>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</si>
  <si>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</si>
  <si>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</si>
  <si>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</si>
  <si>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</si>
  <si>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</si>
  <si>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</si>
  <si>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</si>
  <si>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</si>
  <si>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</si>
  <si>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</si>
  <si>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</si>
  <si>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</si>
  <si>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</si>
  <si>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</si>
  <si>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</si>
  <si>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</si>
  <si>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</si>
  <si>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</si>
  <si>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</si>
  <si>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</si>
  <si>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</si>
  <si>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</si>
  <si>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</si>
  <si>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</si>
  <si>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</si>
  <si>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</si>
  <si>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</si>
  <si>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</si>
  <si>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</si>
  <si>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</si>
  <si>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</si>
  <si>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</si>
  <si>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</si>
  <si>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</si>
  <si>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</si>
  <si>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</si>
  <si>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</si>
  <si>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</si>
  <si>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</si>
  <si>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</si>
  <si>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</si>
  <si>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</si>
  <si>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</si>
  <si>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</si>
  <si>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</si>
  <si>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</si>
  <si>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</si>
  <si>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</si>
  <si>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</si>
  <si>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</si>
  <si>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</si>
  <si>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</si>
  <si>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</si>
  <si>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</si>
  <si>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</si>
  <si>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</si>
  <si>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</si>
  <si>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</si>
  <si>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</si>
  <si>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</si>
  <si>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</si>
  <si>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</si>
  <si>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</si>
  <si>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</si>
  <si>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</si>
  <si>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</si>
  <si>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</si>
  <si>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</si>
  <si>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</si>
  <si>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</si>
  <si>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</si>
  <si>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</si>
  <si>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</si>
  <si>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</si>
  <si>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</si>
  <si>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</si>
  <si>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</si>
  <si>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</si>
  <si>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</si>
  <si>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</si>
  <si>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</si>
  <si>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</si>
  <si>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</si>
  <si>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</si>
  <si>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</si>
  <si>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</si>
  <si>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</si>
  <si>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</si>
  <si>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</si>
  <si>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</si>
  <si>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</si>
  <si>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</si>
  <si>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</si>
  <si>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</si>
  <si>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</si>
  <si>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</si>
  <si>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</si>
  <si>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</si>
  <si>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</si>
  <si>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</si>
  <si>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</si>
  <si>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</si>
  <si>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</si>
  <si>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</si>
  <si>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</si>
  <si>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</si>
  <si>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</si>
  <si>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</si>
  <si>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</si>
  <si>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</si>
  <si>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</si>
  <si>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</si>
  <si>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</si>
  <si>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</si>
  <si>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</si>
  <si>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</si>
  <si>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</si>
  <si>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</si>
  <si>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</si>
  <si>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</si>
  <si>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</si>
  <si>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</si>
  <si>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</si>
  <si>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</si>
  <si>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</si>
  <si>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</si>
  <si>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</si>
  <si>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</si>
  <si>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</si>
  <si>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</si>
  <si>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</si>
  <si>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</si>
  <si>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</si>
  <si>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</si>
  <si>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</si>
  <si>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</si>
  <si>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</si>
  <si>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</si>
  <si>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</si>
  <si>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</si>
  <si>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</si>
  <si>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</si>
  <si>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</si>
  <si>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</si>
  <si>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</si>
  <si>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</si>
  <si>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</si>
  <si>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</si>
  <si>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</si>
  <si>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</si>
  <si>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</si>
  <si>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</si>
  <si>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</si>
  <si>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</si>
  <si>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</si>
  <si>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</si>
  <si>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</si>
  <si>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</si>
  <si>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</si>
  <si>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</si>
  <si>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</si>
  <si>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</si>
  <si>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</si>
  <si>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</si>
  <si>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</si>
  <si>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</si>
  <si>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</si>
  <si>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</si>
  <si>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</si>
  <si>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</si>
  <si>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</si>
  <si>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</si>
  <si>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</si>
  <si>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</si>
  <si>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</si>
  <si>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</si>
  <si>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</si>
  <si>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</si>
  <si>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</si>
  <si>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</si>
  <si>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</si>
  <si>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</si>
  <si>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</si>
  <si>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</si>
  <si>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</si>
  <si>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</si>
  <si>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</si>
  <si>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</si>
  <si>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</si>
  <si>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</si>
  <si>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</si>
  <si>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</si>
  <si>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</si>
  <si>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</si>
  <si>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</si>
  <si>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</si>
  <si>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</si>
  <si>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</si>
  <si>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</si>
  <si>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</si>
  <si>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</si>
  <si>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</si>
  <si>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</si>
  <si>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</si>
  <si>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</si>
  <si>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</si>
  <si>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</si>
  <si>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</si>
  <si>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</si>
  <si>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</si>
  <si>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</si>
  <si>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</si>
  <si>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</si>
  <si>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</si>
  <si>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</si>
  <si>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</si>
  <si>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</si>
  <si>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</si>
  <si>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</si>
  <si>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</si>
  <si>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</si>
  <si>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</si>
  <si>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</si>
  <si>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</si>
  <si>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</si>
  <si>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</si>
  <si>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</si>
  <si>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</si>
  <si>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</si>
  <si>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</si>
  <si>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</si>
  <si>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</si>
  <si>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</si>
  <si>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</si>
  <si>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</si>
  <si>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</si>
  <si>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</si>
  <si>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</si>
  <si>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</si>
  <si>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</si>
  <si>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</si>
  <si>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</si>
  <si>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</si>
  <si>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</si>
  <si>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</si>
  <si>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</si>
  <si>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</si>
  <si>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</si>
  <si>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</si>
  <si>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</si>
  <si>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</si>
  <si>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</si>
  <si>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</si>
  <si>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</si>
  <si>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</si>
  <si>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</si>
  <si>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</si>
  <si>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</si>
  <si>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</si>
  <si>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</si>
  <si>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</si>
  <si>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</si>
  <si>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</si>
  <si>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</si>
  <si>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</si>
  <si>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</si>
  <si>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</si>
  <si>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</si>
  <si>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</si>
  <si>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</si>
  <si>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</si>
  <si>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</si>
  <si>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</si>
  <si>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</si>
  <si>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</si>
  <si>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</si>
  <si>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</si>
  <si>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</si>
  <si>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</si>
  <si>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</si>
  <si>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</si>
  <si>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</si>
  <si>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</si>
  <si>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</si>
  <si>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</si>
  <si>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</si>
  <si>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</si>
  <si>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</si>
  <si>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</si>
  <si>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</si>
  <si>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</si>
  <si>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</si>
  <si>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</si>
  <si>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</si>
  <si>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</si>
  <si>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</si>
  <si>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</si>
  <si>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</si>
  <si>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</si>
  <si>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</si>
  <si>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</si>
  <si>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</si>
  <si>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</si>
  <si>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</si>
  <si>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</si>
  <si>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</si>
  <si>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</si>
  <si>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</si>
  <si>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</si>
  <si>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</si>
  <si>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</si>
  <si>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</si>
  <si>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</si>
  <si>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</si>
  <si>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</si>
  <si>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</si>
  <si>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</si>
  <si>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</si>
  <si>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</si>
  <si>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</si>
  <si>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</si>
  <si>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</si>
  <si>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</si>
  <si>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</si>
  <si>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</si>
  <si>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</si>
  <si>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</si>
  <si>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</si>
  <si>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</si>
  <si>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</si>
  <si>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</si>
  <si>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</si>
  <si>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</si>
  <si>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</si>
  <si>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</si>
  <si>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</si>
  <si>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</si>
  <si>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</si>
  <si>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</si>
  <si>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</si>
  <si>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</si>
  <si>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</si>
  <si>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</si>
  <si>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</si>
  <si>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</si>
  <si>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</si>
  <si>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</si>
  <si>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</si>
  <si>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</si>
  <si>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</si>
  <si>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</si>
  <si>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</si>
  <si>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</si>
  <si>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</si>
  <si>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</si>
  <si>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</si>
  <si>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</si>
  <si>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</si>
  <si>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</si>
  <si>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</si>
  <si>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</si>
  <si>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</si>
  <si>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</si>
  <si>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</si>
  <si>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</si>
  <si>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</si>
  <si>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</si>
  <si>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</si>
  <si>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</si>
  <si>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</si>
  <si>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</si>
  <si>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</si>
  <si>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</si>
  <si>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</si>
  <si>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</si>
  <si>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</si>
  <si>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</si>
  <si>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</si>
  <si>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</si>
  <si>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</si>
  <si>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</si>
  <si>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</si>
  <si>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</si>
  <si>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</si>
  <si>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</si>
  <si>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</si>
  <si>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</si>
  <si>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</si>
  <si>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</si>
  <si>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</si>
  <si>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</si>
  <si>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</si>
  <si>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</si>
  <si>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</si>
  <si>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</si>
  <si>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</si>
  <si>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</si>
  <si>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</si>
  <si>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</si>
  <si>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</si>
  <si>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</si>
  <si>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</si>
  <si>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</si>
  <si>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</si>
  <si>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</si>
  <si>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</si>
  <si>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</si>
  <si>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</si>
  <si>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</si>
  <si>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</si>
  <si>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</si>
  <si>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</si>
  <si>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</si>
  <si>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</si>
  <si>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</si>
  <si>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</si>
  <si>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</si>
  <si>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</si>
  <si>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</si>
  <si>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</si>
  <si>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</si>
  <si>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</si>
  <si>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</si>
  <si>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</si>
  <si>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</si>
  <si>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</si>
  <si>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</si>
  <si>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</si>
  <si>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</si>
  <si>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</si>
  <si>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</si>
  <si>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</si>
  <si>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</si>
  <si>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</si>
  <si>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</si>
  <si>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</si>
  <si>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</si>
  <si>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</si>
  <si>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</si>
  <si>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</si>
  <si>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</si>
  <si>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</si>
  <si>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</si>
  <si>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</si>
  <si>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</si>
  <si>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</si>
  <si>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</si>
  <si>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</si>
  <si>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</si>
  <si>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</si>
  <si>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</si>
  <si>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</si>
  <si>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</si>
  <si>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</si>
  <si>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</si>
  <si>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</si>
  <si>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</si>
  <si>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</si>
  <si>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</si>
  <si>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</si>
  <si>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</si>
  <si>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</si>
  <si>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</si>
  <si>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</si>
  <si>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</si>
  <si>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</si>
  <si>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</si>
  <si>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</si>
  <si>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</si>
  <si>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</si>
  <si>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</si>
  <si>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</si>
  <si>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</si>
  <si>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</si>
  <si>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</si>
  <si>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</si>
  <si>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</si>
  <si>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</si>
  <si>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</si>
  <si>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</si>
  <si>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</si>
  <si>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</si>
  <si>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</si>
  <si>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</si>
  <si>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</si>
  <si>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</si>
  <si>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</si>
  <si>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</si>
  <si>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</si>
  <si>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</si>
  <si>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</si>
  <si>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</si>
  <si>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</si>
  <si>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</si>
  <si>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</si>
  <si>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</si>
  <si>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</si>
  <si>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</si>
  <si>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</si>
  <si>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</si>
  <si>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</si>
  <si>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</si>
  <si>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</si>
  <si>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</si>
  <si>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</si>
  <si>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</si>
  <si>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</si>
  <si>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</si>
  <si>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</si>
  <si>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</si>
  <si>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</si>
  <si>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</si>
  <si>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</si>
  <si>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</si>
  <si>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</si>
  <si>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</si>
  <si>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</si>
  <si>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</si>
  <si>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</si>
  <si>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</si>
  <si>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</si>
  <si>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</si>
  <si>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</si>
  <si>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</si>
  <si>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</si>
  <si>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</si>
  <si>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</si>
  <si>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</si>
  <si>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</si>
  <si>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</si>
  <si>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</si>
  <si>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</si>
  <si>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</si>
  <si>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</si>
  <si>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</si>
  <si>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</si>
  <si>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</si>
  <si>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</si>
  <si>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</si>
  <si>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</si>
  <si>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</si>
  <si>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</si>
  <si>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</si>
  <si>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</si>
  <si>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</si>
  <si>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</si>
  <si>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</si>
  <si>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</si>
  <si>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</si>
  <si>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</si>
  <si>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</si>
  <si>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</si>
  <si>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</si>
  <si>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</si>
  <si>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</si>
  <si>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</si>
  <si>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</si>
  <si>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</si>
  <si>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</si>
  <si>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</si>
  <si>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</si>
  <si>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</si>
  <si>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</si>
  <si>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</si>
  <si>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</si>
  <si>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</si>
  <si>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</si>
  <si>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</si>
  <si>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</si>
  <si>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</si>
  <si>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</si>
  <si>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</si>
  <si>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</si>
  <si>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</si>
  <si>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</si>
  <si>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</si>
  <si>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</si>
  <si>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</si>
  <si>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</si>
  <si>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</si>
  <si>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</si>
  <si>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</si>
  <si>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</si>
  <si>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</si>
  <si>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</si>
  <si>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</si>
  <si>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</si>
  <si>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</si>
  <si>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</si>
  <si>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</si>
  <si>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</si>
  <si>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</si>
  <si>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</si>
  <si>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</si>
  <si>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</si>
  <si>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</si>
  <si>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</si>
  <si>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</si>
  <si>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</si>
  <si>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</si>
  <si>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</si>
  <si>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</si>
  <si>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</si>
  <si>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</si>
  <si>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</si>
  <si>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</si>
  <si>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</si>
  <si>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</si>
  <si>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</si>
  <si>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</si>
  <si>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</si>
  <si>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</si>
  <si>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</si>
  <si>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</si>
  <si>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</si>
  <si>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</si>
  <si>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</si>
  <si>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</si>
  <si>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</si>
  <si>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</si>
  <si>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</si>
  <si>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</si>
  <si>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</si>
  <si>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</si>
  <si>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</si>
  <si>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</si>
  <si>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</si>
  <si>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</si>
  <si>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</si>
  <si>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</si>
  <si>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</si>
  <si>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</si>
  <si>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</si>
  <si>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</si>
  <si>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</si>
  <si>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</si>
  <si>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</si>
  <si>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</si>
  <si>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</si>
  <si>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</si>
  <si>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</si>
  <si>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</si>
  <si>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</si>
  <si>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</si>
  <si>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</si>
  <si>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</si>
  <si>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</si>
  <si>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</si>
  <si>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</si>
  <si>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</si>
  <si>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</si>
  <si>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</si>
  <si>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</si>
  <si>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</si>
  <si>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</si>
  <si>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</si>
  <si>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</si>
  <si>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</si>
  <si>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</si>
  <si>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</si>
  <si>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</si>
  <si>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</si>
  <si>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</si>
  <si>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</si>
  <si>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</si>
  <si>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</si>
  <si>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</si>
  <si>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</si>
  <si>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</si>
  <si>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</si>
  <si>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</si>
  <si>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</si>
  <si>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</si>
  <si>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</si>
  <si>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</si>
  <si>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</si>
  <si>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</si>
  <si>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</si>
  <si>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</si>
  <si>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</si>
  <si>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</si>
  <si>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</si>
  <si>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</si>
  <si>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</si>
  <si>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</si>
  <si>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</si>
  <si>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</si>
  <si>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</si>
  <si>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</si>
  <si>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</si>
  <si>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</si>
  <si>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</si>
  <si>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</si>
  <si>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</si>
  <si>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</si>
  <si>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</si>
  <si>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</si>
  <si>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</si>
  <si>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</si>
  <si>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</si>
  <si>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</si>
  <si>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</si>
  <si>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</si>
  <si>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</si>
  <si>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</si>
  <si>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</si>
  <si>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</si>
  <si>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</si>
  <si>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</si>
  <si>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</si>
  <si>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</si>
  <si>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</si>
  <si>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</si>
  <si>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</si>
  <si>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</si>
  <si>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</si>
  <si>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</si>
  <si>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</si>
  <si>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</si>
  <si>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</si>
  <si>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</si>
  <si>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</si>
  <si>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</si>
  <si>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</si>
  <si>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</si>
  <si>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</si>
  <si>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</si>
  <si>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</si>
  <si>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</si>
  <si>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</si>
  <si>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</si>
  <si>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</si>
  <si>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</si>
  <si>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</si>
  <si>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</si>
  <si>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</si>
  <si>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</si>
  <si>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</si>
  <si>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</si>
  <si>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</si>
  <si>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</si>
  <si>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</si>
  <si>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</si>
  <si>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</si>
  <si>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</si>
  <si>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</si>
  <si>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</si>
  <si>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</si>
  <si>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</si>
  <si>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</si>
  <si>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</si>
  <si>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</si>
  <si>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</si>
  <si>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</si>
  <si>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</si>
  <si>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</si>
  <si>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</si>
  <si>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</si>
  <si>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</si>
  <si>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</si>
  <si>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</si>
  <si>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</si>
  <si>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</si>
  <si>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</si>
  <si>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</si>
  <si>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</si>
  <si>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</si>
  <si>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</si>
  <si>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</si>
  <si>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</si>
  <si>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</si>
  <si>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</si>
  <si>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</si>
  <si>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</si>
  <si>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</si>
  <si>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</si>
  <si>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</si>
  <si>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</si>
  <si>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</si>
  <si>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</si>
  <si>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</si>
  <si>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</si>
  <si>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</si>
  <si>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</si>
  <si>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</si>
  <si>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</si>
  <si>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</si>
  <si>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</si>
  <si>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</si>
  <si>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</si>
  <si>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</si>
  <si>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</si>
  <si>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</si>
  <si>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</si>
  <si>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</si>
  <si>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</si>
  <si>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</si>
  <si>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</si>
  <si>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</si>
  <si>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</si>
  <si>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</si>
  <si>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</si>
  <si>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</si>
  <si>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</si>
  <si>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</si>
  <si>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</si>
  <si>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</si>
  <si>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</si>
  <si>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</si>
  <si>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</si>
  <si>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</si>
  <si>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</si>
  <si>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</si>
  <si>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</si>
  <si>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</si>
  <si>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</si>
  <si>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</si>
  <si>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</si>
  <si>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</si>
  <si>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</si>
  <si>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</si>
  <si>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</si>
  <si>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</si>
  <si>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</si>
  <si>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</si>
  <si>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</si>
  <si>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</si>
  <si>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</si>
  <si>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</si>
  <si>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</si>
  <si>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</si>
  <si>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</si>
  <si>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</si>
  <si>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</si>
  <si>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</si>
  <si>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</si>
  <si>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</si>
  <si>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</si>
  <si>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</si>
  <si>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</si>
  <si>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</si>
  <si>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</si>
  <si>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</si>
  <si>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</si>
  <si>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</si>
  <si>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</si>
  <si>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</si>
  <si>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</si>
  <si>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</si>
  <si>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</si>
  <si>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</si>
  <si>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</si>
  <si>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</si>
  <si>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</si>
  <si>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</si>
  <si>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</si>
  <si>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</si>
  <si>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</si>
  <si>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</si>
  <si>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</si>
  <si>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</si>
  <si>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</si>
  <si>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</si>
  <si>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</si>
  <si>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</si>
  <si>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</si>
  <si>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</si>
  <si>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</si>
  <si>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</si>
  <si>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</si>
  <si>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</si>
  <si>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</si>
  <si>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</si>
  <si>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</si>
  <si>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</si>
  <si>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</si>
  <si>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</si>
  <si>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</si>
  <si>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</si>
  <si>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</si>
  <si>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</si>
  <si>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</si>
  <si>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</si>
  <si>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</si>
  <si>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</si>
  <si>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</si>
  <si>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</si>
  <si>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</si>
  <si>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</si>
  <si>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</si>
  <si>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</si>
  <si>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</si>
  <si>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</si>
  <si>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</si>
  <si>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</si>
  <si>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</si>
  <si>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</si>
  <si>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</si>
  <si>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</si>
  <si>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</si>
  <si>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</si>
  <si>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</si>
  <si>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</si>
  <si>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</si>
  <si>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</si>
  <si>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</si>
  <si>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</si>
  <si>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</si>
  <si>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</si>
  <si>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</si>
  <si>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</si>
  <si>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</si>
  <si>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</si>
  <si>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</si>
  <si>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</si>
  <si>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</si>
  <si>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</si>
  <si>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</si>
  <si>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</si>
  <si>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</si>
  <si>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</si>
  <si>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</si>
  <si>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</si>
  <si>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</si>
  <si>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</si>
  <si>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</si>
  <si>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</si>
  <si>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</si>
  <si>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</si>
  <si>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</si>
  <si>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</si>
  <si>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</si>
  <si>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</si>
  <si>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</si>
  <si>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</si>
  <si>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</si>
  <si>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</si>
  <si>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</si>
  <si>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</si>
  <si>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</si>
  <si>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</si>
  <si>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</si>
  <si>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</si>
  <si>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</si>
  <si>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</si>
  <si>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</si>
  <si>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</si>
  <si>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</si>
  <si>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</si>
  <si>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</si>
  <si>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</si>
  <si>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</si>
  <si>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</si>
  <si>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</si>
  <si>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</si>
  <si>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</si>
  <si>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</si>
  <si>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</si>
  <si>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</si>
  <si>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</si>
  <si>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</si>
  <si>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</si>
  <si>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</si>
  <si>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</si>
  <si>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</si>
  <si>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</si>
  <si>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</si>
  <si>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</si>
  <si>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</si>
  <si>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</si>
  <si>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</si>
  <si>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</si>
  <si>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</si>
  <si>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</si>
  <si>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</si>
  <si>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</si>
  <si>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</si>
  <si>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</si>
  <si>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</si>
  <si>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</si>
  <si>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</si>
  <si>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</si>
  <si>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</si>
  <si>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</si>
  <si>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</si>
  <si>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</si>
  <si>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</si>
  <si>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</si>
  <si>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</si>
  <si>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</si>
  <si>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</si>
  <si>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</si>
  <si>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</si>
  <si>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</si>
  <si>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</si>
  <si>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</si>
  <si>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</si>
  <si>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</si>
  <si>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</si>
  <si>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</si>
  <si>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</si>
  <si>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</si>
  <si>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</si>
  <si>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</si>
  <si>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</si>
  <si>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</si>
  <si>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</si>
  <si>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</si>
  <si>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</si>
  <si>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</si>
  <si>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</si>
  <si>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</si>
  <si>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</si>
  <si>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</si>
  <si>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</si>
  <si>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</si>
  <si>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</si>
  <si>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</si>
  <si>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</si>
  <si>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</si>
  <si>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</si>
  <si>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</si>
  <si>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</si>
  <si>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</si>
  <si>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</si>
  <si>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</si>
  <si>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</si>
  <si>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</si>
  <si>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</si>
  <si>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</si>
  <si>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</si>
  <si>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</si>
  <si>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</si>
  <si>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</si>
  <si>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</si>
  <si>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</si>
  <si>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</si>
  <si>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</si>
  <si>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</si>
  <si>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</si>
  <si>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</si>
  <si>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</si>
  <si>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</si>
  <si>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</si>
  <si>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</si>
  <si>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</si>
  <si>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</si>
  <si>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</si>
  <si>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</si>
  <si>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</si>
  <si>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</si>
  <si>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</si>
  <si>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</si>
  <si>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</si>
  <si>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</si>
  <si>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</si>
  <si>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</si>
  <si>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</si>
  <si>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</si>
  <si>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</si>
  <si>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</si>
  <si>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</si>
  <si>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</si>
  <si>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</si>
  <si>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</si>
  <si>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</si>
  <si>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</si>
  <si>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</si>
  <si>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</si>
  <si>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</si>
  <si>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</si>
  <si>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</si>
  <si>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</si>
  <si>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</si>
  <si>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</si>
  <si>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</si>
  <si>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</si>
  <si>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</si>
  <si>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</si>
  <si>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</si>
  <si>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</si>
  <si>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</si>
  <si>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</si>
  <si>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</si>
  <si>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</si>
  <si>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</si>
  <si>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</si>
  <si>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</si>
  <si>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</si>
  <si>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</si>
  <si>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</si>
  <si>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</si>
  <si>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</si>
  <si>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</si>
  <si>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</si>
  <si>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</si>
  <si>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</si>
  <si>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</si>
  <si>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</si>
  <si>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</si>
  <si>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</si>
  <si>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</si>
  <si>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</si>
  <si>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</si>
  <si>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</si>
  <si>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</si>
  <si>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</si>
  <si>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</si>
  <si>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</si>
  <si>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</si>
  <si>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</si>
  <si>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</si>
  <si>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</si>
  <si>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</si>
  <si>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</si>
  <si>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</si>
  <si>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</si>
  <si>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</si>
  <si>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</si>
  <si>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</si>
  <si>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</si>
  <si>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</si>
  <si>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</si>
  <si>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</si>
  <si>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</si>
  <si>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</si>
  <si>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</si>
  <si>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</si>
  <si>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</si>
  <si>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</si>
  <si>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</si>
  <si>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</si>
  <si>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</si>
  <si>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</si>
  <si>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</si>
  <si>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</si>
  <si>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</si>
  <si>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</si>
  <si>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</si>
  <si>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</si>
  <si>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</si>
  <si>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</si>
  <si>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</si>
  <si>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</si>
  <si>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</si>
  <si>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</si>
  <si>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</si>
  <si>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</si>
  <si>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</si>
  <si>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</si>
  <si>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</si>
  <si>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</si>
  <si>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</si>
  <si>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</si>
  <si>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</si>
  <si>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</si>
  <si>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</si>
  <si>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</si>
  <si>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</si>
  <si>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</si>
  <si>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</si>
  <si>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</si>
  <si>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</si>
  <si>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</si>
  <si>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</si>
  <si>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</si>
  <si>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</si>
  <si>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</si>
  <si>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</si>
  <si>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</si>
  <si>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</si>
  <si>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</si>
  <si>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</si>
  <si>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</si>
  <si>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</si>
  <si>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</si>
  <si>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</si>
  <si>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</si>
  <si>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</si>
  <si>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</si>
  <si>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</si>
  <si>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</si>
  <si>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</si>
  <si>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</si>
  <si>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</si>
  <si>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</si>
  <si>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</si>
  <si>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</si>
  <si>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</si>
  <si>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</si>
  <si>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</si>
  <si>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</si>
  <si>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</si>
  <si>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</si>
  <si>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</si>
  <si>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</si>
  <si>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</si>
  <si>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</si>
  <si>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</si>
  <si>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</si>
  <si>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</si>
  <si>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</si>
  <si>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</si>
  <si>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</si>
  <si>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</si>
  <si>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</si>
  <si>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</si>
  <si>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</si>
  <si>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</si>
  <si>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</si>
  <si>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</si>
  <si>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</si>
  <si>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</si>
  <si>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</si>
  <si>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</si>
  <si>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</si>
  <si>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</si>
  <si>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</si>
  <si>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</si>
  <si>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</si>
  <si>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</si>
  <si>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</si>
  <si>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</si>
  <si>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</si>
  <si>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</si>
  <si>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</si>
  <si>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</si>
  <si>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</si>
  <si>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</si>
  <si>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</si>
  <si>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</si>
  <si>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</si>
  <si>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</si>
  <si>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</si>
  <si>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</si>
  <si>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</si>
  <si>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</si>
  <si>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</si>
  <si>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</si>
  <si>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</si>
  <si>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</si>
  <si>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</si>
  <si>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</si>
  <si>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</si>
  <si>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</si>
  <si>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</si>
  <si>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</si>
  <si>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</si>
  <si>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</si>
  <si>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</si>
  <si>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</si>
  <si>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</si>
  <si>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</si>
  <si>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</si>
  <si>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</si>
  <si>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</si>
  <si>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</si>
  <si>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</si>
  <si>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</si>
  <si>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</si>
  <si>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</si>
  <si>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</si>
  <si>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</si>
  <si>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</si>
  <si>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</si>
  <si>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</si>
  <si>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</si>
  <si>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</si>
  <si>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</si>
  <si>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</si>
  <si>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</si>
  <si>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</si>
  <si>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</si>
  <si>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</si>
  <si>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</si>
  <si>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</si>
  <si>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</si>
  <si>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</si>
  <si>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</si>
  <si>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</si>
  <si>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</si>
  <si>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</si>
  <si>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</si>
  <si>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</si>
  <si>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</si>
  <si>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</si>
  <si>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</si>
  <si>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</si>
  <si>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</si>
  <si>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</si>
  <si>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</si>
  <si>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</si>
  <si>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</si>
  <si>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</si>
  <si>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</si>
  <si>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</si>
  <si>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</si>
  <si>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</si>
  <si>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</si>
  <si>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</si>
  <si>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</si>
  <si>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</si>
  <si>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</si>
  <si>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</si>
  <si>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</si>
  <si>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</si>
  <si>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</si>
  <si>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</si>
  <si>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</si>
  <si>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</si>
  <si>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</si>
  <si>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</si>
  <si>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</si>
  <si>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</si>
  <si>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</si>
  <si>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</si>
  <si>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</si>
  <si>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</si>
  <si>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</si>
  <si>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</si>
  <si>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</si>
  <si>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</si>
  <si>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</si>
  <si>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</si>
  <si>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</si>
  <si>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</si>
  <si>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</si>
  <si>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</si>
  <si>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</si>
  <si>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</si>
  <si>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</si>
  <si>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</si>
  <si>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</si>
  <si>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</si>
  <si>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</si>
  <si>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</si>
  <si>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</si>
  <si>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</si>
  <si>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</si>
  <si>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</si>
  <si>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</si>
  <si>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</si>
  <si>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</si>
  <si>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</si>
  <si>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</si>
  <si>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</si>
  <si>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</si>
  <si>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</si>
  <si>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</si>
  <si>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</si>
  <si>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</si>
  <si>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</si>
  <si>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</si>
  <si>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</si>
  <si>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</si>
  <si>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</si>
  <si>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</si>
  <si>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</si>
  <si>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</si>
  <si>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</si>
  <si>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</si>
  <si>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</si>
  <si>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</si>
  <si>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</si>
  <si>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</si>
  <si>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</si>
  <si>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</si>
  <si>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</si>
  <si>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</si>
  <si>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</si>
  <si>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</si>
  <si>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</si>
  <si>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</si>
  <si>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</si>
  <si>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</si>
  <si>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</si>
  <si>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</si>
  <si>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</si>
  <si>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</si>
  <si>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</si>
  <si>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</si>
  <si>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</si>
  <si>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</si>
  <si>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</si>
  <si>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</si>
  <si>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</si>
  <si>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</si>
  <si>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</si>
  <si>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</si>
  <si>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</si>
  <si>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</si>
  <si>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</si>
  <si>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</si>
  <si>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</si>
  <si>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</si>
  <si>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</si>
  <si>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</si>
  <si>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</si>
  <si>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</si>
  <si>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</si>
  <si>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</si>
  <si>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</si>
  <si>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</si>
  <si>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</si>
  <si>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</si>
  <si>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</si>
  <si>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</si>
  <si>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</si>
  <si>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</si>
  <si>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</si>
  <si>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</si>
  <si>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</si>
  <si>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</si>
  <si>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</si>
  <si>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</si>
  <si>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</si>
  <si>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</si>
  <si>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</si>
  <si>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</si>
  <si>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</si>
  <si>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</si>
  <si>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</si>
  <si>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</si>
  <si>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</si>
  <si>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</si>
  <si>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</si>
  <si>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</si>
  <si>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</si>
  <si>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</si>
  <si>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</si>
  <si>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</si>
  <si>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</si>
  <si>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</si>
  <si>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</si>
  <si>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</si>
  <si>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</si>
  <si>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</si>
  <si>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</si>
  <si>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</si>
  <si>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</si>
  <si>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</si>
  <si>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</si>
  <si>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</si>
  <si>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</si>
  <si>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</si>
  <si>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</si>
  <si>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</si>
  <si>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</si>
  <si>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</si>
  <si>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</si>
  <si>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</si>
  <si>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</si>
  <si>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</si>
  <si>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</si>
  <si>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</si>
  <si>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</si>
  <si>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</si>
  <si>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</si>
  <si>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</si>
  <si>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</si>
  <si>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</si>
  <si>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</si>
  <si>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</si>
  <si>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</si>
  <si>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</si>
  <si>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</si>
  <si>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</si>
  <si>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</si>
  <si>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</si>
  <si>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</si>
  <si>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</si>
  <si>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</si>
  <si>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</si>
  <si>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</si>
  <si>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</si>
  <si>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</si>
  <si>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</si>
  <si>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</si>
  <si>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</si>
  <si>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</si>
  <si>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</si>
  <si>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</si>
  <si>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</si>
  <si>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</si>
  <si>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</si>
  <si>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</si>
  <si>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</si>
  <si>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</si>
  <si>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</si>
  <si>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</si>
  <si>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</si>
  <si>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</si>
  <si>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</si>
  <si>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</si>
  <si>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</si>
  <si>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</si>
  <si>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</si>
  <si>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</si>
  <si>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</si>
  <si>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</si>
  <si>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</si>
  <si>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</si>
  <si>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</si>
  <si>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</si>
  <si>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</si>
  <si>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</si>
  <si>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</si>
  <si>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</si>
  <si>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</si>
  <si>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</si>
  <si>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</si>
  <si>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</si>
  <si>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</si>
  <si>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</si>
  <si>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</si>
  <si>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</si>
  <si>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</si>
  <si>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</si>
  <si>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</si>
  <si>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</si>
  <si>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</si>
  <si>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</si>
  <si>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</si>
  <si>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</si>
  <si>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</si>
  <si>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</si>
  <si>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</si>
  <si>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</si>
  <si>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</si>
  <si>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</si>
  <si>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</si>
  <si>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</si>
  <si>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</si>
  <si>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</si>
  <si>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</si>
  <si>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</si>
  <si>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</si>
  <si>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</si>
  <si>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</si>
  <si>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</si>
  <si>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</si>
  <si>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</si>
  <si>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</si>
  <si>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</si>
  <si>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</si>
  <si>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</si>
  <si>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</si>
  <si>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</si>
  <si>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</si>
  <si>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</si>
  <si>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</si>
  <si>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</si>
  <si>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</si>
  <si>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</si>
  <si>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</si>
  <si>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</si>
  <si>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</si>
  <si>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</si>
  <si>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</si>
  <si>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</si>
  <si>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</si>
  <si>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</si>
  <si>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</si>
  <si>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</si>
  <si>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</si>
  <si>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</si>
  <si>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</si>
  <si>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</si>
  <si>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</si>
  <si>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</si>
  <si>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</si>
  <si>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</si>
  <si>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</si>
  <si>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</si>
  <si>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</si>
  <si>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</si>
  <si>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</si>
  <si>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</si>
  <si>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</si>
  <si>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</si>
  <si>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</si>
  <si>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</si>
  <si>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</si>
  <si>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</si>
  <si>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</si>
  <si>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</si>
  <si>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</si>
  <si>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</si>
  <si>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</si>
  <si>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</si>
  <si>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</si>
  <si>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</si>
  <si>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</si>
  <si>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</si>
  <si>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</si>
  <si>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</si>
  <si>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</si>
  <si>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</si>
  <si>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</si>
  <si>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</si>
  <si>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</si>
  <si>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</si>
  <si>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</si>
  <si>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</si>
  <si>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</si>
  <si>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</si>
  <si>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</si>
  <si>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</si>
  <si>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</si>
  <si>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</si>
  <si>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</si>
  <si>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</si>
  <si>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</si>
  <si>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</si>
  <si>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</si>
  <si>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</si>
  <si>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</si>
  <si>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</si>
  <si>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</si>
  <si>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</si>
  <si>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</si>
  <si>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</si>
  <si>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</si>
  <si>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</si>
  <si>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</si>
  <si>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</si>
  <si>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</si>
  <si>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</si>
  <si>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</si>
  <si>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</si>
  <si>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</si>
  <si>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</si>
  <si>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</si>
  <si>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</si>
  <si>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</si>
  <si>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</si>
  <si>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</si>
  <si>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</si>
  <si>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</si>
  <si>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</si>
  <si>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</si>
  <si>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</si>
  <si>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</si>
  <si>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</si>
  <si>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</si>
  <si>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</si>
  <si>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</si>
  <si>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</si>
  <si>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</si>
  <si>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</si>
  <si>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</si>
  <si>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</si>
  <si>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</si>
  <si>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</si>
  <si>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</si>
  <si>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</si>
  <si>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</si>
  <si>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</si>
  <si>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</si>
  <si>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</si>
  <si>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</si>
  <si>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</si>
  <si>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</si>
  <si>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</si>
  <si>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</si>
  <si>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</si>
  <si>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</si>
  <si>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</si>
  <si>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</si>
  <si>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</si>
  <si>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</si>
  <si>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</si>
  <si>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</si>
  <si>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</si>
  <si>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</si>
  <si>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</si>
  <si>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</si>
  <si>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</si>
  <si>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</si>
  <si>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</si>
  <si>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</si>
  <si>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</si>
  <si>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</si>
  <si>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</si>
  <si>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</si>
  <si>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</si>
  <si>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</si>
  <si>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</si>
  <si>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</si>
  <si>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</si>
  <si>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</si>
  <si>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</si>
  <si>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</si>
  <si>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</si>
  <si>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</si>
  <si>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</si>
  <si>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</si>
  <si>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</si>
  <si>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</si>
  <si>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</si>
  <si>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</si>
  <si>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</si>
  <si>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</si>
  <si>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</si>
  <si>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</si>
  <si>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</si>
  <si>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</si>
  <si>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</si>
  <si>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</si>
  <si>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</si>
  <si>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</si>
  <si>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</si>
  <si>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</si>
  <si>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</si>
  <si>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</si>
  <si>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</si>
  <si>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</si>
  <si>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</si>
  <si>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</si>
  <si>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</si>
  <si>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</si>
  <si>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</si>
  <si>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</si>
  <si>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</si>
  <si>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</si>
  <si>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</si>
  <si>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</si>
  <si>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</si>
  <si>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</si>
  <si>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</si>
  <si>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</si>
  <si>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</si>
  <si>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</si>
  <si>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</si>
  <si>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</si>
  <si>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</si>
  <si>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</si>
  <si>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</si>
  <si>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</si>
  <si>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</si>
  <si>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</si>
  <si>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</si>
  <si>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</si>
  <si>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</si>
  <si>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</si>
  <si>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</si>
  <si>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</si>
  <si>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</si>
  <si>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</si>
  <si>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</si>
  <si>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</si>
  <si>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</si>
  <si>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</si>
  <si>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</si>
  <si>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</si>
  <si>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</si>
  <si>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</si>
  <si>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</si>
  <si>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</si>
  <si>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</si>
  <si>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</si>
  <si>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</si>
  <si>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</si>
  <si>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</si>
  <si>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</si>
  <si>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</si>
  <si>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</si>
  <si>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</si>
  <si>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</si>
  <si>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</si>
  <si>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</si>
  <si>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</si>
  <si>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</si>
  <si>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</si>
  <si>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</si>
  <si>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</si>
  <si>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</si>
  <si>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</si>
  <si>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</si>
  <si>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</si>
  <si>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</si>
  <si>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</si>
  <si>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</si>
  <si>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</si>
  <si>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</si>
  <si>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</si>
  <si>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</si>
  <si>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</si>
  <si>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</si>
  <si>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</si>
  <si>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</si>
  <si>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</si>
  <si>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</si>
  <si>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</si>
  <si>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</si>
  <si>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</si>
  <si>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</si>
  <si>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</si>
  <si>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</si>
  <si>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</si>
  <si>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</si>
  <si>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</si>
  <si>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</si>
  <si>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</si>
  <si>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</si>
  <si>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</si>
  <si>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</si>
  <si>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</si>
  <si>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</si>
  <si>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</si>
  <si>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</si>
  <si>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</si>
  <si>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</si>
  <si>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</si>
  <si>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</si>
  <si>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</si>
  <si>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</si>
  <si>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</si>
  <si>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</si>
  <si>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</si>
  <si>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</si>
  <si>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</si>
  <si>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</si>
  <si>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</si>
  <si>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</si>
  <si>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</si>
  <si>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</si>
  <si>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</si>
  <si>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</si>
  <si>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</si>
  <si>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</si>
  <si>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</si>
  <si>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</si>
  <si>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</si>
  <si>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</si>
  <si>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</si>
  <si>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</si>
  <si>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</si>
  <si>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</si>
  <si>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</si>
  <si>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</si>
  <si>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</si>
  <si>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</si>
  <si>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</si>
  <si>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</si>
  <si>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</si>
  <si>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</si>
  <si>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</si>
  <si>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</si>
  <si>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</si>
  <si>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</si>
  <si>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</si>
  <si>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</si>
  <si>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</si>
  <si>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</si>
  <si>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</si>
  <si>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</si>
  <si>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</si>
  <si>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</si>
  <si>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</si>
  <si>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</si>
  <si>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</si>
  <si>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</si>
  <si>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</si>
  <si>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</si>
  <si>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</si>
  <si>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</si>
  <si>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</si>
  <si>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</si>
  <si>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</si>
  <si>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</si>
  <si>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</si>
  <si>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</si>
  <si>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</si>
  <si>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</si>
  <si>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</si>
  <si>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</si>
  <si>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</si>
  <si>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</si>
  <si>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</si>
  <si>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</si>
  <si>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</si>
  <si>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</si>
  <si>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</si>
  <si>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</si>
  <si>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</si>
  <si>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</si>
  <si>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</si>
  <si>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</si>
  <si>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</si>
  <si>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</si>
  <si>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</si>
  <si>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</si>
  <si>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</si>
  <si>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</si>
  <si>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</si>
  <si>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</si>
  <si>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</si>
  <si>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</si>
  <si>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</si>
  <si>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</si>
  <si>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</si>
  <si>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</si>
  <si>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</si>
  <si>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</si>
  <si>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</si>
  <si>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</si>
  <si>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</si>
  <si>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</si>
  <si>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</si>
  <si>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</si>
  <si>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</si>
  <si>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</si>
  <si>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</si>
  <si>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</si>
  <si>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</si>
  <si>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</si>
  <si>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</si>
  <si>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</si>
  <si>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</si>
  <si>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</si>
  <si>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</si>
  <si>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</si>
  <si>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</si>
  <si>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</si>
  <si>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</si>
  <si>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</si>
  <si>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</si>
  <si>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</si>
  <si>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</si>
  <si>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</si>
  <si>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</si>
  <si>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</si>
  <si>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地上</t>
  </si>
  <si>
    <t>是</t>
  </si>
  <si>
    <t>商业</t>
    <phoneticPr fontId="7" type="noConversion"/>
  </si>
  <si>
    <t>成新度</t>
  </si>
  <si>
    <t>押一</t>
  </si>
  <si>
    <t>钢混</t>
  </si>
  <si>
    <t>非生产用房</t>
  </si>
  <si>
    <t>否</t>
  </si>
  <si>
    <t>收益法 (元)</t>
  </si>
  <si>
    <t>项目模式</t>
  </si>
  <si>
    <t>售价</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</si>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</sst>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估价对象为房地产，为所有。根据《国有土地使用证》[]，估价对象（分摊）出让国有建设用地使用权面积为0平方米，建筑面积为432.16平方米。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估价对象为房地产,属开发建设的，该项目尚在开发建设中。根据《国有土地使用证》[]，估价对象（分摊）出让国有建设用地使用权面积为0平方米，规划建筑面积为432.16平方米。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2024年7月1日</v>
      </c>
    </row>
    <row r="13" spans="1:2" s="1203" customFormat="1">
      <c r="A13" s="1201" t="s">
        <v>529</v>
      </c>
      <c r="B13" s="1202" t="str">
        <f>'预评函-1'!A18</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432.16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45474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12.47</v>
      </c>
      <c r="D6" s="3025">
        <f>IF(ISERROR(ROUND(POWER(1+E6,A6-C6)*(POWER(1+E6,C6)-1)/(POWER(1+E6,A6)-1),3)),0,ROUND(POWER(1+E6,A6-C6)*(POWER(1+E6,C6)-1)/(POWER(1+E6,A6)-1),4))</f>
        <v>0.45019999999999999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32.49</v>
      </c>
      <c r="D7" s="3025">
        <f>IF(ISERROR(ROUND(POWER(1+E7,A7-C7)*(POWER(1+E7,C7)-1)/(POWER(1+E7,A7)-1),3)),0,ROUND(POWER(1+E7,A7-C7)*(POWER(1+E7,C7)-1)/(POWER(1+E7,A7)-1),4))</f>
        <v>0.76980000000000004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45474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c r="C9" s="2395"/>
      <c r="D9" s="3503"/>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55331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432.16</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432.16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432.16</v>
      </c>
      <c r="H5" s="13">
        <f t="shared" ref="H5:AT5" si="0">SUM(H13:H656)</f>
        <v>432.16</v>
      </c>
      <c r="I5" s="13">
        <f t="shared" si="0"/>
        <v>432.16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432.16</v>
      </c>
      <c r="BA5" s="15">
        <f t="shared" si="1"/>
        <v>432.16</v>
      </c>
      <c r="BB5" s="15">
        <f t="shared" si="1"/>
        <v>432.16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432.16</v>
      </c>
      <c r="H13" s="17">
        <f>SUMIF(I$12:AB$12,"总值",I13:AB13)</f>
        <v>432.16</v>
      </c>
      <c r="I13" s="1626">
        <v>432.16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432.16</v>
      </c>
      <c r="BA13" s="13">
        <f>SUM(BB13:BK13)</f>
        <v>432.16</v>
      </c>
      <c r="BB13" s="13">
        <f>IF($D13="是",I13-J13,0)</f>
        <v>432.16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432.16</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432.16</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432.16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432.16</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432.16</v>
      </c>
      <c r="F19" s="2795">
        <f>'数据-基础表'!I13</f>
        <v>432.16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432.16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432.16</v>
      </c>
      <c r="F27" s="1140">
        <f>IF(SUM(F19:F26)=E8,SUM(F19:F26),"地上面积有误")</f>
        <v>432.16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432.16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432.16</v>
      </c>
      <c r="F31" s="677">
        <f>F27+F30</f>
        <v>432.16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55331</v>
      </c>
      <c r="F6" s="64">
        <f>SUMIF(项目基本情况!C$12:I$12,C6,项目基本情况!C$15:I$15)</f>
        <v>27</v>
      </c>
      <c r="G6" s="65">
        <f>IF(ISERROR(ROUND(POWER(1+H6,D6-F6)*(POWER(1+H6,F6)-1)/(POWER(1+H6,D6)-1),3)),0,ROUND(POWER(1+H6,D6-F6)*(POWER(1+H6,F6)-1)/(POWER(1+H6,D6)-1),3))</f>
        <v>0.85299999999999998</v>
      </c>
      <c r="H6" s="732">
        <v>0.05</v>
      </c>
      <c r="I6" s="732">
        <v>5.5E-2</v>
      </c>
      <c r="J6" s="66">
        <v>7.0000000000000007E-2</v>
      </c>
      <c r="K6" s="1030">
        <f>SUMIF('数据-汇总表'!C$19:C$33,A6,'数据-汇总表'!E$19:E$33)</f>
        <v>432.16</v>
      </c>
      <c r="L6" s="733">
        <v>5000</v>
      </c>
      <c r="M6" s="67">
        <f t="shared" ref="M6:M14" si="0">ROUND(K6*L6/10000,0)</f>
        <v>216</v>
      </c>
      <c r="N6" s="731">
        <f>ROUND(1-(2024-2013)/60,2)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8</v>
      </c>
      <c r="V6" s="70">
        <v>2.5000000000000001E-2</v>
      </c>
      <c r="W6" s="70">
        <v>0.1</v>
      </c>
      <c r="X6" s="1040"/>
      <c r="Y6" s="71">
        <f>N6</f>
        <v>0.82</v>
      </c>
      <c r="Z6" s="72"/>
      <c r="AA6" s="66"/>
      <c r="AB6" s="66"/>
      <c r="AC6" s="1040"/>
      <c r="AD6" s="73"/>
      <c r="AE6" s="1041">
        <f ca="1">IF(AN6="",0,SUMIF(INDIRECT("'"&amp;AN6&amp;"'"&amp;"!E:E"),$AE$5,INDIRECT("'"&amp;AN6&amp;"'"&amp;"!F:F")))</f>
        <v>27</v>
      </c>
      <c r="AF6" s="1348"/>
      <c r="AG6" s="138">
        <f>IF(AF6="",0,AE6-AF6)</f>
        <v>0</v>
      </c>
      <c r="AH6" s="74"/>
      <c r="AI6" s="76">
        <v>365</v>
      </c>
      <c r="AJ6" s="77"/>
      <c r="AK6" s="78">
        <v>5.0000000000000001E-3</v>
      </c>
      <c r="AL6" s="79">
        <v>1E-3</v>
      </c>
      <c r="AM6" s="80">
        <v>5.0000000000000001E-3</v>
      </c>
      <c r="AN6" s="1715" t="s">
        <v>3393</v>
      </c>
      <c r="AO6" s="52">
        <f ca="1">SUMIF(INDIRECT("'"&amp;AN6&amp;"'"&amp;"!A:A"),"总价",INDIRECT("'"&amp;AN6&amp;"'"&amp;"!B:B"))</f>
        <v>1788.3232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0.85299999999999998</v>
      </c>
      <c r="H16" s="90">
        <f>ROUND(SUMPRODUCT(H6:H13,K6:K13)/SUMPRODUCT((H6:H13&gt;0)*(K6:K13)),3)</f>
        <v>0.05</v>
      </c>
      <c r="I16" s="91"/>
      <c r="J16" s="91"/>
      <c r="K16" s="92">
        <f>SUM(K6:K15)</f>
        <v>432.16</v>
      </c>
      <c r="L16" s="93">
        <f>ROUND(M16*10000/SUM(K6:K14),0)</f>
        <v>4998</v>
      </c>
      <c r="M16" s="93">
        <f>SUM(M6:M14)</f>
        <v>216</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4" sqref="D14:D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3396</v>
      </c>
      <c r="D4" s="1756" t="s">
        <v>3393</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6</v>
      </c>
      <c r="D14" s="3575">
        <v>4</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2" t="s">
        <v>2131</v>
      </c>
      <c r="F18" s="3563"/>
      <c r="G18" s="3563"/>
      <c r="H18" s="3563"/>
      <c r="I18" s="3563"/>
      <c r="K18" s="302" t="s">
        <v>1289</v>
      </c>
      <c r="L18" s="302">
        <f>IF(C1="",'数据-汇总表'!E3,SUMIF(项目类型,C1,'数据-汇总表'!E17:E26)+SUMIF(项目类型,C1,'数据-汇总表'!I17:I26))</f>
        <v>432.16</v>
      </c>
      <c r="M18" s="302">
        <f>IF(C1="",'数据-汇总表'!E3,SUMIF(项目类型,C1,'数据-汇总表'!E17:E26))</f>
        <v>432.16</v>
      </c>
    </row>
    <row r="19" spans="1:36" ht="15">
      <c r="A19" s="1761" t="s">
        <v>1290</v>
      </c>
      <c r="B19" s="1762" t="s">
        <v>1291</v>
      </c>
      <c r="C19" s="134">
        <f ca="1">SUMIF(INDIRECT("'"&amp;C4&amp;"'"&amp;"!A:A"),结果表!B19,INDIRECT("'"&amp;C4&amp;"'"&amp;"!B:B"))</f>
        <v>2809</v>
      </c>
      <c r="D19" s="135">
        <f ca="1">SUMIF(INDIRECT("'"&amp;D4&amp;"'"&amp;"!A:A"),结果表!B19,INDIRECT("'"&amp;D4&amp;"'"&amp;"!B:B"))</f>
        <v>1788.3232</v>
      </c>
      <c r="E19" s="1761" t="s">
        <v>1292</v>
      </c>
      <c r="F19" s="1762" t="s">
        <v>1291</v>
      </c>
      <c r="G19" s="136">
        <f ca="1">ROUND(C19*$C$18+D19*$D$18,0)</f>
        <v>2401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65000</v>
      </c>
      <c r="D20" s="138">
        <f ca="1">SUMIF(INDIRECT("'"&amp;D4&amp;"'"&amp;"!A:A"),结果表!B20,INDIRECT("'"&amp;D4&amp;"'"&amp;"!B:B"))</f>
        <v>41381</v>
      </c>
      <c r="E20" s="1764"/>
      <c r="F20" s="1026" t="s">
        <v>1295</v>
      </c>
      <c r="G20" s="139">
        <f ca="1">ROUND(C20*$C$18+D20*$D$18,0)</f>
        <v>55552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0.57074515389611902</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55552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45474</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t="str">
        <f ca="1">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t="e">
        <f ca="1">ROUND(D45*'数据-取费表'!B41/(1+'数据-取费表'!C42),0)</f>
        <v>#REF!</v>
      </c>
      <c r="E53" s="2334" t="s">
        <v>1354</v>
      </c>
      <c r="F53" s="2554">
        <f>'数据-取费表'!B41</f>
        <v>5.6000000000000001E-2</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5.6000000000000001E-2</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t="e">
        <f ca="1">D59</f>
        <v>#REF!</v>
      </c>
      <c r="N55" s="2040" t="str">
        <f>E59</f>
        <v>差额计税</v>
      </c>
      <c r="O55" s="2529">
        <f>F59</f>
        <v>0.01</v>
      </c>
    </row>
    <row r="56" spans="1:35" ht="24.75">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4.75">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比较法-商业</v>
      </c>
      <c r="D101" s="2586" t="str">
        <f>D4</f>
        <v>收益法 (元)</v>
      </c>
      <c r="E101" s="3625" t="s">
        <v>1431</v>
      </c>
      <c r="F101" s="3582"/>
      <c r="G101" s="1827" t="s">
        <v>1432</v>
      </c>
      <c r="H101" s="2595" t="e">
        <f ca="1">H118</f>
        <v>#REF!</v>
      </c>
      <c r="I101" s="129"/>
    </row>
    <row r="102" spans="1:35" ht="18.75" customHeight="1">
      <c r="A102" s="3584" t="s">
        <v>1433</v>
      </c>
      <c r="B102" s="2584" t="s">
        <v>1432</v>
      </c>
      <c r="C102" s="2585">
        <f ca="1">IF(D32="楼面单价",ROUND(C19,0),C19)</f>
        <v>2809</v>
      </c>
      <c r="D102" s="2586">
        <f ca="1">IF(D32="楼面单价",ROUND(D19,0),D19)</f>
        <v>1788.3232</v>
      </c>
      <c r="E102" s="3625"/>
      <c r="F102" s="3582"/>
      <c r="G102" s="1827" t="s">
        <v>1434</v>
      </c>
      <c r="H102" s="2555" t="e">
        <f ca="1">I118</f>
        <v>#REF!</v>
      </c>
      <c r="I102" s="129"/>
    </row>
    <row r="103" spans="1:35" ht="42.75" customHeight="1">
      <c r="A103" s="3584"/>
      <c r="B103" s="2584" t="s">
        <v>1434</v>
      </c>
      <c r="C103" s="2587">
        <f ca="1">C20</f>
        <v>65000</v>
      </c>
      <c r="D103" s="2588">
        <f ca="1">D20</f>
        <v>41381</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房地产</v>
      </c>
      <c r="B118" s="2329">
        <f>M18</f>
        <v>432.16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432.16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432.16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216</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432.16</v>
      </c>
      <c r="E37" s="249">
        <f>'数据-取费表'!B35</f>
        <v>200</v>
      </c>
      <c r="F37" s="259"/>
      <c r="G37" s="261" t="s">
        <v>1532</v>
      </c>
    </row>
    <row r="38" spans="1:7" ht="13.5" customHeight="1">
      <c r="A38" s="780"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36</v>
      </c>
      <c r="D45" s="235">
        <f ca="1">C47</f>
        <v>3.0000000000000001E-3</v>
      </c>
      <c r="E45" s="236" t="s">
        <v>1539</v>
      </c>
      <c r="F45" s="246">
        <f ca="1">F27</f>
        <v>0.15</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308</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253</v>
      </c>
      <c r="D51" s="232"/>
      <c r="E51" s="232"/>
      <c r="F51" s="264"/>
      <c r="G51" s="234" t="s">
        <v>1560</v>
      </c>
    </row>
    <row r="52" spans="1:7" s="208" customFormat="1" ht="16.5" thickBot="1">
      <c r="A52" s="265" t="s">
        <v>1561</v>
      </c>
      <c r="B52" s="266"/>
      <c r="C52" s="267">
        <f ca="1">C31+C51</f>
        <v>265</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276.10270000000003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6389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86432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86432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86432</v>
      </c>
      <c r="D10" s="845">
        <f ca="1">IF(B1="",'数据-汇总表'!E6,IF(INDIRECT("'数据-取费表'!c"&amp;$G$1)="住宅",INDIRECT("'数据-取费表'!s"&amp;$G$1),INDIRECT("'数据-取费表'!k"&amp;$G$1)+INDIRECT("'数据-取费表'!s"&amp;$G$1)))</f>
        <v>432.16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86432</v>
      </c>
      <c r="D19" s="849">
        <f ca="1">D9+D10</f>
        <v>432.16</v>
      </c>
      <c r="E19" s="211">
        <f>'数据-取费表'!B31</f>
        <v>200</v>
      </c>
      <c r="F19" s="231"/>
      <c r="G19" s="1856"/>
    </row>
    <row r="20" spans="1:7" s="214" customFormat="1" ht="13.5" customHeight="1">
      <c r="A20" s="255" t="s">
        <v>1574</v>
      </c>
      <c r="B20" s="210" t="s">
        <v>1575</v>
      </c>
      <c r="C20" s="232">
        <f ca="1">ROUND((C5+C19)*F20,0)</f>
        <v>3457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12253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6067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6067</v>
      </c>
      <c r="D24" s="238"/>
      <c r="E24" s="238"/>
      <c r="F24" s="239"/>
      <c r="G24" s="240" t="s">
        <v>1586</v>
      </c>
    </row>
    <row r="25" spans="1:7" s="214" customFormat="1" ht="24">
      <c r="A25" s="780" t="s">
        <v>1476</v>
      </c>
      <c r="B25" s="215" t="s">
        <v>1587</v>
      </c>
      <c r="C25" s="1128">
        <f ca="1">ROUND(IF('数据-取费表'!B22&lt;=1,C20*F22*'数据-取费表'!B22/2,C20*(POWER((1+F22),'数据-取费表'!B22/2)-1)),0)</f>
        <v>119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26448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26448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232960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2355272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2160800</v>
      </c>
      <c r="D34" s="217"/>
      <c r="E34" s="220"/>
      <c r="F34" s="257"/>
      <c r="G34" s="219"/>
    </row>
    <row r="35" spans="1:7" ht="13.5" customHeight="1">
      <c r="A35" s="780" t="s">
        <v>351</v>
      </c>
      <c r="B35" s="215" t="s">
        <v>1527</v>
      </c>
      <c r="C35" s="220">
        <f ca="1">ROUND(C34*F35,0)</f>
        <v>64824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86432</v>
      </c>
      <c r="D37" s="217">
        <f ca="1">D19</f>
        <v>432.16</v>
      </c>
      <c r="E37" s="249">
        <f>'数据-取费表'!B35</f>
        <v>200</v>
      </c>
      <c r="F37" s="259"/>
      <c r="G37" s="261"/>
    </row>
    <row r="38" spans="1:7" ht="13.5" customHeight="1">
      <c r="A38" s="780" t="s">
        <v>354</v>
      </c>
      <c r="B38" s="215" t="s">
        <v>1533</v>
      </c>
      <c r="C38" s="220">
        <f ca="1">ROUND(C34*F38,0)</f>
        <v>43216</v>
      </c>
      <c r="D38" s="220"/>
      <c r="E38" s="220"/>
      <c r="F38" s="259">
        <f>'数据-取费表'!B36</f>
        <v>0.02</v>
      </c>
      <c r="G38" s="219" t="s">
        <v>1528</v>
      </c>
    </row>
    <row r="39" spans="1:7" s="214" customFormat="1" ht="13.5" customHeight="1">
      <c r="A39" s="255" t="s">
        <v>1534</v>
      </c>
      <c r="B39" s="210" t="s">
        <v>1535</v>
      </c>
      <c r="C39" s="232">
        <f ca="1">ROUND(C33*F20,0)</f>
        <v>47105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82882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81257</v>
      </c>
      <c r="D42" s="238"/>
      <c r="E42" s="238"/>
      <c r="F42" s="239"/>
      <c r="G42" s="3632" t="s">
        <v>1591</v>
      </c>
    </row>
    <row r="43" spans="1:7" ht="13.5" customHeight="1">
      <c r="A43" s="780" t="s">
        <v>347</v>
      </c>
      <c r="B43" s="215" t="s">
        <v>1545</v>
      </c>
      <c r="C43" s="238">
        <f ca="1">ROUND(IF('数据-取费表'!B22&lt;=1,C39*F22*'数据-取费表'!B20/2,C39*(POWER((1+F22),'数据-取费表'!B20/2)-1)),0)</f>
        <v>1625</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360357</v>
      </c>
      <c r="D45" s="235">
        <f ca="1">C47</f>
        <v>3.0000000000000001E-3</v>
      </c>
      <c r="E45" s="236" t="s">
        <v>1539</v>
      </c>
      <c r="F45" s="246">
        <f ca="1">F27</f>
        <v>0.15</v>
      </c>
      <c r="G45" s="247" t="s">
        <v>1548</v>
      </c>
    </row>
    <row r="46" spans="1:7" s="214" customFormat="1" ht="13.5" customHeight="1">
      <c r="A46" s="780" t="s">
        <v>346</v>
      </c>
      <c r="B46" s="248" t="s">
        <v>1549</v>
      </c>
      <c r="C46" s="249">
        <f ca="1">ROUND((C33+C39)*F27,0)</f>
        <v>360357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3083008</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2528067</v>
      </c>
      <c r="D51" s="232"/>
      <c r="E51" s="232"/>
      <c r="F51" s="264"/>
      <c r="G51" s="234" t="s">
        <v>1560</v>
      </c>
    </row>
    <row r="52" spans="1:7" s="208" customFormat="1" ht="16.5" thickBot="1">
      <c r="A52" s="265" t="s">
        <v>1561</v>
      </c>
      <c r="B52" s="266"/>
      <c r="C52" s="267">
        <f ca="1">C31+C51</f>
        <v>2761027</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v>
      </c>
      <c r="C2" s="276" t="s">
        <v>1595</v>
      </c>
      <c r="D2" s="276"/>
      <c r="E2" s="2806"/>
      <c r="F2" s="2806"/>
      <c r="G2" s="2806"/>
      <c r="H2" s="2806"/>
      <c r="I2" s="2806"/>
      <c r="J2" s="2806"/>
      <c r="K2" s="2806"/>
    </row>
    <row r="3" spans="1:33" ht="18" customHeight="1" thickBot="1">
      <c r="A3" s="203" t="s">
        <v>1464</v>
      </c>
      <c r="B3" s="204">
        <f ca="1">ROUND(B2*10000/IF(C1="",'数据-汇总表'!E3,INDIRECT("'数据-取费表'!K"&amp;$K$1)),0)</f>
        <v>-231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432.16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432.16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432.16</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114</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114</v>
      </c>
      <c r="D6" s="155" t="s">
        <v>2109</v>
      </c>
      <c r="E6" s="302" t="s">
        <v>696</v>
      </c>
      <c r="F6" s="303">
        <f ca="1">INDIRECT("'数据-取费表'!u"&amp;$G$1)</f>
        <v>8</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432.16</v>
      </c>
      <c r="G7" s="1384"/>
      <c r="H7" s="304"/>
      <c r="I7" s="3638"/>
      <c r="J7" s="306"/>
      <c r="K7" s="307"/>
      <c r="L7" s="302" t="s">
        <v>697</v>
      </c>
      <c r="M7" s="303">
        <f ca="1">F7</f>
        <v>432.16</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253</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216</v>
      </c>
      <c r="D14" s="1345" t="s">
        <v>708</v>
      </c>
      <c r="E14" s="1342"/>
      <c r="F14" s="319"/>
      <c r="G14" s="1384"/>
      <c r="H14" s="982" t="s">
        <v>398</v>
      </c>
      <c r="I14" s="302" t="s">
        <v>709</v>
      </c>
      <c r="J14" s="21">
        <f ca="1">C29</f>
        <v>308</v>
      </c>
      <c r="K14" s="12"/>
      <c r="L14" s="807"/>
      <c r="M14" s="808"/>
    </row>
    <row r="15" spans="1:37" s="1397" customFormat="1" ht="18" customHeight="1" thickBot="1">
      <c r="A15" s="982" t="s">
        <v>399</v>
      </c>
      <c r="B15" s="302" t="s">
        <v>710</v>
      </c>
      <c r="C15" s="21">
        <f ca="1">ROUND(C14*F15,0)</f>
        <v>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308</v>
      </c>
      <c r="D29" s="1092"/>
      <c r="E29" s="1090"/>
      <c r="F29" s="1093"/>
      <c r="G29" s="1396"/>
      <c r="H29" s="334" t="s">
        <v>396</v>
      </c>
      <c r="I29" s="335" t="s">
        <v>768</v>
      </c>
      <c r="J29" s="336">
        <f ca="1">ROUND(J26/(1+F40)^F41,0)</f>
        <v>0</v>
      </c>
      <c r="K29" s="337" t="s">
        <v>769</v>
      </c>
      <c r="L29" s="338"/>
      <c r="M29" s="339">
        <f ca="1">INDIRECT("'数据-取费表'!k"&amp;$G$1)</f>
        <v>432.16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19.11</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6.08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13.03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1.54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0.25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0.56999999999999995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1677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38805</v>
      </c>
      <c r="D43" s="337" t="s">
        <v>777</v>
      </c>
      <c r="E43" s="338" t="s">
        <v>778</v>
      </c>
      <c r="F43" s="339">
        <f ca="1">INDIRECT("'数据-取费表'!k"&amp;$G$1)</f>
        <v>432.16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-1705</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40</v>
      </c>
      <c r="M47" s="1380" t="str">
        <f>IF(ISNUMBER(FIND("住宅",C1)),"住宅","非住宅")</f>
        <v>非住宅</v>
      </c>
      <c r="O47" s="1418" t="s">
        <v>403</v>
      </c>
      <c r="P47" s="1419" t="s">
        <v>817</v>
      </c>
      <c r="Q47" s="1420">
        <f ca="1">C40+J29</f>
        <v>1677</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308</v>
      </c>
      <c r="R49" s="1420" t="s">
        <v>818</v>
      </c>
    </row>
    <row r="50" spans="1:18" s="1384" customFormat="1" ht="13.5" thickBot="1">
      <c r="A50" s="976"/>
      <c r="B50" s="979"/>
      <c r="C50" s="1118"/>
      <c r="D50" s="953"/>
      <c r="E50" s="1056" t="s">
        <v>697</v>
      </c>
      <c r="F50" s="1057">
        <f ca="1">F7</f>
        <v>432.16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f ca="1">Q47+Q48</f>
        <v>1677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253</v>
      </c>
      <c r="D56" s="1447"/>
      <c r="E56" s="1448"/>
      <c r="F56" s="1440"/>
      <c r="I56" s="1449" t="s">
        <v>842</v>
      </c>
      <c r="J56" s="1450"/>
      <c r="K56" s="1421" t="s">
        <v>843</v>
      </c>
      <c r="L56" s="1424">
        <f ca="1">IF(L48&lt;J51,"——",L48-J53)</f>
        <v>27</v>
      </c>
      <c r="O56" s="1418" t="s">
        <v>403</v>
      </c>
      <c r="P56" s="1419" t="s">
        <v>817</v>
      </c>
      <c r="Q56" s="1420">
        <f ca="1">C40+J29</f>
        <v>1677</v>
      </c>
      <c r="R56" s="1420" t="s">
        <v>818</v>
      </c>
    </row>
    <row r="57" spans="1:18" s="1384" customFormat="1" ht="24.75" thickBot="1">
      <c r="A57" s="1451"/>
      <c r="B57" s="950" t="s">
        <v>767</v>
      </c>
      <c r="C57" s="238">
        <f ca="1">C29</f>
        <v>308</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0.25</v>
      </c>
      <c r="D65" s="964" t="s">
        <v>743</v>
      </c>
      <c r="E65" s="950" t="s">
        <v>744</v>
      </c>
      <c r="F65" s="330">
        <f t="shared" ca="1" si="0"/>
        <v>1E-3</v>
      </c>
      <c r="I65" s="1462" t="s">
        <v>867</v>
      </c>
      <c r="J65" s="1463">
        <v>40</v>
      </c>
      <c r="K65" s="1463">
        <v>30</v>
      </c>
      <c r="L65" s="1463">
        <v>50</v>
      </c>
      <c r="M65" s="1465">
        <v>0.02</v>
      </c>
      <c r="O65" s="1418" t="s">
        <v>403</v>
      </c>
      <c r="P65" s="1419" t="s">
        <v>868</v>
      </c>
      <c r="Q65" s="1420">
        <f ca="1">C40+J29</f>
        <v>1677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t="e">
        <f ca="1">L60</f>
        <v>#DIV/0!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-28</v>
      </c>
      <c r="D68" s="965" t="s">
        <v>758</v>
      </c>
      <c r="E68" s="950" t="s">
        <v>759</v>
      </c>
      <c r="F68" s="312">
        <f ca="1">F40</f>
        <v>5.5E-2</v>
      </c>
      <c r="O68" s="1428" t="s">
        <v>406</v>
      </c>
      <c r="P68" s="1467" t="s">
        <v>871</v>
      </c>
      <c r="Q68" s="1420">
        <f ca="1">ROUND(Q69-Q70*Q71,0)</f>
        <v>75</v>
      </c>
      <c r="R68" s="1420" t="s">
        <v>414</v>
      </c>
    </row>
    <row r="69" spans="1:18" s="1384" customFormat="1" ht="13.5" thickBot="1">
      <c r="A69" s="951"/>
      <c r="B69" s="952"/>
      <c r="C69" s="306"/>
      <c r="D69" s="970" t="s">
        <v>762</v>
      </c>
      <c r="E69" s="950" t="s">
        <v>763</v>
      </c>
      <c r="F69" s="333">
        <f ca="1">F41</f>
        <v>27</v>
      </c>
      <c r="O69" s="1428" t="s">
        <v>411</v>
      </c>
      <c r="P69" s="1467" t="s">
        <v>872</v>
      </c>
      <c r="Q69" s="1420">
        <f ca="1">C39</f>
        <v>93</v>
      </c>
      <c r="R69" s="1420" t="s">
        <v>818</v>
      </c>
    </row>
    <row r="70" spans="1:18" s="1384" customFormat="1" ht="13.5" thickBot="1">
      <c r="A70" s="954"/>
      <c r="B70" s="955"/>
      <c r="C70" s="310"/>
      <c r="D70" s="966"/>
      <c r="E70" s="950" t="s">
        <v>766</v>
      </c>
      <c r="F70" s="1054"/>
      <c r="O70" s="1428" t="s">
        <v>412</v>
      </c>
      <c r="P70" s="1467" t="s">
        <v>873</v>
      </c>
      <c r="Q70" s="1420">
        <f ca="1">C13</f>
        <v>253</v>
      </c>
      <c r="R70" s="1420" t="s">
        <v>818</v>
      </c>
    </row>
    <row r="71" spans="1:18" s="1384" customFormat="1" ht="13.5" thickBot="1">
      <c r="A71" s="971" t="s">
        <v>396</v>
      </c>
      <c r="B71" s="972" t="s">
        <v>776</v>
      </c>
      <c r="C71" s="336">
        <f ca="1">ROUND(C68*10000/F71,0)</f>
        <v>-648</v>
      </c>
      <c r="D71" s="973" t="s">
        <v>777</v>
      </c>
      <c r="E71" s="974" t="s">
        <v>778</v>
      </c>
      <c r="F71" s="339">
        <f ca="1">F43</f>
        <v>432.16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1788.3232</v>
      </c>
      <c r="C2" s="1387" t="s">
        <v>879</v>
      </c>
      <c r="D2" s="1471">
        <f ca="1">C40+J29+L46</f>
        <v>17883232</v>
      </c>
      <c r="E2" s="1388" t="s">
        <v>880</v>
      </c>
      <c r="F2" s="1389"/>
      <c r="G2" s="2706"/>
      <c r="H2" s="2695"/>
      <c r="I2" s="2695"/>
      <c r="J2" s="2695"/>
      <c r="K2" s="2696"/>
      <c r="L2" s="2695"/>
      <c r="M2" s="2695"/>
    </row>
    <row r="3" spans="1:37" ht="18" customHeight="1" thickBot="1">
      <c r="A3" s="1390" t="s">
        <v>881</v>
      </c>
      <c r="B3" s="1391">
        <f ca="1">IF(ISERROR(D2/F43),0,ROUND(D2/F43,0))</f>
        <v>41381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1137136</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1135716</v>
      </c>
      <c r="D6" s="155" t="s">
        <v>2106</v>
      </c>
      <c r="E6" s="302" t="s">
        <v>696</v>
      </c>
      <c r="F6" s="303">
        <f ca="1">INDIRECT("'数据-取费表'!u"&amp;$G$1)</f>
        <v>8</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432.16</v>
      </c>
      <c r="G7" s="1384"/>
      <c r="H7" s="304"/>
      <c r="I7" s="3638"/>
      <c r="J7" s="306"/>
      <c r="K7" s="307"/>
      <c r="L7" s="302" t="s">
        <v>697</v>
      </c>
      <c r="M7" s="303">
        <f ca="1">F7</f>
        <v>432.16</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1420</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2528067</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2160800</v>
      </c>
      <c r="D14" s="1345" t="s">
        <v>708</v>
      </c>
      <c r="E14" s="1342"/>
      <c r="F14" s="319"/>
      <c r="G14" s="1384"/>
      <c r="H14" s="982" t="s">
        <v>398</v>
      </c>
      <c r="I14" s="302" t="s">
        <v>709</v>
      </c>
      <c r="J14" s="21">
        <f ca="1">C29</f>
        <v>3083008</v>
      </c>
      <c r="K14" s="12"/>
      <c r="L14" s="807"/>
      <c r="M14" s="808"/>
    </row>
    <row r="15" spans="1:37" s="1397" customFormat="1" ht="18" customHeight="1" thickBot="1">
      <c r="A15" s="982" t="s">
        <v>399</v>
      </c>
      <c r="B15" s="302" t="s">
        <v>710</v>
      </c>
      <c r="C15" s="21">
        <f ca="1">ROUND(C14*F15,0)</f>
        <v>64824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15415</v>
      </c>
      <c r="K16" s="1087" t="s">
        <v>715</v>
      </c>
      <c r="L16" s="1088"/>
      <c r="M16" s="1072"/>
    </row>
    <row r="17" spans="1:37" s="1397" customFormat="1" ht="18" customHeight="1">
      <c r="A17" s="982" t="s">
        <v>681</v>
      </c>
      <c r="B17" s="302" t="s">
        <v>716</v>
      </c>
      <c r="C17" s="21">
        <f ca="1">ROUND(F17*(F43+INDIRECT("'数据-取费表'!S"&amp;$G$1)),0)</f>
        <v>86432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43216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2355272</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47105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15415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82882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-15415</v>
      </c>
      <c r="K25" s="1095" t="s">
        <v>753</v>
      </c>
      <c r="L25" s="1096"/>
      <c r="M25" s="1097"/>
    </row>
    <row r="26" spans="1:37" ht="18" customHeight="1">
      <c r="A26" s="982" t="s">
        <v>397</v>
      </c>
      <c r="B26" s="302" t="s">
        <v>754</v>
      </c>
      <c r="C26" s="21">
        <f ca="1">ROUND((C19+C20)*F26,0)</f>
        <v>360357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3083008</v>
      </c>
      <c r="D29" s="1092"/>
      <c r="E29" s="1090"/>
      <c r="F29" s="1093"/>
      <c r="G29" s="1396"/>
      <c r="H29" s="334" t="s">
        <v>396</v>
      </c>
      <c r="I29" s="335" t="s">
        <v>768</v>
      </c>
      <c r="J29" s="336">
        <f ca="1">ROUND(J26/(1+F40)^F41,0)</f>
        <v>0</v>
      </c>
      <c r="K29" s="337" t="s">
        <v>769</v>
      </c>
      <c r="L29" s="338"/>
      <c r="M29" s="339">
        <f ca="1">INDIRECT("'数据-取费表'!k"&amp;$G$1)</f>
        <v>432.16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213997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190368</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IF(项目基本情况!B11="自然人","——",ROUND(C6*F32/(1+'数据-取费表'!C42),0))</f>
        <v>60572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129796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15415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2528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5686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923139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16650029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38527</v>
      </c>
      <c r="D43" s="337" t="s">
        <v>777</v>
      </c>
      <c r="E43" s="338" t="s">
        <v>778</v>
      </c>
      <c r="F43" s="339">
        <f ca="1">INDIRECT("'数据-取费表'!k"&amp;$G$1)</f>
        <v>432.16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-1689.9403</v>
      </c>
      <c r="D45" s="3432" t="s">
        <v>3357</v>
      </c>
      <c r="E45" s="1400"/>
      <c r="F45" s="1400"/>
      <c r="O45" s="1403" t="s">
        <v>808</v>
      </c>
      <c r="P45" s="1461"/>
      <c r="Q45" s="1461"/>
      <c r="R45" s="1461"/>
    </row>
    <row r="46" spans="1:18" s="1384" customFormat="1" ht="13.5" thickBot="1">
      <c r="A46" s="1404" t="s">
        <v>809</v>
      </c>
      <c r="C46" s="1405">
        <f ca="1">ROUND(C45,0)</f>
        <v>-1690</v>
      </c>
      <c r="D46" s="1406" t="str">
        <f>C2</f>
        <v>万元</v>
      </c>
      <c r="I46" s="1407" t="s">
        <v>810</v>
      </c>
      <c r="J46" s="1408"/>
      <c r="K46" s="1409"/>
      <c r="L46" s="1410">
        <f ca="1">IF(M47="住宅",0,IF(L48&gt;J51,L60,J60))</f>
        <v>1233203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16650029</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27</v>
      </c>
      <c r="O48" s="1418" t="s">
        <v>404</v>
      </c>
      <c r="P48" s="1419" t="s">
        <v>821</v>
      </c>
      <c r="Q48" s="1420">
        <f ca="1">J60</f>
        <v>1233203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3083008</v>
      </c>
      <c r="R49" s="1420" t="s">
        <v>818</v>
      </c>
    </row>
    <row r="50" spans="1:18" s="1384" customFormat="1" ht="13.5" thickBot="1">
      <c r="A50" s="976"/>
      <c r="B50" s="979"/>
      <c r="C50" s="980"/>
      <c r="D50" s="953"/>
      <c r="E50" s="1056" t="s">
        <v>697</v>
      </c>
      <c r="F50" s="1057">
        <f ca="1">F7</f>
        <v>432.16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13557033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v>
      </c>
      <c r="K53" s="3635" t="s">
        <v>837</v>
      </c>
      <c r="L53" s="3636"/>
      <c r="O53" s="1418" t="s">
        <v>409</v>
      </c>
      <c r="P53" s="1419" t="s">
        <v>838</v>
      </c>
      <c r="Q53" s="1420">
        <f ca="1">Q47+Q48</f>
        <v>17883232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2528067</v>
      </c>
      <c r="D56" s="1447"/>
      <c r="E56" s="1448"/>
      <c r="F56" s="1440"/>
      <c r="I56" s="1449" t="s">
        <v>842</v>
      </c>
      <c r="J56" s="1450" t="s">
        <v>3392</v>
      </c>
      <c r="K56" s="1421" t="s">
        <v>843</v>
      </c>
      <c r="L56" s="1424" t="str">
        <f ca="1">IF(L48&lt;J51,"——",L48-J51)</f>
        <v>——</v>
      </c>
      <c r="O56" s="1418" t="s">
        <v>403</v>
      </c>
      <c r="P56" s="1419" t="s">
        <v>817</v>
      </c>
      <c r="Q56" s="1420">
        <f ca="1">C40+J29</f>
        <v>16650029</v>
      </c>
      <c r="R56" s="1420" t="s">
        <v>818</v>
      </c>
    </row>
    <row r="57" spans="1:18" s="1384" customFormat="1" ht="24.75" thickBot="1">
      <c r="A57" s="1451"/>
      <c r="B57" s="950" t="s">
        <v>767</v>
      </c>
      <c r="C57" s="238">
        <f ca="1">C29</f>
        <v>3083008</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17943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1233203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1233203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16650029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15415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2528</v>
      </c>
      <c r="D65" s="964" t="s">
        <v>743</v>
      </c>
      <c r="E65" s="950" t="s">
        <v>744</v>
      </c>
      <c r="F65" s="330">
        <f t="shared" ca="1" si="0"/>
        <v>1E-3</v>
      </c>
      <c r="I65" s="1462" t="s">
        <v>867</v>
      </c>
      <c r="J65" s="1463">
        <v>40</v>
      </c>
      <c r="K65" s="1463">
        <v>30</v>
      </c>
      <c r="L65" s="1463">
        <v>50</v>
      </c>
      <c r="M65" s="1465">
        <v>0.02</v>
      </c>
      <c r="O65" s="1418" t="s">
        <v>403</v>
      </c>
      <c r="P65" s="1419" t="s">
        <v>868</v>
      </c>
      <c r="Q65" s="1420">
        <f ca="1">C40+J29</f>
        <v>16650029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-17943</v>
      </c>
      <c r="D67" s="963" t="s">
        <v>753</v>
      </c>
      <c r="E67" s="968"/>
      <c r="F67" s="969"/>
      <c r="O67" s="1428" t="s">
        <v>405</v>
      </c>
      <c r="P67" s="1419" t="s">
        <v>850</v>
      </c>
      <c r="Q67" s="1466">
        <f ca="1">L51</f>
        <v>13557033</v>
      </c>
      <c r="R67" s="1420" t="s">
        <v>870</v>
      </c>
    </row>
    <row r="68" spans="1:18" s="1384" customFormat="1" ht="16.5" thickBot="1">
      <c r="A68" s="947" t="s">
        <v>395</v>
      </c>
      <c r="B68" s="948" t="s">
        <v>774</v>
      </c>
      <c r="C68" s="301">
        <f ca="1">ROUND(C67*(1-((1+F70)/(1+F68))^F69)/(F68-F70),0)</f>
        <v>-249374</v>
      </c>
      <c r="D68" s="965" t="s">
        <v>758</v>
      </c>
      <c r="E68" s="950" t="s">
        <v>759</v>
      </c>
      <c r="F68" s="312">
        <f ca="1">F40</f>
        <v>5.5E-2</v>
      </c>
      <c r="O68" s="1428" t="s">
        <v>406</v>
      </c>
      <c r="P68" s="1467" t="s">
        <v>871</v>
      </c>
      <c r="Q68" s="1420">
        <f ca="1">ROUND(Q69-Q70*Q71,0)</f>
        <v>746174</v>
      </c>
      <c r="R68" s="1420" t="s">
        <v>414</v>
      </c>
    </row>
    <row r="69" spans="1:18" s="1384" customFormat="1" ht="13.5" thickBot="1">
      <c r="A69" s="951"/>
      <c r="B69" s="952"/>
      <c r="C69" s="306"/>
      <c r="D69" s="970" t="s">
        <v>762</v>
      </c>
      <c r="E69" s="950" t="s">
        <v>763</v>
      </c>
      <c r="F69" s="333">
        <f ca="1">F41</f>
        <v>27</v>
      </c>
      <c r="O69" s="1428" t="s">
        <v>411</v>
      </c>
      <c r="P69" s="1467" t="s">
        <v>872</v>
      </c>
      <c r="Q69" s="1420">
        <f ca="1">C39</f>
        <v>923139</v>
      </c>
      <c r="R69" s="1420" t="s">
        <v>818</v>
      </c>
    </row>
    <row r="70" spans="1:18" s="1384" customFormat="1" ht="13.5" thickBot="1">
      <c r="A70" s="954"/>
      <c r="B70" s="955"/>
      <c r="C70" s="310"/>
      <c r="D70" s="966"/>
      <c r="E70" s="950" t="s">
        <v>766</v>
      </c>
      <c r="F70" s="1054"/>
      <c r="O70" s="1428" t="s">
        <v>412</v>
      </c>
      <c r="P70" s="1467" t="s">
        <v>873</v>
      </c>
      <c r="Q70" s="1420">
        <f ca="1">C13</f>
        <v>2528067</v>
      </c>
      <c r="R70" s="1420" t="s">
        <v>818</v>
      </c>
    </row>
    <row r="71" spans="1:18" s="1384" customFormat="1" ht="13.5" thickBot="1">
      <c r="A71" s="971" t="s">
        <v>396</v>
      </c>
      <c r="B71" s="972" t="s">
        <v>776</v>
      </c>
      <c r="C71" s="336">
        <f ca="1">ROUND(C68/F71,0)</f>
        <v>-577</v>
      </c>
      <c r="D71" s="973" t="s">
        <v>777</v>
      </c>
      <c r="E71" s="974" t="s">
        <v>778</v>
      </c>
      <c r="F71" s="339">
        <f ca="1">F43</f>
        <v>432.16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176965</v>
      </c>
      <c r="D75" s="1384"/>
      <c r="E75" s="1384"/>
      <c r="F75" s="1384"/>
      <c r="K75" s="1402"/>
      <c r="L75" s="1384"/>
      <c r="O75" s="1418" t="s">
        <v>409</v>
      </c>
      <c r="P75" s="1419" t="s">
        <v>838</v>
      </c>
      <c r="Q75" s="1420">
        <f ca="1">Q65+Q66</f>
        <v>16650029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0.80800000000000005</v>
      </c>
    </row>
    <row r="80" spans="1:18">
      <c r="B80" s="340" t="s">
        <v>800</v>
      </c>
      <c r="C80" s="274">
        <f ca="1">ROUND(C75/C39,3)</f>
        <v>0.192</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1788.3232</v>
      </c>
      <c r="C2" s="1872" t="s">
        <v>1651</v>
      </c>
      <c r="D2" s="1873" t="s">
        <v>1652</v>
      </c>
      <c r="E2" s="2607">
        <f>SUM(E6:E13)</f>
        <v>432.16</v>
      </c>
      <c r="F2" s="2707"/>
      <c r="G2" s="1489"/>
      <c r="H2" s="1489"/>
      <c r="I2" s="1489"/>
      <c r="J2" s="1489"/>
      <c r="K2" s="1489"/>
      <c r="L2" s="1489"/>
      <c r="M2" s="1489"/>
      <c r="N2" s="1489"/>
      <c r="O2" s="1489"/>
      <c r="P2" s="1489"/>
      <c r="Q2" s="1489"/>
      <c r="R2" s="1489"/>
      <c r="S2" s="1489"/>
    </row>
    <row r="3" spans="1:22" ht="15.75">
      <c r="A3" s="1870" t="s">
        <v>686</v>
      </c>
      <c r="B3" s="2601">
        <f ca="1">ROUND(B2*10000/E2,0)</f>
        <v>41381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1788.3232</v>
      </c>
      <c r="C6" s="1872" t="s">
        <v>1651</v>
      </c>
      <c r="D6" s="2709"/>
      <c r="E6" s="2606">
        <f>IF(OR(A6=0,F6="否"),0,'数据-取费表'!K6+'数据-取费表'!S6)</f>
        <v>432.16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432.16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45474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L51" sqref="L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3394</v>
      </c>
      <c r="F1" s="1879" t="s">
        <v>3395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2809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65000</v>
      </c>
      <c r="C3" s="354" t="s">
        <v>1768</v>
      </c>
      <c r="D3" s="353">
        <f>IF(D1="",'数据-汇总表'!E3,SUMIF('数据-汇总表'!$C19:$C33,D1,'数据-汇总表'!$E19:$E33))</f>
        <v>432.16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45474</v>
      </c>
      <c r="D7" s="365">
        <v>100</v>
      </c>
      <c r="E7" s="366">
        <f>C7</f>
        <v>45474</v>
      </c>
      <c r="F7" s="367">
        <f>SUMIF(58:58,YEAR(E7)&amp;"-"&amp;MONTH(E7),59:59)</f>
        <v>100</v>
      </c>
      <c r="G7" s="366">
        <f>C7</f>
        <v>45474</v>
      </c>
      <c r="H7" s="365">
        <f>SUMIF(58:58,YEAR(G7)&amp;"-"&amp;MONTH(G7),59:59)</f>
        <v>100</v>
      </c>
      <c r="I7" s="366">
        <f>C7</f>
        <v>45474</v>
      </c>
      <c r="J7" s="365">
        <f>SUMIF(58:58,YEAR(I7)&amp;"-"&amp;MONTH(I7),59:59)</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69"/>
      <c r="Q33" s="707" t="str">
        <f t="shared" si="11"/>
        <v>项目建筑规模</v>
      </c>
      <c r="R33" s="708" t="s">
        <v>14</v>
      </c>
      <c r="S33" s="709">
        <f t="shared" si="12"/>
        <v>100</v>
      </c>
      <c r="T33" s="708" t="s">
        <v>14</v>
      </c>
      <c r="U33" s="709">
        <f t="shared" si="13"/>
        <v>100</v>
      </c>
      <c r="V33" s="708" t="s">
        <v>14</v>
      </c>
      <c r="W33" s="709">
        <f t="shared" si="14"/>
        <v>100</v>
      </c>
      <c r="X33" s="710"/>
      <c r="Y33" s="3671"/>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f>'数据-取费表'!N6</f>
        <v>0.82</v>
      </c>
      <c r="D36" s="386">
        <v>100</v>
      </c>
      <c r="E36" s="425">
        <f>C36</f>
        <v>0.82</v>
      </c>
      <c r="F36" s="412">
        <f>LOOKUP(E36,110:110,111:111)-LOOKUP(C36,110:110,111:111)+100</f>
        <v>100</v>
      </c>
      <c r="G36" s="425">
        <f>C36</f>
        <v>0.82</v>
      </c>
      <c r="H36" s="412">
        <f>LOOKUP(G36,110:110,111:111)-LOOKUP(C36,110:110,111:111)+100</f>
        <v>100</v>
      </c>
      <c r="I36" s="425">
        <f>C36</f>
        <v>0.82</v>
      </c>
      <c r="J36" s="386">
        <f>LOOKUP(I36,110:110,111:111)-LOOKUP(C36,110:110,111:111)+100</f>
        <v>100</v>
      </c>
      <c r="K36" s="561"/>
      <c r="L36" s="2722"/>
      <c r="M36" s="2716"/>
      <c r="N36" s="2716"/>
      <c r="O36" s="2716"/>
      <c r="P36" s="3669"/>
      <c r="Q36" s="1352" t="str">
        <f t="shared" si="11"/>
        <v>成新度</v>
      </c>
      <c r="R36" s="705" t="s">
        <v>14</v>
      </c>
      <c r="S36" s="706">
        <f t="shared" si="12"/>
        <v>100</v>
      </c>
      <c r="T36" s="705" t="s">
        <v>14</v>
      </c>
      <c r="U36" s="706">
        <f t="shared" si="13"/>
        <v>100</v>
      </c>
      <c r="V36" s="705" t="s">
        <v>14</v>
      </c>
      <c r="W36" s="706">
        <f t="shared" si="14"/>
        <v>100</v>
      </c>
      <c r="X36" s="1355"/>
      <c r="Y36" s="3671"/>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v>65000</v>
      </c>
      <c r="F47" s="1157"/>
      <c r="G47" s="1158">
        <f>E47</f>
        <v>65000</v>
      </c>
      <c r="H47" s="1159"/>
      <c r="I47" s="1156">
        <f>E47</f>
        <v>65000</v>
      </c>
      <c r="J47" s="1159"/>
      <c r="K47" s="714"/>
      <c r="L47" s="2724"/>
      <c r="M47" s="2725"/>
      <c r="N47" s="2716"/>
      <c r="O47" s="2725"/>
      <c r="P47" s="3664" t="str">
        <f>A47</f>
        <v>成交单价（元/平方米）</v>
      </c>
      <c r="Q47" s="3664"/>
      <c r="R47" s="3695">
        <f>E47</f>
        <v>65000</v>
      </c>
      <c r="S47" s="3695"/>
      <c r="T47" s="3695">
        <f>G47</f>
        <v>65000</v>
      </c>
      <c r="U47" s="3695"/>
      <c r="V47" s="3695">
        <f>I47</f>
        <v>65000</v>
      </c>
      <c r="W47" s="3695"/>
      <c r="X47" s="690"/>
      <c r="Y47" s="712"/>
      <c r="Z47" s="690"/>
      <c r="AA47" s="690"/>
      <c r="AB47" s="690"/>
      <c r="AC47" s="690"/>
    </row>
    <row r="48" spans="1:29" ht="15.75" thickBot="1">
      <c r="A48" s="437" t="s">
        <v>1793</v>
      </c>
      <c r="B48" s="438"/>
      <c r="C48" s="1160">
        <f>R49</f>
        <v>65000</v>
      </c>
      <c r="D48" s="2317" t="s">
        <v>2138</v>
      </c>
      <c r="E48" s="1161">
        <f>R48</f>
        <v>65000</v>
      </c>
      <c r="F48" s="2318"/>
      <c r="G48" s="1160">
        <f>T48</f>
        <v>65000</v>
      </c>
      <c r="H48" s="2318"/>
      <c r="I48" s="1161">
        <f>V48</f>
        <v>65000</v>
      </c>
      <c r="J48" s="2318"/>
      <c r="K48" s="2320">
        <f>F48+H48+J48</f>
        <v>0</v>
      </c>
      <c r="L48" s="2724"/>
      <c r="M48" s="2725"/>
      <c r="N48" s="2716"/>
      <c r="O48" s="2725"/>
      <c r="P48" s="3664" t="str">
        <f>A48</f>
        <v>比较价值（元/平方米）</v>
      </c>
      <c r="Q48" s="3664"/>
      <c r="R48" s="3665">
        <f>IF(F1="售价",ROUND(PRODUCT(R47,AA7:AA46),0),ROUND(PRODUCT(R47,AA7:AA46),1))</f>
        <v>65000</v>
      </c>
      <c r="S48" s="3665"/>
      <c r="T48" s="3665">
        <f>IF(F1="售价",ROUND(PRODUCT(T47,AB7:AB46),0),ROUND(PRODUCT(T47,AB7:AB46),1))</f>
        <v>65000</v>
      </c>
      <c r="U48" s="3665"/>
      <c r="V48" s="3665">
        <f>IF(F1="售价",ROUND(PRODUCT(V47,AC7:AC46),0),ROUND(PRODUCT(V47,AC7:AC46),1))</f>
        <v>65000</v>
      </c>
      <c r="W48" s="3665"/>
      <c r="X48" s="690"/>
      <c r="Y48" s="690"/>
      <c r="Z48" s="690"/>
      <c r="AA48" s="690"/>
      <c r="AB48" s="690"/>
      <c r="AC48" s="690"/>
    </row>
    <row r="49" spans="1:29" ht="15.75" thickBot="1">
      <c r="A49" s="441" t="s">
        <v>1794</v>
      </c>
      <c r="B49" s="442"/>
      <c r="C49" s="1163">
        <f>R49</f>
        <v>65000</v>
      </c>
      <c r="D49" s="1163"/>
      <c r="E49" s="1163"/>
      <c r="F49" s="1163"/>
      <c r="G49" s="1163"/>
      <c r="H49" s="1163"/>
      <c r="I49" s="1163"/>
      <c r="J49" s="1163"/>
      <c r="K49" s="715"/>
      <c r="L49" s="2724"/>
      <c r="M49" s="2725"/>
      <c r="N49" s="2716"/>
      <c r="O49" s="2725"/>
      <c r="P49" s="3661" t="str">
        <f>A49</f>
        <v>估价对象XX用房的比较价值（楼面单价，元/平方米）</v>
      </c>
      <c r="Q49" s="3662"/>
      <c r="R49" s="3663">
        <f>IF(F1="售价",ROUND(IF(D48="简单平均",AVERAGE(R48:V48),R48*F48+T48*H48+V48*J48),0),ROUND(IF(D48="简单平均",AVERAGE(R48:V48),R48*F48+T48*H48+V48*J48),1))</f>
        <v>65000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432.16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45474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432.16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45474</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估价对象为房地产，为所有。根据《国有土地使用证》[]，估价对象（分摊）出让国有建设用地使用权面积为0平方米，建筑面积为432.16平方米。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估价对象为房地产,属开发建设的，该项目尚在开发建设中。根据《国有土地使用证》[]，估价对象（分摊）出让国有建设用地使用权面积为0平方米，规划建筑面积为432.16平方米。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45474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45474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45474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64"/>
      <c r="Q10" s="1343" t="str">
        <f t="shared" si="6"/>
        <v>土地使用年限（年）</v>
      </c>
      <c r="R10" s="701" t="s">
        <v>14</v>
      </c>
      <c r="S10" s="702">
        <f t="shared" si="0"/>
        <v>117</v>
      </c>
      <c r="T10" s="701" t="s">
        <v>14</v>
      </c>
      <c r="U10" s="702">
        <f t="shared" si="1"/>
        <v>117</v>
      </c>
      <c r="V10" s="701" t="s">
        <v>14</v>
      </c>
      <c r="W10" s="702">
        <f t="shared" si="2"/>
        <v>117</v>
      </c>
      <c r="X10" s="703"/>
      <c r="Y10" s="3539"/>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432.16</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432.16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45474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64"/>
      <c r="Q10" s="1343" t="str">
        <f t="shared" si="6"/>
        <v>土地使用年限（年）</v>
      </c>
      <c r="R10" s="701" t="s">
        <v>14</v>
      </c>
      <c r="S10" s="702">
        <f t="shared" si="0"/>
        <v>117</v>
      </c>
      <c r="T10" s="701" t="s">
        <v>14</v>
      </c>
      <c r="U10" s="702">
        <f t="shared" si="1"/>
        <v>117</v>
      </c>
      <c r="V10" s="701" t="s">
        <v>14</v>
      </c>
      <c r="W10" s="702">
        <f t="shared" si="2"/>
        <v>117</v>
      </c>
      <c r="X10" s="703"/>
      <c r="Y10" s="3539"/>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432.16</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45474</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28042</v>
      </c>
      <c r="C2" s="2" t="s">
        <v>106</v>
      </c>
      <c r="D2" s="199"/>
      <c r="E2" s="199"/>
      <c r="F2" s="199"/>
      <c r="G2" s="199"/>
    </row>
    <row r="3" spans="1:7" s="200" customFormat="1" ht="18" customHeight="1" thickBot="1">
      <c r="A3" s="203" t="s">
        <v>58</v>
      </c>
      <c r="B3" s="204">
        <f ca="1">ROUND(B2*10000/'数据-汇总表'!E3,0)</f>
        <v>648880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v>
      </c>
      <c r="D10" s="845">
        <f>'数据-汇总表'!E6</f>
        <v>432.16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432.16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216</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432.16</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36</v>
      </c>
      <c r="D45" s="235">
        <f>C47</f>
        <v>3.0000000000000001E-3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308</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253</v>
      </c>
      <c r="D51" s="232"/>
      <c r="E51" s="232"/>
      <c r="F51" s="264"/>
      <c r="G51" s="234" t="s">
        <v>37</v>
      </c>
    </row>
    <row r="52" spans="1:7" s="208" customFormat="1" ht="16.5" thickBot="1">
      <c r="A52" s="265" t="s">
        <v>38</v>
      </c>
      <c r="B52" s="266"/>
      <c r="C52" s="267">
        <f ca="1">C31+C51</f>
        <v>28042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H24" sqref="H24:H35"/>
    </sheetView>
  </sheetViews>
  <sheetFormatPr defaultRowHeight="13.5"/>
  <cols>
    <col min="1" max="1" width="13.875" customWidth="1"/>
    <col min="11" max="17" width="0" hidden="1" customWidth="1"/>
    <col min="25" max="30" width="0" hidden="1" customWidth="1"/>
  </cols>
  <sheetData>
    <row r="1" spans="1:30">
      <c r="A1" s="3221">
        <f>基准地价修正!G23</f>
        <v>45474</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0.68</v>
      </c>
      <c r="E3" s="3151">
        <f t="shared" ref="E3:H3" si="0">ROUND(AVERAGEIF(E4:E18,"&lt;&gt;0"),2)</f>
        <v>0.4</v>
      </c>
      <c r="F3" s="3151">
        <f t="shared" si="0"/>
        <v>0.17</v>
      </c>
      <c r="G3" s="3151">
        <f t="shared" si="0"/>
        <v>0.74</v>
      </c>
      <c r="H3" s="3151">
        <f t="shared" si="0"/>
        <v>0.62</v>
      </c>
      <c r="I3" s="3151">
        <f>F3</f>
        <v>0.17</v>
      </c>
      <c r="J3" s="3152"/>
      <c r="K3" s="3153">
        <f>ROUND(AVERAGEIF(K4:K18,"&lt;&gt;0"),4)</f>
        <v>6.7999999999999996E-3</v>
      </c>
      <c r="L3" s="3154">
        <f t="shared" ref="L3:O3" si="1">ROUND(AVERAGEIF(L4:L18,"&lt;&gt;0"),4)</f>
        <v>4.0000000000000001E-3</v>
      </c>
      <c r="M3" s="3154">
        <f t="shared" si="1"/>
        <v>1.6999999999999999E-3</v>
      </c>
      <c r="N3" s="3154">
        <f t="shared" si="1"/>
        <v>7.4000000000000003E-3</v>
      </c>
      <c r="O3" s="3154">
        <f t="shared" si="1"/>
        <v>6.1999999999999998E-3</v>
      </c>
      <c r="P3" s="3154">
        <f>M3</f>
        <v>1.6999999999999999E-3</v>
      </c>
      <c r="Q3" s="3152"/>
      <c r="R3" s="3155">
        <f>ROUND(SUMPRODUCT(PRODUCT(1+K4:K18)),4)</f>
        <v>1.0916999999999999</v>
      </c>
      <c r="S3" s="3156">
        <f t="shared" ref="S3:V3" si="2">ROUND(SUMPRODUCT(PRODUCT(1+L4:L18)),4)</f>
        <v>1.0537000000000001</v>
      </c>
      <c r="T3" s="3156">
        <f t="shared" si="2"/>
        <v>1.0224</v>
      </c>
      <c r="U3" s="3156">
        <f t="shared" si="2"/>
        <v>1.1008</v>
      </c>
      <c r="V3" s="3156">
        <f t="shared" si="2"/>
        <v>1.0843</v>
      </c>
      <c r="W3" s="3155">
        <f>T3</f>
        <v>1.0224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1.0811999999999999</v>
      </c>
      <c r="S5" s="3183">
        <f>ROUND(IF(项目基本情况!$B$8="出让",SUMPRODUCT(PRODUCT(1+L5:$L$18)),SUMPRODUCT(PRODUCT(1+L5:$L$17))),4)</f>
        <v>1.052</v>
      </c>
      <c r="T5" s="3183">
        <f>ROUND(IF(项目基本情况!$B$8="出让",SUMPRODUCT(PRODUCT(1+M5:$M$18)),SUMPRODUCT(PRODUCT(1+M5:$M$17))),4)</f>
        <v>1.0249999999999999</v>
      </c>
      <c r="U5" s="3183">
        <f>ROUND(IF(项目基本情况!$B$8="出让",SUMPRODUCT(PRODUCT(1+N5:$N$18)),SUMPRODUCT(PRODUCT(1+N5:$N$17))),4)</f>
        <v>1.0888</v>
      </c>
      <c r="V5" s="3183">
        <f>ROUND(IF(项目基本情况!$B$8="出让",SUMPRODUCT(PRODUCT(1+O5:$O$18)),SUMPRODUCT(PRODUCT(1+O5:$O$17))),4)</f>
        <v>1.0804</v>
      </c>
      <c r="W5" s="3183">
        <f>T5</f>
        <v>1.0249999999999999</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95" customFormat="1" ht="12.75">
      <c r="A6" s="3186" t="s">
        <v>3381</v>
      </c>
      <c r="B6" s="3187">
        <v>2024</v>
      </c>
      <c r="C6" s="3188">
        <v>1</v>
      </c>
      <c r="D6" s="3189">
        <v>0.08</v>
      </c>
      <c r="E6" s="3189">
        <v>0.46</v>
      </c>
      <c r="F6" s="3189">
        <v>-0.16</v>
      </c>
      <c r="G6" s="3189">
        <v>0.26</v>
      </c>
      <c r="H6" s="3190">
        <v>0.59</v>
      </c>
      <c r="I6" s="3191">
        <v>0</v>
      </c>
      <c r="J6" s="3192"/>
      <c r="K6" s="3193">
        <f t="shared" ref="K6" si="8">D6/100</f>
        <v>8.0000000000000004E-4</v>
      </c>
      <c r="L6" s="3194">
        <f t="shared" ref="L6" si="9">E6/100</f>
        <v>4.5999999999999999E-3</v>
      </c>
      <c r="M6" s="3194">
        <f t="shared" ref="M6" si="10">F6/100</f>
        <v>-1.6000000000000001E-3</v>
      </c>
      <c r="N6" s="3194">
        <f t="shared" ref="N6" si="11">G6/100</f>
        <v>2.5999999999999999E-3</v>
      </c>
      <c r="O6" s="3194">
        <f t="shared" ref="O6" si="12">H6/100</f>
        <v>5.8999999999999999E-3</v>
      </c>
      <c r="P6" s="3194">
        <f t="shared" ref="P6" si="13">M6</f>
        <v>-1.6000000000000001E-3</v>
      </c>
      <c r="Q6" s="3192"/>
      <c r="R6" s="3192">
        <f>ROUND(IF(项目基本情况!$B$8="出让",SUMPRODUCT(PRODUCT(1+K6:$K$18)),SUMPRODUCT(PRODUCT(1+K6:$K$17))),4)</f>
        <v>1.0811999999999999</v>
      </c>
      <c r="S6" s="3192">
        <f>ROUND(IF(项目基本情况!$B$8="出让",SUMPRODUCT(PRODUCT(1+L6:$L$18)),SUMPRODUCT(PRODUCT(1+L6:$L$17))),4)</f>
        <v>1.052</v>
      </c>
      <c r="T6" s="3192">
        <f>ROUND(IF(项目基本情况!$B$8="出让",SUMPRODUCT(PRODUCT(1+M6:$M$18)),SUMPRODUCT(PRODUCT(1+M6:$M$17))),4)</f>
        <v>1.0249999999999999</v>
      </c>
      <c r="U6" s="3192">
        <f>ROUND(IF(项目基本情况!$B$8="出让",SUMPRODUCT(PRODUCT(1+N6:$N$18)),SUMPRODUCT(PRODUCT(1+N6:$N$17))),4)</f>
        <v>1.0888</v>
      </c>
      <c r="V6" s="3192">
        <f>ROUND(IF(项目基本情况!$B$8="出让",SUMPRODUCT(PRODUCT(1+O6:$O$18)),SUMPRODUCT(PRODUCT(1+O6:$O$17))),4)</f>
        <v>1.0804</v>
      </c>
      <c r="W6" s="3192">
        <f t="shared" ref="W6" si="14">T6</f>
        <v>1.0249999999999999</v>
      </c>
      <c r="X6" s="3192"/>
      <c r="Y6" s="3194"/>
      <c r="Z6" s="3194"/>
      <c r="AA6" s="3194"/>
      <c r="AB6" s="3194"/>
      <c r="AC6" s="3194"/>
      <c r="AD6" s="3194"/>
    </row>
    <row r="7" spans="1:30" s="3185" customFormat="1" ht="12.75">
      <c r="A7" s="3176" t="s">
        <v>3382</v>
      </c>
      <c r="B7" s="3177">
        <v>2023</v>
      </c>
      <c r="C7" s="3178">
        <v>4</v>
      </c>
      <c r="D7" s="3179">
        <v>0.19</v>
      </c>
      <c r="E7" s="3179">
        <v>0.24</v>
      </c>
      <c r="F7" s="3179">
        <v>-0.16</v>
      </c>
      <c r="G7" s="3179">
        <v>0.17</v>
      </c>
      <c r="H7" s="3196">
        <v>0.61</v>
      </c>
      <c r="I7" s="3180">
        <f>F7</f>
        <v>-0.16</v>
      </c>
      <c r="J7" s="3181"/>
      <c r="K7" s="3182">
        <f t="shared" si="5"/>
        <v>1.9E-3</v>
      </c>
      <c r="L7" s="3172">
        <f t="shared" si="5"/>
        <v>2.3999999999999998E-3</v>
      </c>
      <c r="M7" s="3172">
        <f t="shared" si="5"/>
        <v>-1.6000000000000001E-3</v>
      </c>
      <c r="N7" s="3172">
        <f t="shared" si="5"/>
        <v>1.7000000000000001E-3</v>
      </c>
      <c r="O7" s="3172">
        <f t="shared" si="5"/>
        <v>6.0999999999999995E-3</v>
      </c>
      <c r="P7" s="3172">
        <f t="shared" ref="P7" si="15">M7</f>
        <v>-1.6000000000000001E-3</v>
      </c>
      <c r="Q7" s="3181"/>
      <c r="R7" s="3183">
        <f>ROUND(IF(项目基本情况!$B$8="出让",SUMPRODUCT(PRODUCT(1+K7:$K$18)),SUMPRODUCT(PRODUCT(1+K7:$K$17))),4)</f>
        <v>1.0804</v>
      </c>
      <c r="S7" s="3183">
        <f>ROUND(IF(项目基本情况!$B$8="出让",SUMPRODUCT(PRODUCT(1+L7:$L$18)),SUMPRODUCT(PRODUCT(1+L7:$L$17))),4)</f>
        <v>1.0471999999999999</v>
      </c>
      <c r="T7" s="3183">
        <f>ROUND(IF(项目基本情况!$B$8="出让",SUMPRODUCT(PRODUCT(1+M7:$M$18)),SUMPRODUCT(PRODUCT(1+M7:$M$17))),4)</f>
        <v>1.0266</v>
      </c>
      <c r="U7" s="3183">
        <f>ROUND(IF(项目基本情况!$B$8="出让",SUMPRODUCT(PRODUCT(1+N7:$N$18)),SUMPRODUCT(PRODUCT(1+N7:$N$17))),4)</f>
        <v>1.0859000000000001</v>
      </c>
      <c r="V7" s="3183">
        <f>ROUND(IF(项目基本情况!$B$8="出让",SUMPRODUCT(PRODUCT(1+O7:$O$18)),SUMPRODUCT(PRODUCT(1+O7:$O$17))),4)</f>
        <v>1.0741000000000001</v>
      </c>
      <c r="W7" s="3183">
        <f t="shared" ref="W7" si="16">T7</f>
        <v>1.0266</v>
      </c>
      <c r="X7" s="3181"/>
      <c r="Y7" s="3184"/>
      <c r="Z7" s="3184"/>
      <c r="AA7" s="3184"/>
      <c r="AB7" s="3184"/>
      <c r="AC7" s="3184"/>
      <c r="AD7" s="318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0.38</v>
      </c>
      <c r="F25" s="3151">
        <f t="shared" si="32"/>
        <v>0.28999999999999998</v>
      </c>
      <c r="G25" s="3151">
        <f t="shared" si="32"/>
        <v>0.56999999999999995</v>
      </c>
      <c r="H25" s="3151"/>
      <c r="I25" s="3151">
        <f>F25</f>
        <v>0.28999999999999998</v>
      </c>
      <c r="J25" s="3152"/>
      <c r="K25" s="3153"/>
      <c r="L25" s="3154">
        <f t="shared" ref="L25:N25" si="33">ROUND(AVERAGEIF(L26:L40,"&lt;&gt;0"),4)</f>
        <v>3.8E-3</v>
      </c>
      <c r="M25" s="3154">
        <f t="shared" si="33"/>
        <v>2.8999999999999998E-3</v>
      </c>
      <c r="N25" s="3154">
        <f t="shared" si="33"/>
        <v>5.7000000000000002E-3</v>
      </c>
      <c r="O25" s="3154"/>
      <c r="P25" s="3154">
        <f>M25</f>
        <v>2.8999999999999998E-3</v>
      </c>
      <c r="Q25" s="3152"/>
      <c r="R25" s="3155"/>
      <c r="S25" s="3156">
        <f>ROUND(SUMPRODUCT(PRODUCT(1+L26:L40)),4)</f>
        <v>1.0502</v>
      </c>
      <c r="T25" s="3156">
        <f t="shared" ref="T25:U25" si="34">ROUND(SUMPRODUCT(PRODUCT(1+M26:M40)),4)</f>
        <v>1.0387999999999999</v>
      </c>
      <c r="U25" s="3156">
        <f t="shared" si="34"/>
        <v>1.0763</v>
      </c>
      <c r="V25" s="3156"/>
      <c r="W25" s="3155">
        <f>T25</f>
        <v>1.0387999999999999</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1.0465</v>
      </c>
      <c r="T27" s="3183">
        <f>ROUND(IF(项目基本情况!$B$8="出让",SUMPRODUCT(PRODUCT(1+M27:M$40)),SUMPRODUCT(PRODUCT(1+M27:M$39))),4)</f>
        <v>1.0338000000000001</v>
      </c>
      <c r="U27" s="3183">
        <f>ROUND(IF(项目基本情况!$B$8="出让",SUMPRODUCT(PRODUCT(1+N27:N$40)),SUMPRODUCT(PRODUCT(1+N27:N$39))),4)</f>
        <v>1.0659000000000001</v>
      </c>
      <c r="V27" s="3183"/>
      <c r="W27" s="3183">
        <f>T27</f>
        <v>1.0338000000000001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95" customFormat="1" ht="12.75">
      <c r="A28" s="3186" t="s">
        <v>3381</v>
      </c>
      <c r="B28" s="3187">
        <v>2024</v>
      </c>
      <c r="C28" s="3188">
        <v>1</v>
      </c>
      <c r="D28" s="3189"/>
      <c r="E28" s="3189">
        <v>0.25</v>
      </c>
      <c r="F28" s="3189">
        <v>0.4</v>
      </c>
      <c r="G28" s="3189">
        <v>-0.63</v>
      </c>
      <c r="H28" s="3190"/>
      <c r="I28" s="3191">
        <f t="shared" ref="I28:I29" si="38">F28</f>
        <v>0.4</v>
      </c>
      <c r="J28" s="3192"/>
      <c r="K28" s="3193"/>
      <c r="L28" s="3194">
        <f t="shared" ref="L28" si="39">E28/100</f>
        <v>2.5000000000000001E-3</v>
      </c>
      <c r="M28" s="3194">
        <f t="shared" ref="M28" si="40">F28/100</f>
        <v>4.0000000000000001E-3</v>
      </c>
      <c r="N28" s="3194">
        <f t="shared" ref="N28" si="41">G28/100</f>
        <v>-6.3E-3</v>
      </c>
      <c r="O28" s="3194"/>
      <c r="P28" s="3194">
        <f t="shared" ref="P28" si="42">M28</f>
        <v>4.0000000000000001E-3</v>
      </c>
      <c r="Q28" s="3192"/>
      <c r="R28" s="3192"/>
      <c r="S28" s="3192">
        <f>ROUND(IF(项目基本情况!$B$8="出让",SUMPRODUCT(PRODUCT(1+L28:L$40)),SUMPRODUCT(PRODUCT(1+L28:L$39))),4)</f>
        <v>1.0465</v>
      </c>
      <c r="T28" s="3192">
        <f>ROUND(IF(项目基本情况!$B$8="出让",SUMPRODUCT(PRODUCT(1+M28:M$40)),SUMPRODUCT(PRODUCT(1+M28:M$39))),4)</f>
        <v>1.0338000000000001</v>
      </c>
      <c r="U28" s="3192">
        <f>ROUND(IF(项目基本情况!$B$8="出让",SUMPRODUCT(PRODUCT(1+N28:N$40)),SUMPRODUCT(PRODUCT(1+N28:N$39))),4)</f>
        <v>1.0659000000000001</v>
      </c>
      <c r="V28" s="3192"/>
      <c r="W28" s="3192">
        <f t="shared" ref="W28" si="43">T28</f>
        <v>1.0338000000000001</v>
      </c>
      <c r="X28" s="3192"/>
      <c r="Y28" s="3194"/>
      <c r="Z28" s="3215"/>
      <c r="AA28" s="3216"/>
      <c r="AB28" s="3194"/>
      <c r="AC28" s="3217"/>
      <c r="AD28" s="3194"/>
    </row>
    <row r="29" spans="1:30" s="3185" customFormat="1" ht="12.75">
      <c r="A29" s="3176" t="s">
        <v>3383</v>
      </c>
      <c r="B29" s="3177">
        <v>2023</v>
      </c>
      <c r="C29" s="3178">
        <v>4</v>
      </c>
      <c r="D29" s="3179"/>
      <c r="E29" s="3179">
        <v>7.0000000000000007E-2</v>
      </c>
      <c r="F29" s="3179">
        <v>0.09</v>
      </c>
      <c r="G29" s="3179">
        <v>0.03</v>
      </c>
      <c r="H29" s="3196"/>
      <c r="I29" s="3180">
        <f t="shared" si="38"/>
        <v>0.09</v>
      </c>
      <c r="J29" s="3181"/>
      <c r="K29" s="3182"/>
      <c r="L29" s="3172">
        <f t="shared" si="37"/>
        <v>7.000000000000001E-4</v>
      </c>
      <c r="M29" s="3172">
        <f t="shared" si="37"/>
        <v>8.9999999999999998E-4</v>
      </c>
      <c r="N29" s="3172">
        <f t="shared" si="37"/>
        <v>2.9999999999999997E-4</v>
      </c>
      <c r="O29" s="3172"/>
      <c r="P29" s="3172">
        <f t="shared" ref="P29" si="44">M29</f>
        <v>8.9999999999999998E-4</v>
      </c>
      <c r="Q29" s="3181"/>
      <c r="R29" s="3183"/>
      <c r="S29" s="3183">
        <f>ROUND(IF(项目基本情况!$B$8="出让",SUMPRODUCT(PRODUCT(1+L29:L$40)),SUMPRODUCT(PRODUCT(1+L29:L$39))),4)</f>
        <v>1.0439000000000001</v>
      </c>
      <c r="T29" s="3183">
        <f>ROUND(IF(项目基本情况!$B$8="出让",SUMPRODUCT(PRODUCT(1+M29:M$40)),SUMPRODUCT(PRODUCT(1+M29:M$39))),4)</f>
        <v>1.0297000000000001</v>
      </c>
      <c r="U29" s="3183">
        <f>ROUND(IF(项目基本情况!$B$8="出让",SUMPRODUCT(PRODUCT(1+N29:N$40)),SUMPRODUCT(PRODUCT(1+N29:N$39))),4)</f>
        <v>1.0727</v>
      </c>
      <c r="V29" s="3183"/>
      <c r="W29" s="3183">
        <f t="shared" ref="W29" si="45">T29</f>
        <v>1.0297000000000001</v>
      </c>
      <c r="X29" s="3181"/>
      <c r="Y29" s="3184"/>
      <c r="Z29" s="3212"/>
      <c r="AA29" s="3214"/>
      <c r="AB29" s="3184"/>
      <c r="AC29" s="3213"/>
      <c r="AD29" s="318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432.16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45474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2024-07-01T07:09:15Z</dcterms:modified>
</cp:coreProperties>
</file>