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 i="1" l="1"/>
  <c r="Q9" i="77" l="1"/>
  <c r="D8" i="12" l="1"/>
  <c r="C8" i="12"/>
  <c r="B35" i="1"/>
  <c r="N14" i="1"/>
  <c r="N8" i="1"/>
  <c r="N7" i="1"/>
  <c r="Q11" i="77"/>
  <c r="Q6" i="77"/>
  <c r="Q2" i="77"/>
  <c r="C6" i="68"/>
  <c r="I38" i="39"/>
  <c r="G38" i="39"/>
  <c r="E38" i="39"/>
  <c r="C38" i="39"/>
  <c r="C11" i="39"/>
  <c r="I7" i="6"/>
  <c r="AL22" i="3"/>
  <c r="K21" i="3"/>
  <c r="I20" i="3"/>
  <c r="K19" i="3"/>
  <c r="K18" i="3"/>
  <c r="I17" i="3"/>
  <c r="K15" i="3"/>
  <c r="K16" i="3"/>
  <c r="K14" i="3"/>
  <c r="AL14" i="3"/>
  <c r="AN14" i="3"/>
  <c r="AL15" i="3"/>
  <c r="AN15" i="3"/>
  <c r="AL16" i="3"/>
  <c r="AN16" i="3"/>
  <c r="AL17" i="3"/>
  <c r="AN17" i="3"/>
  <c r="AL18" i="3"/>
  <c r="AN18" i="3"/>
  <c r="AL19" i="3"/>
  <c r="AN19" i="3"/>
  <c r="AL20" i="3"/>
  <c r="AN20" i="3"/>
  <c r="AL21" i="3"/>
  <c r="AN21" i="3"/>
  <c r="AN22" i="3"/>
  <c r="AN13" i="3"/>
  <c r="AL13" i="3"/>
  <c r="I13" i="3"/>
  <c r="C14" i="3"/>
  <c r="C15" i="3"/>
  <c r="C16" i="3"/>
  <c r="C17" i="3"/>
  <c r="C18" i="3"/>
  <c r="C19" i="3"/>
  <c r="C20" i="3"/>
  <c r="C21" i="3"/>
  <c r="C13" i="3"/>
  <c r="D13" i="77"/>
  <c r="I13" i="77" s="1"/>
  <c r="E19" i="77"/>
  <c r="E15" i="77"/>
  <c r="G71" i="39"/>
  <c r="H71" i="39" s="1"/>
  <c r="I71" i="39" s="1"/>
  <c r="J71" i="39" s="1"/>
  <c r="E71" i="39"/>
  <c r="F71" i="39" s="1"/>
  <c r="D71" i="39"/>
  <c r="I46" i="39"/>
  <c r="G46" i="39"/>
  <c r="E46" i="39"/>
  <c r="I7" i="39"/>
  <c r="G7" i="39"/>
  <c r="E7" i="39"/>
  <c r="I5" i="39"/>
  <c r="G5" i="39"/>
  <c r="E5" i="39"/>
  <c r="I14" i="77"/>
  <c r="I12" i="77"/>
  <c r="I11" i="77"/>
  <c r="I9" i="77"/>
  <c r="I8" i="77"/>
  <c r="I7" i="77"/>
  <c r="I6" i="77"/>
  <c r="I4" i="77"/>
  <c r="I3" i="77"/>
  <c r="I5" i="77"/>
  <c r="I10" i="77"/>
  <c r="I2" i="77"/>
  <c r="L14" i="1" l="1"/>
  <c r="L8" i="1"/>
  <c r="L7" i="1"/>
  <c r="F23" i="77"/>
  <c r="F45" i="77"/>
  <c r="C11"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s="1"/>
  <c r="F33" i="9"/>
  <c r="B37" i="48"/>
  <c r="B2" i="72" s="1"/>
  <c r="B13" i="53"/>
  <c r="B29" i="72" s="1"/>
  <c r="R35" i="4"/>
  <c r="Q35" i="4"/>
  <c r="P35" i="4"/>
  <c r="O35" i="4"/>
  <c r="N35" i="4"/>
  <c r="M35" i="4"/>
  <c r="L35" i="4"/>
  <c r="K34" i="4"/>
  <c r="T34" i="4"/>
  <c r="G13" i="1"/>
  <c r="G11" i="1"/>
  <c r="I15" i="4"/>
  <c r="H15" i="4"/>
  <c r="G15" i="4"/>
  <c r="F8" i="1" s="1"/>
  <c r="G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N5" i="3" s="1"/>
  <c r="BN15" i="3"/>
  <c r="BN16" i="3"/>
  <c r="BN17" i="3"/>
  <c r="BP13" i="3"/>
  <c r="BP14" i="3"/>
  <c r="BP15" i="3"/>
  <c r="BP16" i="3"/>
  <c r="BP17" i="3"/>
  <c r="F23" i="15"/>
  <c r="D24" i="15"/>
  <c r="E22" i="6"/>
  <c r="E23" i="6"/>
  <c r="E24" i="6"/>
  <c r="E25" i="6"/>
  <c r="E26" i="6"/>
  <c r="BB13" i="3"/>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J15" i="3"/>
  <c r="BK15" i="3"/>
  <c r="BB16" i="3"/>
  <c r="BC16" i="3"/>
  <c r="BA16" i="3" s="1"/>
  <c r="BD16" i="3"/>
  <c r="BE16" i="3"/>
  <c r="BF16" i="3"/>
  <c r="BG16" i="3"/>
  <c r="BH16" i="3"/>
  <c r="BI16" i="3"/>
  <c r="BJ16" i="3"/>
  <c r="BK16" i="3"/>
  <c r="BB17" i="3"/>
  <c r="BC17" i="3"/>
  <c r="BA17" i="3" s="1"/>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F11" i="39"/>
  <c r="AA11" i="39" s="1"/>
  <c r="A12" i="52"/>
  <c r="B56" i="72" s="1"/>
  <c r="G4" i="4"/>
  <c r="I4" i="4"/>
  <c r="K5" i="4"/>
  <c r="B47" i="48"/>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09" i="3"/>
  <c r="AZ317" i="3"/>
  <c r="AZ325" i="3"/>
  <c r="AZ333" i="3"/>
  <c r="AZ341" i="3"/>
  <c r="AZ549" i="3"/>
  <c r="AZ506" i="3"/>
  <c r="AZ496" i="3"/>
  <c r="G548" i="3"/>
  <c r="G538" i="3"/>
  <c r="G520" i="3"/>
  <c r="G502" i="3"/>
  <c r="BS5" i="3"/>
  <c r="AZ343" i="3"/>
  <c r="BI5" i="3"/>
  <c r="BE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BA13" i="3"/>
  <c r="BL17" i="3"/>
  <c r="BL13" i="3"/>
  <c r="J56" i="9"/>
  <c r="J57" i="9"/>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T16" i="43" s="1"/>
  <c r="V16"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E63" i="40" s="1"/>
  <c r="M47" i="9"/>
  <c r="G19" i="43"/>
  <c r="M20" i="43" s="1"/>
  <c r="C19" i="43" s="1"/>
  <c r="T35" i="4"/>
  <c r="A19" i="51"/>
  <c r="B14" i="72"/>
  <c r="C46" i="36"/>
  <c r="D46" i="36"/>
  <c r="E46" i="36" s="1"/>
  <c r="C59" i="34"/>
  <c r="D59" i="34" s="1"/>
  <c r="C52" i="37"/>
  <c r="D52" i="37" s="1"/>
  <c r="A4" i="51"/>
  <c r="B6" i="72"/>
  <c r="C48" i="35"/>
  <c r="D48" i="35" s="1"/>
  <c r="C58" i="21"/>
  <c r="D58" i="21" s="1"/>
  <c r="E58" i="21" s="1"/>
  <c r="C4" i="12"/>
  <c r="H62" i="43"/>
  <c r="H66" i="43"/>
  <c r="H61" i="43"/>
  <c r="H65" i="43"/>
  <c r="H60" i="43"/>
  <c r="H64" i="43"/>
  <c r="H59" i="43"/>
  <c r="H63" i="43"/>
  <c r="H67" i="43"/>
  <c r="H55" i="43"/>
  <c r="H51" i="43"/>
  <c r="H56" i="43"/>
  <c r="H76" i="43"/>
  <c r="H72" i="43"/>
  <c r="H77" i="43"/>
  <c r="B6" i="1"/>
  <c r="E6" i="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5" i="49"/>
  <c r="D68" i="39"/>
  <c r="D70" i="39"/>
  <c r="C77" i="9"/>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s="1"/>
  <c r="R22" i="31"/>
  <c r="B21" i="31"/>
  <c r="O19" i="43"/>
  <c r="C5" i="43"/>
  <c r="E52" i="37"/>
  <c r="F52" i="37" s="1"/>
  <c r="G52" i="37"/>
  <c r="H52" i="37" s="1"/>
  <c r="I52" i="37" s="1"/>
  <c r="F58" i="21"/>
  <c r="E59" i="34"/>
  <c r="F59" i="34" s="1"/>
  <c r="G59" i="34" s="1"/>
  <c r="C65" i="40"/>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11" i="43"/>
  <c r="V11" i="43" s="1"/>
  <c r="F1" i="15"/>
  <c r="Q52" i="15"/>
  <c r="H59" i="34"/>
  <c r="I59" i="34" s="1"/>
  <c r="J59" i="34"/>
  <c r="K59" i="34" s="1"/>
  <c r="L59" i="34" s="1"/>
  <c r="G58" i="21"/>
  <c r="H58" i="21" s="1"/>
  <c r="I58" i="21"/>
  <c r="J58" i="21" s="1"/>
  <c r="K58" i="21" s="1"/>
  <c r="D65" i="40"/>
  <c r="E68" i="39"/>
  <c r="F68" i="39"/>
  <c r="G68" i="39" s="1"/>
  <c r="H68" i="39"/>
  <c r="I68" i="39" s="1"/>
  <c r="J68" i="39" s="1"/>
  <c r="K68" i="39" s="1"/>
  <c r="F1" i="67"/>
  <c r="Q52" i="67"/>
  <c r="AC11" i="37"/>
  <c r="W11" i="37"/>
  <c r="W11" i="34"/>
  <c r="AC11" i="34"/>
  <c r="F63" i="40"/>
  <c r="G63" i="40" s="1"/>
  <c r="H63" i="40" s="1"/>
  <c r="H65" i="40" s="1"/>
  <c r="E65" i="40"/>
  <c r="E70" i="39"/>
  <c r="F70" i="39"/>
  <c r="F65" i="40"/>
  <c r="G70" i="39"/>
  <c r="G65" i="40"/>
  <c r="H70" i="39"/>
  <c r="I63" i="40"/>
  <c r="I65" i="40" s="1"/>
  <c r="I70" i="39"/>
  <c r="J63" i="40"/>
  <c r="K63" i="40" s="1"/>
  <c r="K65" i="40" s="1"/>
  <c r="J70" i="39"/>
  <c r="L63" i="40"/>
  <c r="M63" i="40" s="1"/>
  <c r="M65" i="40" s="1"/>
  <c r="L65" i="40"/>
  <c r="AE7" i="1"/>
  <c r="AE8" i="1"/>
  <c r="AE6" i="1"/>
  <c r="AG6" i="1"/>
  <c r="H109" i="9"/>
  <c r="H110" i="9"/>
  <c r="D18" i="53" s="1"/>
  <c r="B35" i="72" s="1"/>
  <c r="D124" i="9"/>
  <c r="D16" i="53"/>
  <c r="B34" i="72" s="1"/>
  <c r="D10" i="52"/>
  <c r="H14" i="74"/>
  <c r="D17" i="53"/>
  <c r="B36" i="72" s="1"/>
  <c r="D125" i="9"/>
  <c r="D11" i="52" s="1"/>
  <c r="B7" i="74"/>
  <c r="J7" i="33"/>
  <c r="F7" i="33"/>
  <c r="S7" i="33" s="1"/>
  <c r="H7" i="33"/>
  <c r="AB7" i="33" s="1"/>
  <c r="T48" i="33" s="1"/>
  <c r="G48" i="33" s="1"/>
  <c r="AA7" i="33"/>
  <c r="R48" i="33" s="1"/>
  <c r="E48" i="33" s="1"/>
  <c r="U7" i="33"/>
  <c r="R49" i="33"/>
  <c r="C49" i="33" s="1"/>
  <c r="E52" i="33"/>
  <c r="F52" i="33" s="1"/>
  <c r="C48" i="33"/>
  <c r="H112" i="9"/>
  <c r="D21" i="53" s="1"/>
  <c r="B39" i="72" s="1"/>
  <c r="H111" i="9"/>
  <c r="D126" i="9"/>
  <c r="I14" i="74" s="1"/>
  <c r="B8" i="74" s="1"/>
  <c r="D19" i="53"/>
  <c r="D59" i="9"/>
  <c r="M55" i="9"/>
  <c r="B38" i="72"/>
  <c r="D20" i="53"/>
  <c r="B40" i="72"/>
  <c r="AD3" i="71"/>
  <c r="P21" i="43"/>
  <c r="P22" i="43"/>
  <c r="P23" i="43"/>
  <c r="B71" i="39"/>
  <c r="P24" i="43"/>
  <c r="B66" i="40"/>
  <c r="P25" i="43"/>
  <c r="F31" i="67"/>
  <c r="F31" i="15"/>
  <c r="D3" i="73"/>
  <c r="E13" i="76"/>
  <c r="F4" i="73"/>
  <c r="F38" i="15"/>
  <c r="M8" i="15"/>
  <c r="F42" i="67"/>
  <c r="F8" i="15"/>
  <c r="M6" i="15"/>
  <c r="F37" i="15"/>
  <c r="F38" i="67"/>
  <c r="D2" i="36"/>
  <c r="D2" i="21"/>
  <c r="E12" i="76"/>
  <c r="F5" i="73"/>
  <c r="D4" i="73"/>
  <c r="E7" i="76"/>
  <c r="B8" i="76"/>
  <c r="F7" i="73"/>
  <c r="D7" i="73"/>
  <c r="F6" i="67"/>
  <c r="F42" i="15"/>
  <c r="C76" i="15"/>
  <c r="F37" i="67"/>
  <c r="M24" i="67"/>
  <c r="L48" i="67"/>
  <c r="F26" i="15"/>
  <c r="M23" i="67"/>
  <c r="M26" i="67"/>
  <c r="L47" i="15"/>
  <c r="F40" i="67"/>
  <c r="AO7" i="1"/>
  <c r="E2" i="68"/>
  <c r="AO8" i="1"/>
  <c r="D2" i="34"/>
  <c r="E10" i="76"/>
  <c r="E9" i="76"/>
  <c r="D5" i="73"/>
  <c r="M9" i="15"/>
  <c r="F36" i="15"/>
  <c r="D2" i="33"/>
  <c r="B12" i="76"/>
  <c r="AO12" i="1"/>
  <c r="B7" i="76"/>
  <c r="M24" i="15"/>
  <c r="M9" i="67"/>
  <c r="L48" i="15"/>
  <c r="M28" i="15"/>
  <c r="F9" i="67"/>
  <c r="F13" i="67"/>
  <c r="F40" i="15"/>
  <c r="F41" i="15"/>
  <c r="D34" i="9"/>
  <c r="E8" i="76"/>
  <c r="B10" i="76"/>
  <c r="D6" i="73"/>
  <c r="AO13" i="1"/>
  <c r="E11" i="76"/>
  <c r="B13" i="76"/>
  <c r="F6" i="73"/>
  <c r="AO10" i="1"/>
  <c r="F8" i="67"/>
  <c r="J15" i="15"/>
  <c r="F16" i="67"/>
  <c r="F13" i="15"/>
  <c r="M8" i="67"/>
  <c r="F26" i="67"/>
  <c r="J15" i="67"/>
  <c r="M28" i="67"/>
  <c r="C76" i="67"/>
  <c r="F6" i="15"/>
  <c r="L47" i="67"/>
  <c r="F41" i="67"/>
  <c r="F20" i="31"/>
  <c r="M27" i="67"/>
  <c r="D2" i="37"/>
  <c r="D35" i="9"/>
  <c r="B9" i="76"/>
  <c r="AO9" i="1"/>
  <c r="B11" i="76"/>
  <c r="AO11" i="1"/>
  <c r="F9" i="15"/>
  <c r="M22" i="67"/>
  <c r="M22" i="15"/>
  <c r="F16" i="15"/>
  <c r="AO6" i="1"/>
  <c r="M27" i="15"/>
  <c r="D2" i="35"/>
  <c r="M6" i="67"/>
  <c r="F3" i="73"/>
  <c r="M23" i="15"/>
  <c r="F36" i="67"/>
  <c r="M26" i="15"/>
  <c r="E2" i="69"/>
  <c r="B10" i="49" l="1"/>
  <c r="A4" i="52"/>
  <c r="B41" i="72" s="1"/>
  <c r="C94" i="9"/>
  <c r="C92" i="9"/>
  <c r="F32" i="15"/>
  <c r="F60" i="15" s="1"/>
  <c r="F31" i="12"/>
  <c r="C31" i="12" s="1"/>
  <c r="F32" i="67"/>
  <c r="F60" i="67" s="1"/>
  <c r="F30" i="11"/>
  <c r="C48" i="11" s="1"/>
  <c r="D68" i="9"/>
  <c r="M18" i="15"/>
  <c r="F30" i="69"/>
  <c r="F28" i="67"/>
  <c r="C28" i="67" s="1"/>
  <c r="F30" i="68"/>
  <c r="C30" i="68" s="1"/>
  <c r="C30" i="11"/>
  <c r="F54" i="9"/>
  <c r="C48" i="68"/>
  <c r="F28" i="15"/>
  <c r="C28" i="15" s="1"/>
  <c r="M18" i="67"/>
  <c r="F52" i="9"/>
  <c r="J11" i="39"/>
  <c r="F81" i="39"/>
  <c r="G81" i="39" s="1"/>
  <c r="H81" i="39" s="1"/>
  <c r="I81" i="39" s="1"/>
  <c r="J81" i="39" s="1"/>
  <c r="K81" i="39" s="1"/>
  <c r="L81" i="39" s="1"/>
  <c r="M81" i="39" s="1"/>
  <c r="G22" i="3"/>
  <c r="G23" i="3"/>
  <c r="G17" i="3"/>
  <c r="G15" i="3"/>
  <c r="BC5" i="3"/>
  <c r="AC5" i="3"/>
  <c r="BL18" i="3"/>
  <c r="G19" i="3"/>
  <c r="BL20" i="3"/>
  <c r="G21" i="3"/>
  <c r="BL22" i="3"/>
  <c r="BR5" i="3"/>
  <c r="BQ5" i="3"/>
  <c r="F28" i="6" s="1"/>
  <c r="AQ12" i="1"/>
  <c r="BL14" i="3"/>
  <c r="BL15" i="3"/>
  <c r="BL16" i="3"/>
  <c r="BL19" i="3"/>
  <c r="BL21" i="3"/>
  <c r="AZ13" i="3"/>
  <c r="E21" i="6"/>
  <c r="AZ17" i="3"/>
  <c r="BA26" i="3"/>
  <c r="AZ26" i="3" s="1"/>
  <c r="BA27" i="3"/>
  <c r="AZ27" i="3" s="1"/>
  <c r="AZ16" i="3"/>
  <c r="BD5" i="3"/>
  <c r="BP5" i="3"/>
  <c r="BT5" i="3"/>
  <c r="T13" i="1"/>
  <c r="T11" i="1"/>
  <c r="AR10" i="1"/>
  <c r="F29" i="6"/>
  <c r="BL25" i="3"/>
  <c r="K6" i="1"/>
  <c r="I4" i="6"/>
  <c r="F20" i="6"/>
  <c r="E20" i="6" s="1"/>
  <c r="K7" i="1" s="1"/>
  <c r="AP7" i="1" s="1"/>
  <c r="BA22" i="3"/>
  <c r="AZ22" i="3" s="1"/>
  <c r="B9" i="49"/>
  <c r="C4" i="4" s="1"/>
  <c r="B4" i="62" s="1"/>
  <c r="B71" i="72" s="1"/>
  <c r="BB5" i="3"/>
  <c r="S11" i="39"/>
  <c r="E4" i="49"/>
  <c r="E8" i="49"/>
  <c r="E7" i="49"/>
  <c r="B4" i="49"/>
  <c r="E10" i="49"/>
  <c r="E16" i="49"/>
  <c r="E6" i="49"/>
  <c r="B16" i="49"/>
  <c r="G29" i="6"/>
  <c r="BJ5" i="3"/>
  <c r="E15" i="6" s="1"/>
  <c r="BF5" i="3"/>
  <c r="G28" i="6"/>
  <c r="G30" i="6" s="1"/>
  <c r="G31" i="6" s="1"/>
  <c r="BL5" i="3"/>
  <c r="E11" i="49"/>
  <c r="B8" i="49"/>
  <c r="B6" i="49"/>
  <c r="E9" i="49"/>
  <c r="E21" i="49"/>
  <c r="B11" i="49"/>
  <c r="E4" i="4" s="1"/>
  <c r="B5" i="62" s="1"/>
  <c r="B73" i="72" s="1"/>
  <c r="B13" i="49"/>
  <c r="B5" i="49"/>
  <c r="E22" i="49"/>
  <c r="B14" i="49"/>
  <c r="B7" i="49"/>
  <c r="B22" i="49"/>
  <c r="T10" i="43"/>
  <c r="V10" i="43" s="1"/>
  <c r="T9" i="43"/>
  <c r="V9" i="43" s="1"/>
  <c r="T15" i="43"/>
  <c r="V15" i="43" s="1"/>
  <c r="T14" i="43"/>
  <c r="V14" i="43" s="1"/>
  <c r="T13" i="43"/>
  <c r="V13" i="43" s="1"/>
  <c r="T8" i="43"/>
  <c r="V8" i="43" s="1"/>
  <c r="T12" i="43"/>
  <c r="V12" i="43" s="1"/>
  <c r="AZ14" i="3"/>
  <c r="AZ15" i="3"/>
  <c r="BA25" i="3"/>
  <c r="AZ25" i="3" s="1"/>
  <c r="E2" i="70"/>
  <c r="G26" i="3"/>
  <c r="G5" i="3" s="1"/>
  <c r="B3" i="3" s="1"/>
  <c r="E530" i="3" s="1"/>
  <c r="BA18" i="3"/>
  <c r="AZ18" i="3" s="1"/>
  <c r="BA19" i="3"/>
  <c r="AZ19" i="3" s="1"/>
  <c r="BA20" i="3"/>
  <c r="AZ20" i="3" s="1"/>
  <c r="BA21" i="3"/>
  <c r="AZ21" i="3" s="1"/>
  <c r="BA23" i="3"/>
  <c r="AZ23" i="3" s="1"/>
  <c r="BA24" i="3"/>
  <c r="AZ24" i="3" s="1"/>
  <c r="T9" i="1"/>
  <c r="AR11" i="1"/>
  <c r="AQ13" i="1"/>
  <c r="T10" i="1"/>
  <c r="T12" i="1"/>
  <c r="E13" i="6"/>
  <c r="O11" i="1"/>
  <c r="P11" i="1" s="1"/>
  <c r="O12" i="1"/>
  <c r="P12" i="1" s="1"/>
  <c r="O9" i="1"/>
  <c r="P9" i="1" s="1"/>
  <c r="AQ9" i="1"/>
  <c r="D12" i="52"/>
  <c r="D127" i="9"/>
  <c r="D13" i="52" s="1"/>
  <c r="G52" i="33"/>
  <c r="H52" i="33" s="1"/>
  <c r="E53" i="33"/>
  <c r="F53" i="33" s="1"/>
  <c r="N63" i="40"/>
  <c r="J65" i="40"/>
  <c r="K70" i="39"/>
  <c r="L68" i="39"/>
  <c r="L58" i="21"/>
  <c r="M58" i="21" s="1"/>
  <c r="N58" i="21" s="1"/>
  <c r="O58" i="21" s="1"/>
  <c r="H7" i="21"/>
  <c r="F7" i="21"/>
  <c r="M59" i="34"/>
  <c r="N59" i="34" s="1"/>
  <c r="O59" i="34" s="1"/>
  <c r="F7" i="34"/>
  <c r="H7" i="34"/>
  <c r="J52" i="37"/>
  <c r="K52" i="37" s="1"/>
  <c r="L52" i="37" s="1"/>
  <c r="M52" i="37" s="1"/>
  <c r="N52" i="37" s="1"/>
  <c r="O52" i="37" s="1"/>
  <c r="J7" i="37"/>
  <c r="W7" i="33"/>
  <c r="AC7" i="33"/>
  <c r="V48" i="33" s="1"/>
  <c r="I48" i="33" s="1"/>
  <c r="E48" i="35"/>
  <c r="J7" i="34"/>
  <c r="C39" i="43"/>
  <c r="C38" i="43"/>
  <c r="C37" i="43"/>
  <c r="C36" i="43"/>
  <c r="C35" i="43"/>
  <c r="C34" i="43"/>
  <c r="C33" i="43"/>
  <c r="J7" i="21"/>
  <c r="H7" i="37"/>
  <c r="F7" i="37"/>
  <c r="F46" i="36"/>
  <c r="B8" i="70"/>
  <c r="B20" i="31"/>
  <c r="B7" i="70"/>
  <c r="B6" i="70"/>
  <c r="F69" i="67"/>
  <c r="F69" i="15"/>
  <c r="F68" i="67"/>
  <c r="F66" i="67"/>
  <c r="N59" i="67"/>
  <c r="M59" i="67"/>
  <c r="L58" i="67"/>
  <c r="L59" i="67"/>
  <c r="F68" i="15"/>
  <c r="L58" i="15"/>
  <c r="L59" i="15"/>
  <c r="M59" i="15"/>
  <c r="N59" i="15"/>
  <c r="F65" i="15"/>
  <c r="Q71" i="67"/>
  <c r="C27" i="15"/>
  <c r="F51" i="15"/>
  <c r="F64" i="15"/>
  <c r="I54" i="67"/>
  <c r="J57" i="67"/>
  <c r="J55" i="67" s="1"/>
  <c r="J58" i="67" s="1"/>
  <c r="Q50" i="67" s="1"/>
  <c r="L56" i="67"/>
  <c r="C27" i="67"/>
  <c r="F70" i="67"/>
  <c r="F64" i="67"/>
  <c r="F65" i="67"/>
  <c r="I54" i="15"/>
  <c r="L56" i="15"/>
  <c r="J57" i="15"/>
  <c r="J55" i="15" s="1"/>
  <c r="J58" i="15" s="1"/>
  <c r="Q50" i="15" s="1"/>
  <c r="Q71" i="15"/>
  <c r="F66" i="15"/>
  <c r="F51" i="67"/>
  <c r="B10" i="70"/>
  <c r="B11" i="70"/>
  <c r="I1" i="73"/>
  <c r="B39" i="1" s="1"/>
  <c r="B12" i="70"/>
  <c r="B13" i="70"/>
  <c r="B9" i="70"/>
  <c r="E20" i="43"/>
  <c r="K1" i="73"/>
  <c r="M17" i="67"/>
  <c r="F59" i="67"/>
  <c r="M17" i="15"/>
  <c r="F59" i="15"/>
  <c r="G1" i="73"/>
  <c r="C48" i="69" l="1"/>
  <c r="C30" i="69"/>
  <c r="W11" i="39"/>
  <c r="AC11" i="39"/>
  <c r="E28" i="6"/>
  <c r="F30" i="6"/>
  <c r="E14" i="6"/>
  <c r="E64" i="39" s="1"/>
  <c r="E29" i="6"/>
  <c r="K15" i="1" s="1"/>
  <c r="E12" i="6"/>
  <c r="E57" i="40" s="1"/>
  <c r="M7" i="1"/>
  <c r="O7" i="1" s="1"/>
  <c r="P7" i="1" s="1"/>
  <c r="E62" i="39"/>
  <c r="K8" i="1"/>
  <c r="E7" i="12"/>
  <c r="E59" i="40"/>
  <c r="E10" i="6"/>
  <c r="K4" i="4"/>
  <c r="B46" i="48" s="1"/>
  <c r="B4" i="72" s="1"/>
  <c r="BA5" i="3"/>
  <c r="E11" i="6"/>
  <c r="E32" i="6"/>
  <c r="E238" i="3"/>
  <c r="G3" i="43"/>
  <c r="M6" i="1"/>
  <c r="AP6" i="1"/>
  <c r="C36" i="69" s="1"/>
  <c r="E8" i="6"/>
  <c r="E16" i="6" s="1"/>
  <c r="E5" i="6"/>
  <c r="AZ5" i="3"/>
  <c r="E3" i="6" s="1"/>
  <c r="E30" i="6"/>
  <c r="K14" i="1"/>
  <c r="E550" i="3"/>
  <c r="E294" i="3"/>
  <c r="E559" i="3"/>
  <c r="E407" i="3"/>
  <c r="E352" i="3"/>
  <c r="E230" i="3"/>
  <c r="E320" i="3"/>
  <c r="V6" i="3"/>
  <c r="E128" i="3"/>
  <c r="E545" i="3"/>
  <c r="E395" i="3"/>
  <c r="AN6" i="3"/>
  <c r="E477" i="3"/>
  <c r="E215" i="3"/>
  <c r="E335" i="3"/>
  <c r="E387" i="3"/>
  <c r="AB6" i="3"/>
  <c r="E551" i="3"/>
  <c r="E358" i="3"/>
  <c r="E205" i="3"/>
  <c r="E510" i="3"/>
  <c r="E329" i="3"/>
  <c r="E260" i="3"/>
  <c r="E415" i="3"/>
  <c r="E585" i="3"/>
  <c r="E134" i="3"/>
  <c r="AJ6" i="3"/>
  <c r="E568" i="3"/>
  <c r="E141" i="3"/>
  <c r="E114" i="3"/>
  <c r="AG6" i="3"/>
  <c r="E105" i="3"/>
  <c r="E180" i="3"/>
  <c r="E303" i="3"/>
  <c r="E247" i="3"/>
  <c r="AS6" i="3"/>
  <c r="E478" i="3"/>
  <c r="E306" i="3"/>
  <c r="M6" i="3"/>
  <c r="E570" i="3"/>
  <c r="E514" i="3"/>
  <c r="E311" i="3"/>
  <c r="E165" i="3"/>
  <c r="E227" i="3"/>
  <c r="E461" i="3"/>
  <c r="E567" i="3"/>
  <c r="E539" i="3"/>
  <c r="E535" i="3"/>
  <c r="E445" i="3"/>
  <c r="E172" i="3"/>
  <c r="E563" i="3"/>
  <c r="E278" i="3"/>
  <c r="E69" i="3"/>
  <c r="E515" i="3"/>
  <c r="U6" i="3"/>
  <c r="E379" i="3"/>
  <c r="E116" i="3"/>
  <c r="E85" i="3"/>
  <c r="E91" i="3"/>
  <c r="E189" i="3"/>
  <c r="E402" i="3"/>
  <c r="E353" i="3"/>
  <c r="E579" i="3"/>
  <c r="E268" i="3"/>
  <c r="E136" i="3"/>
  <c r="E426" i="3"/>
  <c r="E505" i="3"/>
  <c r="E414" i="3"/>
  <c r="E560" i="3"/>
  <c r="E181" i="3"/>
  <c r="E35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213" i="3"/>
  <c r="E183" i="3"/>
  <c r="E565" i="3"/>
  <c r="E528" i="3"/>
  <c r="E304" i="3"/>
  <c r="E261" i="3"/>
  <c r="E237" i="3"/>
  <c r="E552" i="3"/>
  <c r="R6" i="3"/>
  <c r="Z6" i="3"/>
  <c r="E576" i="3"/>
  <c r="E327" i="3"/>
  <c r="E173" i="3"/>
  <c r="E197" i="3"/>
  <c r="E223" i="3"/>
  <c r="E140" i="3"/>
  <c r="E221" i="3"/>
  <c r="E254" i="3"/>
  <c r="E130" i="3"/>
  <c r="E301" i="3"/>
  <c r="E350" i="3"/>
  <c r="E586" i="3"/>
  <c r="E495" i="3"/>
  <c r="E201" i="3"/>
  <c r="E431" i="3"/>
  <c r="E509" i="3"/>
  <c r="E322" i="3"/>
  <c r="E366" i="3"/>
  <c r="E269" i="3"/>
  <c r="E453" i="3"/>
  <c r="E410" i="3"/>
  <c r="E53" i="3"/>
  <c r="E547" i="3"/>
  <c r="E367" i="3"/>
  <c r="E432" i="3"/>
  <c r="E548" i="3"/>
  <c r="E411" i="3"/>
  <c r="K6" i="3"/>
  <c r="E212" i="3"/>
  <c r="E191" i="3"/>
  <c r="E511" i="3"/>
  <c r="E305" i="3"/>
  <c r="E542" i="3"/>
  <c r="E499" i="3"/>
  <c r="AD6" i="3"/>
  <c r="E575" i="3"/>
  <c r="E312" i="3"/>
  <c r="E286" i="3"/>
  <c r="E133" i="3"/>
  <c r="E193" i="3"/>
  <c r="E177" i="3"/>
  <c r="E224" i="3"/>
  <c r="E277" i="3"/>
  <c r="E45" i="3"/>
  <c r="E120" i="3"/>
  <c r="E117" i="3"/>
  <c r="E161" i="3"/>
  <c r="E290" i="3"/>
  <c r="E135" i="3"/>
  <c r="E61" i="3"/>
  <c r="E185" i="3"/>
  <c r="E169" i="3"/>
  <c r="E245" i="3"/>
  <c r="E263" i="3"/>
  <c r="E382" i="3"/>
  <c r="E423" i="3"/>
  <c r="E578" i="3"/>
  <c r="AI6" i="3"/>
  <c r="E518" i="3"/>
  <c r="E385" i="3"/>
  <c r="E151" i="3"/>
  <c r="E229" i="3"/>
  <c r="E396" i="3"/>
  <c r="E569" i="3"/>
  <c r="E516" i="3"/>
  <c r="E239" i="3"/>
  <c r="N6" i="3"/>
  <c r="E282" i="3"/>
  <c r="E553" i="3"/>
  <c r="E125" i="3"/>
  <c r="E89" i="3"/>
  <c r="E236" i="3"/>
  <c r="E244" i="3"/>
  <c r="E536" i="3"/>
  <c r="E143" i="3"/>
  <c r="E388" i="3"/>
  <c r="E501" i="3"/>
  <c r="E531" i="3"/>
  <c r="E581" i="3"/>
  <c r="E557" i="3"/>
  <c r="E558" i="3"/>
  <c r="E345" i="3"/>
  <c r="E443" i="3"/>
  <c r="E400" i="3"/>
  <c r="P6" i="3"/>
  <c r="E485" i="3"/>
  <c r="E448" i="3"/>
  <c r="AO6" i="3"/>
  <c r="Q6" i="3"/>
  <c r="E330" i="3"/>
  <c r="E167" i="3"/>
  <c r="E149" i="3"/>
  <c r="E188" i="3"/>
  <c r="E262" i="3"/>
  <c r="AK6" i="3"/>
  <c r="E97" i="3"/>
  <c r="O6" i="3"/>
  <c r="E252" i="3"/>
  <c r="E204" i="3"/>
  <c r="E164" i="3"/>
  <c r="E369" i="3"/>
  <c r="E525" i="3"/>
  <c r="E534" i="3"/>
  <c r="T6"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55" i="3"/>
  <c r="E40" i="3"/>
  <c r="E72" i="3"/>
  <c r="E104" i="3"/>
  <c r="E106" i="3"/>
  <c r="E54" i="3"/>
  <c r="E41" i="3"/>
  <c r="E73" i="3"/>
  <c r="E108" i="3"/>
  <c r="E111" i="3"/>
  <c r="E115" i="3"/>
  <c r="E146" i="3"/>
  <c r="E178" i="3"/>
  <c r="E168" i="3"/>
  <c r="E198" i="3"/>
  <c r="E203" i="3"/>
  <c r="E119" i="3"/>
  <c r="E150" i="3"/>
  <c r="E139" i="3"/>
  <c r="E171" i="3"/>
  <c r="E202" i="3"/>
  <c r="E208" i="3"/>
  <c r="E225" i="3"/>
  <c r="E256" i="3"/>
  <c r="E242" i="3"/>
  <c r="E279" i="3"/>
  <c r="E281" i="3"/>
  <c r="E214" i="3"/>
  <c r="E207" i="3"/>
  <c r="E271" i="3"/>
  <c r="E145" i="3"/>
  <c r="E107" i="3"/>
  <c r="E393" i="3"/>
  <c r="E493" i="3"/>
  <c r="E564" i="3"/>
  <c r="E543" i="3"/>
  <c r="E405" i="3"/>
  <c r="E427" i="3"/>
  <c r="E456" i="3"/>
  <c r="E486" i="3"/>
  <c r="E469" i="3"/>
  <c r="E507" i="3"/>
  <c r="E512" i="3"/>
  <c r="E422" i="3"/>
  <c r="E408" i="3"/>
  <c r="E440" i="3"/>
  <c r="E451" i="3"/>
  <c r="E490" i="3"/>
  <c r="E360" i="3"/>
  <c r="E376" i="3"/>
  <c r="AH6" i="3"/>
  <c r="J6" i="3"/>
  <c r="E498" i="3"/>
  <c r="E403" i="3"/>
  <c r="E444" i="3"/>
  <c r="E476" i="3"/>
  <c r="E489" i="3"/>
  <c r="E546" i="3"/>
  <c r="E404" i="3"/>
  <c r="E447" i="3"/>
  <c r="E28" i="3"/>
  <c r="E71" i="3"/>
  <c r="E88" i="3"/>
  <c r="E27" i="3"/>
  <c r="E70" i="3"/>
  <c r="E92" i="3"/>
  <c r="E121" i="3"/>
  <c r="E162" i="3"/>
  <c r="E182" i="3"/>
  <c r="E126" i="3"/>
  <c r="E166" i="3"/>
  <c r="E186" i="3"/>
  <c r="E211" i="3"/>
  <c r="E272" i="3"/>
  <c r="E295"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526" i="3"/>
  <c r="E217" i="3"/>
  <c r="E122" i="3"/>
  <c r="E148" i="3"/>
  <c r="E156" i="3"/>
  <c r="E196" i="3"/>
  <c r="E368" i="3"/>
  <c r="E549" i="3"/>
  <c r="I6" i="3"/>
  <c r="E397" i="3"/>
  <c r="E337" i="3"/>
  <c r="E555" i="3"/>
  <c r="E328" i="3"/>
  <c r="E153" i="3"/>
  <c r="E319" i="3"/>
  <c r="E413" i="3"/>
  <c r="E517" i="3"/>
  <c r="E582" i="3"/>
  <c r="E554" i="3"/>
  <c r="E500" i="3"/>
  <c r="AP6" i="3"/>
  <c r="E566" i="3"/>
  <c r="I3" i="6"/>
  <c r="E374" i="3"/>
  <c r="E255" i="3"/>
  <c r="E459" i="3"/>
  <c r="E449" i="3"/>
  <c r="E416" i="3"/>
  <c r="E430" i="3"/>
  <c r="E398" i="3"/>
  <c r="E541" i="3"/>
  <c r="E487" i="3"/>
  <c r="E466" i="3"/>
  <c r="E464" i="3"/>
  <c r="E442" i="3"/>
  <c r="E421" i="3"/>
  <c r="E502" i="3"/>
  <c r="E573" i="3"/>
  <c r="E532" i="3"/>
  <c r="E519" i="3"/>
  <c r="E313" i="3"/>
  <c r="E199" i="3"/>
  <c r="E253" i="3"/>
  <c r="E77" i="3"/>
  <c r="E157" i="3"/>
  <c r="E228" i="3"/>
  <c r="E99" i="3"/>
  <c r="E159" i="3"/>
  <c r="E296" i="3"/>
  <c r="E434" i="3"/>
  <c r="E16" i="3"/>
  <c r="E314" i="3"/>
  <c r="E285" i="3"/>
  <c r="E574" i="3"/>
  <c r="E508" i="3"/>
  <c r="E343" i="3"/>
  <c r="E175" i="3"/>
  <c r="E25" i="3"/>
  <c r="D3" i="21"/>
  <c r="D19" i="11"/>
  <c r="C19" i="11" s="1"/>
  <c r="D37" i="11"/>
  <c r="D14" i="12"/>
  <c r="M18" i="9"/>
  <c r="B118" i="9" s="1"/>
  <c r="B14" i="74" s="1"/>
  <c r="B1" i="74" s="1"/>
  <c r="D3" i="34"/>
  <c r="D3" i="33"/>
  <c r="B2" i="33" s="1"/>
  <c r="B3" i="33" s="1"/>
  <c r="E6" i="6"/>
  <c r="C17" i="4"/>
  <c r="B4" i="52" s="1"/>
  <c r="B43" i="72" s="1"/>
  <c r="L18" i="9"/>
  <c r="D3" i="37"/>
  <c r="E60" i="40"/>
  <c r="E65" i="39"/>
  <c r="E58" i="40"/>
  <c r="E63" i="39"/>
  <c r="G46" i="36"/>
  <c r="AB7" i="37"/>
  <c r="T42" i="37" s="1"/>
  <c r="G42" i="37" s="1"/>
  <c r="U7" i="37"/>
  <c r="AC7" i="21"/>
  <c r="V48" i="21" s="1"/>
  <c r="I48" i="21" s="1"/>
  <c r="W7" i="21"/>
  <c r="G33" i="43"/>
  <c r="I33" i="43" s="1"/>
  <c r="E33" i="43"/>
  <c r="G34" i="43"/>
  <c r="I34" i="43" s="1"/>
  <c r="E34" i="43"/>
  <c r="E36" i="43"/>
  <c r="G36" i="43"/>
  <c r="I36" i="43" s="1"/>
  <c r="G38" i="43"/>
  <c r="I38" i="43" s="1"/>
  <c r="E38" i="43"/>
  <c r="AC7" i="34"/>
  <c r="V49" i="34" s="1"/>
  <c r="I49" i="34" s="1"/>
  <c r="W7" i="34"/>
  <c r="F48" i="35"/>
  <c r="I52" i="33"/>
  <c r="J52" i="33" s="1"/>
  <c r="I53" i="33"/>
  <c r="J53" i="33" s="1"/>
  <c r="AC7" i="37"/>
  <c r="V42" i="37" s="1"/>
  <c r="I42" i="37" s="1"/>
  <c r="W7" i="37"/>
  <c r="U7" i="34"/>
  <c r="AB7" i="34"/>
  <c r="T49" i="34" s="1"/>
  <c r="G49" i="34" s="1"/>
  <c r="AB7" i="21"/>
  <c r="T48" i="21" s="1"/>
  <c r="G48" i="21" s="1"/>
  <c r="U7" i="21"/>
  <c r="M68" i="39"/>
  <c r="L70" i="39"/>
  <c r="S7" i="37"/>
  <c r="AA7" i="37"/>
  <c r="R42" i="37" s="1"/>
  <c r="G35" i="43"/>
  <c r="I35" i="43" s="1"/>
  <c r="E35" i="43"/>
  <c r="E37" i="43"/>
  <c r="G37" i="43"/>
  <c r="I37" i="43" s="1"/>
  <c r="G39" i="43"/>
  <c r="I39" i="43" s="1"/>
  <c r="E39" i="43"/>
  <c r="S7" i="34"/>
  <c r="AA7" i="34"/>
  <c r="R49" i="34" s="1"/>
  <c r="S7" i="21"/>
  <c r="AA7" i="21"/>
  <c r="R48" i="21" s="1"/>
  <c r="O63" i="40"/>
  <c r="O65" i="40" s="1"/>
  <c r="N65" i="40"/>
  <c r="H7" i="40" s="1"/>
  <c r="G53" i="33"/>
  <c r="H53" i="33" s="1"/>
  <c r="B40" i="1"/>
  <c r="O17" i="43"/>
  <c r="P17" i="43"/>
  <c r="N17" i="43"/>
  <c r="M17" i="43"/>
  <c r="M11" i="15"/>
  <c r="F11" i="67"/>
  <c r="F11" i="15"/>
  <c r="M11" i="67"/>
  <c r="J10" i="67" s="1"/>
  <c r="Q61" i="15"/>
  <c r="Q74" i="15"/>
  <c r="Q60" i="67"/>
  <c r="Q73" i="67"/>
  <c r="Q73" i="15"/>
  <c r="Q60" i="15"/>
  <c r="Q74" i="67"/>
  <c r="Q61" i="67"/>
  <c r="B2" i="70"/>
  <c r="B3" i="70" s="1"/>
  <c r="M29" i="15"/>
  <c r="F7" i="67"/>
  <c r="F43" i="67"/>
  <c r="F43" i="15"/>
  <c r="M29" i="67"/>
  <c r="F7" i="15"/>
  <c r="C6" i="15" l="1"/>
  <c r="M7" i="15"/>
  <c r="J6" i="15" s="1"/>
  <c r="F50" i="15"/>
  <c r="C49" i="15" s="1"/>
  <c r="F50" i="67"/>
  <c r="C49" i="67" s="1"/>
  <c r="M7" i="67"/>
  <c r="J6" i="67" s="1"/>
  <c r="C6" i="67"/>
  <c r="F71" i="67"/>
  <c r="F71" i="15"/>
  <c r="J5" i="67"/>
  <c r="J24" i="67" s="1"/>
  <c r="M8" i="1"/>
  <c r="H6" i="3"/>
  <c r="AY6" i="3"/>
  <c r="AY83" i="3" s="1"/>
  <c r="AY523" i="3"/>
  <c r="H16" i="1"/>
  <c r="Q16" i="1"/>
  <c r="G16" i="1"/>
  <c r="E61" i="39"/>
  <c r="E56" i="40"/>
  <c r="O6" i="1"/>
  <c r="P6" i="1" s="1"/>
  <c r="C13" i="12" s="1"/>
  <c r="B113" i="43"/>
  <c r="C101" i="43"/>
  <c r="N104" i="46"/>
  <c r="H101" i="43"/>
  <c r="J22" i="43"/>
  <c r="K101" i="43"/>
  <c r="N101" i="43"/>
  <c r="H22" i="43"/>
  <c r="M101" i="43"/>
  <c r="E101" i="43"/>
  <c r="AH11" i="43"/>
  <c r="AH13" i="43" s="1"/>
  <c r="AD11" i="43"/>
  <c r="AD13" i="43" s="1"/>
  <c r="Z11" i="43"/>
  <c r="Z13" i="43" s="1"/>
  <c r="AI11" i="43"/>
  <c r="AI13" i="43" s="1"/>
  <c r="AE11" i="43"/>
  <c r="AE13" i="43" s="1"/>
  <c r="AA11" i="43"/>
  <c r="AA13" i="43" s="1"/>
  <c r="F101" i="43"/>
  <c r="I101" i="43"/>
  <c r="AF11" i="43"/>
  <c r="AF13" i="43" s="1"/>
  <c r="Z7" i="43"/>
  <c r="AC11" i="43"/>
  <c r="AC13" i="43" s="1"/>
  <c r="G101" i="43"/>
  <c r="J101" i="43"/>
  <c r="L101" i="43"/>
  <c r="G22" i="43"/>
  <c r="F22" i="43"/>
  <c r="E22" i="43"/>
  <c r="D101" i="43"/>
  <c r="AJ11" i="43"/>
  <c r="AJ13" i="43" s="1"/>
  <c r="AB11" i="43"/>
  <c r="AB13" i="43" s="1"/>
  <c r="AG11" i="43"/>
  <c r="AG13" i="43" s="1"/>
  <c r="Y11" i="43"/>
  <c r="Y13" i="43" s="1"/>
  <c r="L20" i="6"/>
  <c r="L19" i="6"/>
  <c r="D9" i="11"/>
  <c r="C9" i="11" s="1"/>
  <c r="D9" i="69"/>
  <c r="C9" i="69" s="1"/>
  <c r="D9" i="68"/>
  <c r="C9" i="68" s="1"/>
  <c r="D19" i="12"/>
  <c r="C19" i="12" s="1"/>
  <c r="F27" i="6"/>
  <c r="E56" i="39"/>
  <c r="E66" i="39" s="1"/>
  <c r="E51" i="40"/>
  <c r="AY95" i="3"/>
  <c r="AY34" i="3"/>
  <c r="AY45" i="3"/>
  <c r="AY77" i="3"/>
  <c r="AY108" i="3"/>
  <c r="AY553" i="3"/>
  <c r="AY541" i="3"/>
  <c r="AY569" i="3"/>
  <c r="BK6" i="3"/>
  <c r="AY513" i="3"/>
  <c r="AY420" i="3"/>
  <c r="AY310" i="3"/>
  <c r="AY372" i="3"/>
  <c r="AY260" i="3"/>
  <c r="AY26" i="3"/>
  <c r="AY441" i="3"/>
  <c r="AY473" i="3"/>
  <c r="AY366" i="3"/>
  <c r="AY236" i="3"/>
  <c r="AY168" i="3"/>
  <c r="AY281" i="3"/>
  <c r="AY42" i="3"/>
  <c r="AY124" i="3"/>
  <c r="AY207" i="3"/>
  <c r="AY51"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M14" i="1"/>
  <c r="C34" i="69"/>
  <c r="K16" i="1"/>
  <c r="AC6" i="3"/>
  <c r="E6" i="3" s="1"/>
  <c r="D10" i="68"/>
  <c r="D10" i="11"/>
  <c r="C10" i="11" s="1"/>
  <c r="D10" i="69"/>
  <c r="D20" i="12"/>
  <c r="C20" i="12" s="1"/>
  <c r="D17" i="12"/>
  <c r="C17" i="12" s="1"/>
  <c r="C20" i="11"/>
  <c r="C7" i="74"/>
  <c r="C8" i="74"/>
  <c r="AB7" i="40"/>
  <c r="T42" i="40" s="1"/>
  <c r="G42" i="40" s="1"/>
  <c r="U7" i="40"/>
  <c r="E49" i="34"/>
  <c r="R50" i="34"/>
  <c r="R43" i="37"/>
  <c r="E42" i="37"/>
  <c r="N68" i="39"/>
  <c r="M70" i="39"/>
  <c r="G52" i="21"/>
  <c r="H52" i="21" s="1"/>
  <c r="G53" i="21"/>
  <c r="H53" i="21" s="1"/>
  <c r="I47" i="37"/>
  <c r="J47" i="37" s="1"/>
  <c r="I46" i="37"/>
  <c r="J46" i="37" s="1"/>
  <c r="F7" i="40"/>
  <c r="J7" i="40"/>
  <c r="E48" i="21"/>
  <c r="R49" i="21"/>
  <c r="G53" i="34"/>
  <c r="H53" i="34" s="1"/>
  <c r="G54" i="34"/>
  <c r="H54" i="34" s="1"/>
  <c r="G48" i="35"/>
  <c r="I54" i="34"/>
  <c r="J54" i="34" s="1"/>
  <c r="I53" i="34"/>
  <c r="J53" i="34" s="1"/>
  <c r="I52" i="21"/>
  <c r="J52" i="21" s="1"/>
  <c r="I53" i="21"/>
  <c r="J53" i="21" s="1"/>
  <c r="G47" i="37"/>
  <c r="H47" i="37" s="1"/>
  <c r="G46" i="37"/>
  <c r="H46" i="37" s="1"/>
  <c r="H46" i="36"/>
  <c r="C53" i="15"/>
  <c r="C48" i="15" s="1"/>
  <c r="C10" i="15"/>
  <c r="J18" i="67"/>
  <c r="J10" i="15"/>
  <c r="J5" i="15" s="1"/>
  <c r="C53" i="67"/>
  <c r="C10" i="67"/>
  <c r="C5" i="67" s="1"/>
  <c r="F24" i="15"/>
  <c r="C24" i="15" s="1"/>
  <c r="F22" i="11"/>
  <c r="F22" i="69"/>
  <c r="F25" i="12"/>
  <c r="F22" i="68"/>
  <c r="F24" i="67"/>
  <c r="C24" i="67" s="1"/>
  <c r="C16" i="67"/>
  <c r="C16" i="15"/>
  <c r="J26" i="67" l="1"/>
  <c r="J29" i="67" s="1"/>
  <c r="C5" i="15"/>
  <c r="C32" i="15" s="1"/>
  <c r="C48" i="67"/>
  <c r="C66" i="67" s="1"/>
  <c r="O8" i="1"/>
  <c r="P8" i="1" s="1"/>
  <c r="AY520" i="3"/>
  <c r="AY496" i="3"/>
  <c r="AY406" i="3"/>
  <c r="AY543" i="3"/>
  <c r="AY572" i="3"/>
  <c r="AY483" i="3"/>
  <c r="AY532" i="3"/>
  <c r="AY552" i="3"/>
  <c r="AY536" i="3"/>
  <c r="AY503" i="3"/>
  <c r="AY449" i="3"/>
  <c r="AY370" i="3"/>
  <c r="AY309" i="3"/>
  <c r="AY275" i="3"/>
  <c r="AY580" i="3"/>
  <c r="AY419" i="3"/>
  <c r="AY438" i="3"/>
  <c r="AY480" i="3"/>
  <c r="AY324" i="3"/>
  <c r="AY341" i="3"/>
  <c r="AY215" i="3"/>
  <c r="AY29" i="3"/>
  <c r="AY161" i="3"/>
  <c r="AY507" i="3"/>
  <c r="AY258" i="3"/>
  <c r="AY121" i="3"/>
  <c r="AY181" i="3"/>
  <c r="AY88" i="3"/>
  <c r="AY227" i="3"/>
  <c r="AY72" i="3"/>
  <c r="BB6" i="3"/>
  <c r="AY368" i="3"/>
  <c r="AY286" i="3"/>
  <c r="AY373" i="3"/>
  <c r="AY270" i="3"/>
  <c r="AY198" i="3"/>
  <c r="AY141" i="3"/>
  <c r="AY89" i="3"/>
  <c r="AY384" i="3"/>
  <c r="AY238" i="3"/>
  <c r="AY255" i="3"/>
  <c r="AY291" i="3"/>
  <c r="AY162" i="3"/>
  <c r="AY52" i="3"/>
  <c r="AY404" i="3"/>
  <c r="AY134" i="3"/>
  <c r="AY173" i="3"/>
  <c r="AY193" i="3"/>
  <c r="AY20" i="3"/>
  <c r="AY53" i="3"/>
  <c r="BO6" i="3"/>
  <c r="AY199" i="3"/>
  <c r="AY562" i="3"/>
  <c r="AY355" i="3"/>
  <c r="AY292" i="3"/>
  <c r="AY486" i="3"/>
  <c r="AY139" i="3"/>
  <c r="AY481" i="3"/>
  <c r="AY244" i="3"/>
  <c r="AY425" i="3"/>
  <c r="AY220" i="3"/>
  <c r="AY74" i="3"/>
  <c r="AY50" i="3"/>
  <c r="AY350" i="3"/>
  <c r="AY147" i="3"/>
  <c r="AY183" i="3"/>
  <c r="AY289" i="3"/>
  <c r="AY160" i="3"/>
  <c r="AY463" i="3"/>
  <c r="AY61" i="3"/>
  <c r="AY253" i="3"/>
  <c r="AY196" i="3"/>
  <c r="AY67" i="3"/>
  <c r="AY533" i="3"/>
  <c r="AY529" i="3"/>
  <c r="AY87" i="3"/>
  <c r="AY103" i="3"/>
  <c r="AY97" i="3"/>
  <c r="AY549" i="3"/>
  <c r="AY217" i="3"/>
  <c r="AY303" i="3"/>
  <c r="AY152" i="3"/>
  <c r="AY144" i="3"/>
  <c r="AY382" i="3"/>
  <c r="AY300" i="3"/>
  <c r="AY401" i="3"/>
  <c r="BE6" i="3"/>
  <c r="AY76" i="3"/>
  <c r="AY82" i="3"/>
  <c r="AY191" i="3"/>
  <c r="AY132" i="3"/>
  <c r="AY31" i="3"/>
  <c r="AY75" i="3"/>
  <c r="AY387" i="3"/>
  <c r="AY444" i="3"/>
  <c r="AY269" i="3"/>
  <c r="AY311" i="3"/>
  <c r="AY535" i="3"/>
  <c r="AY55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49" i="3"/>
  <c r="AY32" i="3"/>
  <c r="AY205" i="3"/>
  <c r="AY142" i="3"/>
  <c r="AY122" i="3"/>
  <c r="AY298" i="3"/>
  <c r="AY235" i="3"/>
  <c r="AY218" i="3"/>
  <c r="AY385" i="3"/>
  <c r="AY352" i="3"/>
  <c r="AY321" i="3"/>
  <c r="AY336" i="3"/>
  <c r="AY304" i="3"/>
  <c r="AY492" i="3"/>
  <c r="AY461" i="3"/>
  <c r="AY450" i="3"/>
  <c r="AY418" i="3"/>
  <c r="AY123" i="3"/>
  <c r="AY204" i="3"/>
  <c r="AY252" i="3"/>
  <c r="AY363" i="3"/>
  <c r="AY489" i="3"/>
  <c r="AY412" i="3"/>
  <c r="AY43" i="3"/>
  <c r="AY229" i="3"/>
  <c r="AY379" i="3"/>
  <c r="AY326" i="3"/>
  <c r="AY436" i="3"/>
  <c r="AY557" i="3"/>
  <c r="AY540" i="3"/>
  <c r="AY105" i="3"/>
  <c r="AY69" i="3"/>
  <c r="AY60" i="3"/>
  <c r="AY28" i="3"/>
  <c r="AY206" i="3"/>
  <c r="AY201" i="3"/>
  <c r="AY170" i="3"/>
  <c r="AY138" i="3"/>
  <c r="AY149" i="3"/>
  <c r="AY118" i="3"/>
  <c r="AY299" i="3"/>
  <c r="AY294" i="3"/>
  <c r="AY111" i="3"/>
  <c r="AY327" i="3"/>
  <c r="AY92" i="3"/>
  <c r="AY18" i="3"/>
  <c r="AY90" i="3"/>
  <c r="AY237" i="3"/>
  <c r="AY526" i="3"/>
  <c r="AY447" i="3"/>
  <c r="AY85" i="3"/>
  <c r="AY182" i="3"/>
  <c r="AY126" i="3"/>
  <c r="AY239" i="3"/>
  <c r="AY389" i="3"/>
  <c r="AY93" i="3"/>
  <c r="AY150" i="3"/>
  <c r="AY226" i="3"/>
  <c r="AY340" i="3"/>
  <c r="AY454" i="3"/>
  <c r="AY525" i="3"/>
  <c r="AY518" i="3"/>
  <c r="AY577" i="3"/>
  <c r="AY64" i="3"/>
  <c r="AY174" i="3"/>
  <c r="AY113" i="3"/>
  <c r="AY250" i="3"/>
  <c r="AY361" i="3"/>
  <c r="AY305" i="3"/>
  <c r="AY479" i="3"/>
  <c r="AY445" i="3"/>
  <c r="AY402" i="3"/>
  <c r="AY284" i="3"/>
  <c r="AY319" i="3"/>
  <c r="AY497" i="3"/>
  <c r="AY212" i="3"/>
  <c r="AY478" i="3"/>
  <c r="AY573" i="3"/>
  <c r="AY100" i="3"/>
  <c r="AY44" i="3"/>
  <c r="AY190" i="3"/>
  <c r="AY154" i="3"/>
  <c r="AY133" i="3"/>
  <c r="AY283" i="3"/>
  <c r="AY263" i="3"/>
  <c r="AY231" i="3"/>
  <c r="AY246" i="3"/>
  <c r="AY214" i="3"/>
  <c r="AY392" i="3"/>
  <c r="AY381" i="3"/>
  <c r="AY357" i="3"/>
  <c r="AY554" i="3"/>
  <c r="BJ6" i="3"/>
  <c r="AY104" i="3"/>
  <c r="AY41" i="3"/>
  <c r="AY24" i="3"/>
  <c r="AY197" i="3"/>
  <c r="AY177" i="3"/>
  <c r="AY114" i="3"/>
  <c r="AY290" i="3"/>
  <c r="AY274" i="3"/>
  <c r="AY210" i="3"/>
  <c r="AY349" i="3"/>
  <c r="AY332" i="3"/>
  <c r="AY488" i="3"/>
  <c r="AY446" i="3"/>
  <c r="AY427" i="3"/>
  <c r="BM6" i="3"/>
  <c r="BF6" i="3"/>
  <c r="AY510" i="3"/>
  <c r="AY584" i="3"/>
  <c r="AY519" i="3"/>
  <c r="AY80" i="3"/>
  <c r="AY189" i="3"/>
  <c r="AY129" i="3"/>
  <c r="AY266" i="3"/>
  <c r="AY369" i="3"/>
  <c r="AY313" i="3"/>
  <c r="AY487" i="3"/>
  <c r="AY453" i="3"/>
  <c r="AY410" i="3"/>
  <c r="AY415" i="3"/>
  <c r="AY505" i="3"/>
  <c r="AY538" i="3"/>
  <c r="AY522" i="3"/>
  <c r="AY515" i="3"/>
  <c r="AY551" i="3"/>
  <c r="AY460" i="3"/>
  <c r="AY544" i="3"/>
  <c r="AY98" i="3"/>
  <c r="AY171" i="3"/>
  <c r="AY163" i="3"/>
  <c r="AY334" i="3"/>
  <c r="AY390" i="3"/>
  <c r="AY574" i="3"/>
  <c r="AY36" i="3"/>
  <c r="AY146" i="3"/>
  <c r="AY302" i="3"/>
  <c r="AY222" i="3"/>
  <c r="BS6" i="3"/>
  <c r="AY40" i="3"/>
  <c r="AY279" i="3"/>
  <c r="AY356" i="3"/>
  <c r="AY467" i="3"/>
  <c r="AY435" i="3"/>
  <c r="BN6" i="3"/>
  <c r="AY508" i="3"/>
  <c r="AY81" i="3"/>
  <c r="AY21" i="3"/>
  <c r="AY153" i="3"/>
  <c r="AY267" i="3"/>
  <c r="AY396" i="3"/>
  <c r="AY337" i="3"/>
  <c r="AY320" i="3"/>
  <c r="AY476" i="3"/>
  <c r="AY434" i="3"/>
  <c r="AY261" i="3"/>
  <c r="AY209" i="3"/>
  <c r="AY455" i="3"/>
  <c r="AY116" i="3"/>
  <c r="AY343" i="3"/>
  <c r="AY417" i="3"/>
  <c r="AY539" i="3"/>
  <c r="AY84" i="3"/>
  <c r="AY33" i="3"/>
  <c r="AY185" i="3"/>
  <c r="AY165" i="3"/>
  <c r="AY125" i="3"/>
  <c r="AY278" i="3"/>
  <c r="AY247" i="3"/>
  <c r="AY262" i="3"/>
  <c r="AY230" i="3"/>
  <c r="AY219" i="3"/>
  <c r="AY397" i="3"/>
  <c r="AY374" i="3"/>
  <c r="AY360" i="3"/>
  <c r="BH6" i="3"/>
  <c r="AY109" i="3"/>
  <c r="AY73" i="3"/>
  <c r="AY56" i="3"/>
  <c r="AY202" i="3"/>
  <c r="AY166" i="3"/>
  <c r="AY145" i="3"/>
  <c r="AY295" i="3"/>
  <c r="AY259" i="3"/>
  <c r="AY242" i="3"/>
  <c r="AY377" i="3"/>
  <c r="AY317" i="3"/>
  <c r="AY491" i="3"/>
  <c r="AY457" i="3"/>
  <c r="AY414" i="3"/>
  <c r="AY581" i="3"/>
  <c r="AY561"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545" i="3"/>
  <c r="AY493" i="3"/>
  <c r="AY62"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3" i="3"/>
  <c r="AY348" i="3"/>
  <c r="AY475" i="3"/>
  <c r="AY462" i="3"/>
  <c r="AY398" i="3"/>
  <c r="BQ6" i="3"/>
  <c r="AY534"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P6" i="3"/>
  <c r="AY79"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8" i="3"/>
  <c r="AY333" i="3"/>
  <c r="AY316" i="3"/>
  <c r="AY472" i="3"/>
  <c r="AY430" i="3"/>
  <c r="AY411" i="3"/>
  <c r="AY585"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8"/>
  <c r="F27" i="69"/>
  <c r="F28" i="12"/>
  <c r="C29" i="12" s="1"/>
  <c r="D28" i="12" s="1"/>
  <c r="F27" i="11"/>
  <c r="J10" i="40"/>
  <c r="J10" i="39"/>
  <c r="H10" i="40"/>
  <c r="H10" i="39"/>
  <c r="F10" i="39"/>
  <c r="F10" i="40"/>
  <c r="L27" i="6"/>
  <c r="D103" i="43"/>
  <c r="D107" i="43"/>
  <c r="D106" i="43"/>
  <c r="D109" i="43"/>
  <c r="D104" i="43"/>
  <c r="D105" i="43"/>
  <c r="D102" i="43"/>
  <c r="L102" i="43"/>
  <c r="L104" i="43"/>
  <c r="L107" i="43"/>
  <c r="L109" i="43"/>
  <c r="L105" i="43"/>
  <c r="L106" i="43"/>
  <c r="L103" i="43"/>
  <c r="G104" i="43"/>
  <c r="G105" i="43"/>
  <c r="G103" i="43"/>
  <c r="G107" i="43"/>
  <c r="G106" i="43"/>
  <c r="G102" i="43"/>
  <c r="G109" i="43"/>
  <c r="I109" i="43"/>
  <c r="I106" i="43"/>
  <c r="I104" i="43"/>
  <c r="I105" i="43"/>
  <c r="I102" i="43"/>
  <c r="I103" i="43"/>
  <c r="I107" i="43"/>
  <c r="E107" i="43"/>
  <c r="E109" i="43"/>
  <c r="E102" i="43"/>
  <c r="E104" i="43"/>
  <c r="E105" i="43"/>
  <c r="E106" i="43"/>
  <c r="E103" i="43"/>
  <c r="K103" i="43"/>
  <c r="K105" i="43"/>
  <c r="K107" i="43"/>
  <c r="K106" i="43"/>
  <c r="K102" i="43"/>
  <c r="K109" i="43"/>
  <c r="K104" i="43"/>
  <c r="H106" i="43"/>
  <c r="H103" i="43"/>
  <c r="H104" i="43"/>
  <c r="H107" i="43"/>
  <c r="H105" i="43"/>
  <c r="H102" i="43"/>
  <c r="H109" i="43"/>
  <c r="C107" i="43"/>
  <c r="C104" i="43"/>
  <c r="C105" i="43"/>
  <c r="C109" i="43"/>
  <c r="C103" i="43"/>
  <c r="C106" i="43"/>
  <c r="C102" i="43"/>
  <c r="C18" i="12"/>
  <c r="D22" i="43"/>
  <c r="J107" i="43"/>
  <c r="J109" i="43"/>
  <c r="J105" i="43"/>
  <c r="J106" i="43"/>
  <c r="J102" i="43"/>
  <c r="J104" i="43"/>
  <c r="J103" i="43"/>
  <c r="F104" i="43"/>
  <c r="F105" i="43"/>
  <c r="F107" i="43"/>
  <c r="F103" i="43"/>
  <c r="F102" i="43"/>
  <c r="F109" i="43"/>
  <c r="F106" i="43"/>
  <c r="M109" i="43"/>
  <c r="M107" i="43"/>
  <c r="M102" i="43"/>
  <c r="M106" i="43"/>
  <c r="M104" i="43"/>
  <c r="M105" i="43"/>
  <c r="M103" i="43"/>
  <c r="N105" i="43"/>
  <c r="N109" i="43"/>
  <c r="N106" i="43"/>
  <c r="N102" i="43"/>
  <c r="N104" i="43"/>
  <c r="N103" i="43"/>
  <c r="N107"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F31" i="6"/>
  <c r="E27" i="6"/>
  <c r="C35" i="69"/>
  <c r="C38" i="69"/>
  <c r="O14" i="1"/>
  <c r="M16" i="1"/>
  <c r="N16" i="1" s="1"/>
  <c r="D19" i="69"/>
  <c r="C10" i="69"/>
  <c r="C8" i="69" s="1"/>
  <c r="C5" i="69" s="1"/>
  <c r="C23" i="69" s="1"/>
  <c r="C10" i="68"/>
  <c r="D19" i="68"/>
  <c r="C48" i="21"/>
  <c r="C49" i="21"/>
  <c r="B2" i="21" s="1"/>
  <c r="B3" i="21" s="1"/>
  <c r="W7" i="40"/>
  <c r="AC7" i="40"/>
  <c r="V42" i="40" s="1"/>
  <c r="I42" i="40" s="1"/>
  <c r="G47" i="40" s="1"/>
  <c r="H47" i="40" s="1"/>
  <c r="E47" i="37"/>
  <c r="F47" i="37" s="1"/>
  <c r="E46" i="37"/>
  <c r="F46" i="37" s="1"/>
  <c r="E54" i="34"/>
  <c r="F54" i="34" s="1"/>
  <c r="E53" i="34"/>
  <c r="F53" i="34" s="1"/>
  <c r="G46" i="40"/>
  <c r="H46" i="40" s="1"/>
  <c r="I46" i="36"/>
  <c r="H48" i="35"/>
  <c r="E53" i="21"/>
  <c r="F53" i="21" s="1"/>
  <c r="E52" i="21"/>
  <c r="F52" i="21" s="1"/>
  <c r="AA7" i="40"/>
  <c r="R42" i="40" s="1"/>
  <c r="S7" i="40"/>
  <c r="O68" i="39"/>
  <c r="O70" i="39" s="1"/>
  <c r="N70" i="39"/>
  <c r="J7" i="39" s="1"/>
  <c r="C43" i="37"/>
  <c r="B2" i="37" s="1"/>
  <c r="B3" i="37" s="1"/>
  <c r="C42" i="37"/>
  <c r="C49" i="34"/>
  <c r="C50" i="34"/>
  <c r="B2" i="34" s="1"/>
  <c r="B3" i="34" s="1"/>
  <c r="J18" i="15"/>
  <c r="J24" i="15"/>
  <c r="J26" i="15"/>
  <c r="J29" i="15" s="1"/>
  <c r="C32" i="67"/>
  <c r="C38" i="67"/>
  <c r="C60" i="15"/>
  <c r="C66" i="15"/>
  <c r="C26" i="12"/>
  <c r="D25" i="12" s="1"/>
  <c r="C25" i="11"/>
  <c r="C44" i="11"/>
  <c r="D41" i="11" s="1"/>
  <c r="C23" i="11"/>
  <c r="C26" i="11"/>
  <c r="D22" i="11" s="1"/>
  <c r="C24" i="11"/>
  <c r="C23" i="68"/>
  <c r="C26" i="68"/>
  <c r="D22" i="68" s="1"/>
  <c r="C44" i="68"/>
  <c r="D41" i="68" s="1"/>
  <c r="C26" i="69"/>
  <c r="D22" i="69" s="1"/>
  <c r="C44" i="69"/>
  <c r="D41" i="69" s="1"/>
  <c r="C38" i="15"/>
  <c r="C60" i="67" l="1"/>
  <c r="D15" i="6"/>
  <c r="D29" i="6"/>
  <c r="D20" i="6"/>
  <c r="D14" i="6"/>
  <c r="D26" i="6"/>
  <c r="D19" i="6"/>
  <c r="D24" i="6"/>
  <c r="D22" i="6"/>
  <c r="D5" i="6"/>
  <c r="D12" i="6"/>
  <c r="D10" i="6"/>
  <c r="D23" i="6"/>
  <c r="E61" i="40"/>
  <c r="M19" i="9"/>
  <c r="C118" i="9" s="1"/>
  <c r="C14" i="74" s="1"/>
  <c r="B2" i="74" s="1"/>
  <c r="D9" i="6"/>
  <c r="D8" i="6"/>
  <c r="D13" i="6"/>
  <c r="D25" i="6"/>
  <c r="D11" i="6"/>
  <c r="D28" i="6"/>
  <c r="D30" i="6" s="1"/>
  <c r="D21" i="6"/>
  <c r="D6" i="6"/>
  <c r="C18" i="4"/>
  <c r="L19" i="9"/>
  <c r="AA10" i="39"/>
  <c r="S10" i="39"/>
  <c r="AB10" i="40"/>
  <c r="U10" i="40"/>
  <c r="W10" i="40"/>
  <c r="AC10" i="40"/>
  <c r="C29" i="68"/>
  <c r="D27" i="68" s="1"/>
  <c r="C47" i="68"/>
  <c r="D45" i="68" s="1"/>
  <c r="C23" i="43"/>
  <c r="C21" i="43" s="1"/>
  <c r="C29" i="43" s="1"/>
  <c r="S3" i="43"/>
  <c r="T3" i="43" s="1"/>
  <c r="V3" i="43" s="1"/>
  <c r="S4" i="43"/>
  <c r="T4" i="43" s="1"/>
  <c r="V4" i="43" s="1"/>
  <c r="S5" i="43"/>
  <c r="T5" i="43" s="1"/>
  <c r="V5" i="43" s="1"/>
  <c r="S2" i="43"/>
  <c r="T2" i="43" s="1"/>
  <c r="V2" i="43" s="1"/>
  <c r="S7" i="43"/>
  <c r="T7" i="43" s="1"/>
  <c r="V7" i="43" s="1"/>
  <c r="S6" i="43"/>
  <c r="T6" i="43" s="1"/>
  <c r="V6" i="43" s="1"/>
  <c r="S10" i="40"/>
  <c r="AA10" i="40"/>
  <c r="U10" i="39"/>
  <c r="AB10" i="39"/>
  <c r="AC10" i="39"/>
  <c r="W10" i="39"/>
  <c r="C29" i="11"/>
  <c r="D27" i="11" s="1"/>
  <c r="C47" i="11"/>
  <c r="D45" i="11" s="1"/>
  <c r="C47" i="69"/>
  <c r="D45" i="69" s="1"/>
  <c r="C29" i="69"/>
  <c r="D27" i="69" s="1"/>
  <c r="C28" i="11"/>
  <c r="C27" i="11" s="1"/>
  <c r="D113" i="43"/>
  <c r="K22" i="6"/>
  <c r="M22" i="6" s="1"/>
  <c r="I22" i="6" s="1"/>
  <c r="K20" i="6"/>
  <c r="K26" i="6"/>
  <c r="M26" i="6" s="1"/>
  <c r="I26" i="6" s="1"/>
  <c r="K25" i="6"/>
  <c r="M25" i="6" s="1"/>
  <c r="I25" i="6" s="1"/>
  <c r="K23" i="6"/>
  <c r="M23" i="6" s="1"/>
  <c r="I23" i="6" s="1"/>
  <c r="K19" i="6"/>
  <c r="E31" i="6"/>
  <c r="K21" i="6"/>
  <c r="K24" i="6"/>
  <c r="M24" i="6" s="1"/>
  <c r="I24" i="6" s="1"/>
  <c r="F34" i="11"/>
  <c r="F34" i="68"/>
  <c r="C36" i="68" s="1"/>
  <c r="F11" i="12"/>
  <c r="F50" i="69"/>
  <c r="F50" i="68"/>
  <c r="F50" i="11"/>
  <c r="P14" i="1"/>
  <c r="P16" i="1" s="1"/>
  <c r="C11" i="12" s="1"/>
  <c r="O16" i="1"/>
  <c r="L16" i="1"/>
  <c r="D37" i="69"/>
  <c r="C37" i="69" s="1"/>
  <c r="C33" i="69" s="1"/>
  <c r="C19" i="69"/>
  <c r="D37" i="68"/>
  <c r="C37" i="68" s="1"/>
  <c r="C19" i="68"/>
  <c r="E29" i="43"/>
  <c r="C26" i="43" s="1"/>
  <c r="C30" i="43"/>
  <c r="E30" i="43" s="1"/>
  <c r="C27" i="43" s="1"/>
  <c r="AC7" i="39"/>
  <c r="V47" i="39" s="1"/>
  <c r="I47" i="39" s="1"/>
  <c r="W7" i="39"/>
  <c r="I48" i="35"/>
  <c r="J46" i="36"/>
  <c r="K46" i="36" s="1"/>
  <c r="L46" i="36" s="1"/>
  <c r="M46" i="36" s="1"/>
  <c r="N46" i="36" s="1"/>
  <c r="O46" i="36" s="1"/>
  <c r="J7" i="36"/>
  <c r="F7" i="36"/>
  <c r="F7" i="39"/>
  <c r="H7" i="39"/>
  <c r="R43" i="40"/>
  <c r="E42" i="40"/>
  <c r="I47" i="40" s="1"/>
  <c r="J47" i="40" s="1"/>
  <c r="H7" i="36"/>
  <c r="I46" i="40"/>
  <c r="J46" i="40" s="1"/>
  <c r="J59" i="15"/>
  <c r="J60" i="15" s="1"/>
  <c r="C22" i="11"/>
  <c r="C31" i="11" s="1"/>
  <c r="E6" i="76"/>
  <c r="D16" i="6" l="1"/>
  <c r="C34" i="11"/>
  <c r="C35" i="11" s="1"/>
  <c r="D27" i="6"/>
  <c r="D7" i="74"/>
  <c r="D8" i="74"/>
  <c r="D31" i="6"/>
  <c r="C4" i="52"/>
  <c r="B45" i="72" s="1"/>
  <c r="A7" i="51"/>
  <c r="B7" i="72" s="1"/>
  <c r="A10" i="51"/>
  <c r="B9" i="72" s="1"/>
  <c r="S8" i="1"/>
  <c r="M21" i="6"/>
  <c r="I21" i="6" s="1"/>
  <c r="S6" i="1"/>
  <c r="K27" i="6"/>
  <c r="M19" i="6"/>
  <c r="S25" i="6"/>
  <c r="H25" i="6"/>
  <c r="R25" i="6" s="1"/>
  <c r="S7" i="1"/>
  <c r="M20" i="6"/>
  <c r="I20" i="6" s="1"/>
  <c r="S24" i="6"/>
  <c r="H24" i="6"/>
  <c r="R24" i="6" s="1"/>
  <c r="S23" i="6"/>
  <c r="H23" i="6"/>
  <c r="R23" i="6" s="1"/>
  <c r="S26" i="6"/>
  <c r="H26" i="6"/>
  <c r="R26" i="6" s="1"/>
  <c r="S22" i="6"/>
  <c r="H22" i="6"/>
  <c r="R22" i="6" s="1"/>
  <c r="C34" i="68"/>
  <c r="C38" i="68" s="1"/>
  <c r="C23" i="12"/>
  <c r="C14" i="12"/>
  <c r="C36" i="11"/>
  <c r="C37" i="11"/>
  <c r="C15" i="12"/>
  <c r="C12" i="12"/>
  <c r="C38" i="11"/>
  <c r="J59" i="67"/>
  <c r="J60" i="67" s="1"/>
  <c r="Q48" i="67" s="1"/>
  <c r="C20" i="68"/>
  <c r="C24" i="68"/>
  <c r="C20" i="69"/>
  <c r="C24" i="69"/>
  <c r="C39" i="69"/>
  <c r="C43" i="69" s="1"/>
  <c r="C42" i="69"/>
  <c r="E2" i="76"/>
  <c r="B2" i="43"/>
  <c r="C43" i="40"/>
  <c r="C42" i="40"/>
  <c r="S7" i="39"/>
  <c r="AA7" i="39"/>
  <c r="R47" i="39" s="1"/>
  <c r="W7" i="36"/>
  <c r="AC7" i="36"/>
  <c r="V36" i="36" s="1"/>
  <c r="I36" i="36" s="1"/>
  <c r="Q48" i="15"/>
  <c r="U7" i="36"/>
  <c r="AB7" i="36"/>
  <c r="T36" i="36" s="1"/>
  <c r="G36" i="36" s="1"/>
  <c r="E47" i="40"/>
  <c r="F47" i="40" s="1"/>
  <c r="E46" i="40"/>
  <c r="F46" i="40" s="1"/>
  <c r="AB7" i="39"/>
  <c r="T47" i="39" s="1"/>
  <c r="G47" i="39" s="1"/>
  <c r="U7" i="39"/>
  <c r="S7" i="36"/>
  <c r="AA7" i="36"/>
  <c r="R36" i="36" s="1"/>
  <c r="J48" i="35"/>
  <c r="I51" i="39"/>
  <c r="J51" i="39" s="1"/>
  <c r="C14" i="67"/>
  <c r="C17" i="67"/>
  <c r="B6" i="76"/>
  <c r="C17" i="15"/>
  <c r="C15" i="67" l="1"/>
  <c r="C18" i="67"/>
  <c r="I5" i="6"/>
  <c r="I6" i="6"/>
  <c r="T7" i="1"/>
  <c r="AQ7" i="1"/>
  <c r="AR7" i="1"/>
  <c r="H21" i="6"/>
  <c r="R21" i="6" s="1"/>
  <c r="R8" i="1" s="1"/>
  <c r="S21" i="6"/>
  <c r="S20" i="6"/>
  <c r="H20" i="6"/>
  <c r="R20" i="6" s="1"/>
  <c r="R7" i="1" s="1"/>
  <c r="M27" i="6"/>
  <c r="I19" i="6"/>
  <c r="AR6" i="1"/>
  <c r="AQ6" i="1"/>
  <c r="T6" i="1"/>
  <c r="S16" i="1"/>
  <c r="AQ8" i="1"/>
  <c r="AR8" i="1"/>
  <c r="T8" i="1"/>
  <c r="C35" i="68"/>
  <c r="C33" i="68" s="1"/>
  <c r="C33" i="11"/>
  <c r="C39" i="11" s="1"/>
  <c r="C16" i="12"/>
  <c r="C21" i="12" s="1"/>
  <c r="C22" i="12" s="1"/>
  <c r="C41" i="69"/>
  <c r="C46" i="69"/>
  <c r="C45" i="69" s="1"/>
  <c r="C25" i="69"/>
  <c r="C22" i="69" s="1"/>
  <c r="C28" i="69"/>
  <c r="C27" i="69" s="1"/>
  <c r="C28" i="68"/>
  <c r="C27" i="68" s="1"/>
  <c r="C25" i="68"/>
  <c r="C22" i="68" s="1"/>
  <c r="B2" i="76"/>
  <c r="B3" i="76" s="1"/>
  <c r="B3" i="43"/>
  <c r="K48" i="35"/>
  <c r="G51" i="39"/>
  <c r="H51" i="39" s="1"/>
  <c r="G52" i="39"/>
  <c r="H52" i="39" s="1"/>
  <c r="I40" i="36"/>
  <c r="J40" i="36" s="1"/>
  <c r="E47" i="39"/>
  <c r="R48" i="39"/>
  <c r="E36" i="36"/>
  <c r="R37" i="36"/>
  <c r="G40" i="36"/>
  <c r="H40" i="36" s="1"/>
  <c r="G41" i="36"/>
  <c r="H41" i="36" s="1"/>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F35" i="15"/>
  <c r="C14" i="15"/>
  <c r="F35" i="67"/>
  <c r="M21" i="15"/>
  <c r="M21" i="67"/>
  <c r="C19" i="67" l="1"/>
  <c r="C18" i="15"/>
  <c r="C15" i="15"/>
  <c r="C34" i="67"/>
  <c r="F63" i="67"/>
  <c r="C62" i="67" s="1"/>
  <c r="J20" i="15"/>
  <c r="J20" i="67"/>
  <c r="C34" i="15"/>
  <c r="F63" i="15"/>
  <c r="C62" i="15" s="1"/>
  <c r="T16" i="1"/>
  <c r="C20" i="67"/>
  <c r="C23" i="67" s="1"/>
  <c r="C42" i="11"/>
  <c r="C46" i="11"/>
  <c r="C45" i="11" s="1"/>
  <c r="H19" i="6"/>
  <c r="S19" i="6"/>
  <c r="S27" i="6" s="1"/>
  <c r="I27" i="6"/>
  <c r="C39" i="68"/>
  <c r="C43" i="68" s="1"/>
  <c r="C42" i="68"/>
  <c r="C49" i="69"/>
  <c r="C51" i="69" s="1"/>
  <c r="C31" i="68"/>
  <c r="C30" i="12"/>
  <c r="C28" i="12" s="1"/>
  <c r="C27" i="12"/>
  <c r="C25" i="12" s="1"/>
  <c r="C31" i="69"/>
  <c r="C52" i="69" s="1"/>
  <c r="B2" i="69" s="1"/>
  <c r="B3" i="69" s="1"/>
  <c r="C43" i="11"/>
  <c r="C41" i="11" s="1"/>
  <c r="C49" i="11" s="1"/>
  <c r="C51" i="11" s="1"/>
  <c r="E40" i="36"/>
  <c r="F40" i="36" s="1"/>
  <c r="E41" i="36"/>
  <c r="F41" i="36" s="1"/>
  <c r="E51" i="39"/>
  <c r="F51" i="39" s="1"/>
  <c r="E52" i="39"/>
  <c r="F52" i="39" s="1"/>
  <c r="I52" i="39"/>
  <c r="J52" i="39" s="1"/>
  <c r="I41" i="36"/>
  <c r="J41" i="36" s="1"/>
  <c r="C36" i="36"/>
  <c r="C37" i="36"/>
  <c r="B2" i="36" s="1"/>
  <c r="B3" i="36" s="1"/>
  <c r="C47" i="39"/>
  <c r="C48" i="39"/>
  <c r="L48" i="35"/>
  <c r="C19" i="15" l="1"/>
  <c r="C26" i="67"/>
  <c r="C29" i="67" s="1"/>
  <c r="C20" i="15"/>
  <c r="C26" i="15" s="1"/>
  <c r="R19" i="6"/>
  <c r="H27" i="6"/>
  <c r="C46" i="68"/>
  <c r="C45" i="68" s="1"/>
  <c r="C41" i="68"/>
  <c r="C32" i="12"/>
  <c r="B2" i="12" s="1"/>
  <c r="C57" i="69"/>
  <c r="C56" i="69" s="1"/>
  <c r="C52" i="11"/>
  <c r="B2" i="11" s="1"/>
  <c r="B3" i="11" s="1"/>
  <c r="B60" i="39"/>
  <c r="F60" i="39" s="1"/>
  <c r="B58" i="39"/>
  <c r="F58" i="39" s="1"/>
  <c r="B64" i="39"/>
  <c r="F64" i="39" s="1"/>
  <c r="B65" i="39"/>
  <c r="F65" i="39" s="1"/>
  <c r="B57" i="39"/>
  <c r="F57" i="39" s="1"/>
  <c r="B63" i="39"/>
  <c r="F63" i="39" s="1"/>
  <c r="B62" i="39"/>
  <c r="F62" i="39" s="1"/>
  <c r="B61" i="39"/>
  <c r="F61" i="39" s="1"/>
  <c r="B56" i="39"/>
  <c r="F56" i="39" s="1"/>
  <c r="F66" i="39" s="1"/>
  <c r="B2" i="39" s="1"/>
  <c r="B3" i="39" s="1"/>
  <c r="B59" i="39"/>
  <c r="F59" i="39" s="1"/>
  <c r="M48" i="35"/>
  <c r="D19" i="9"/>
  <c r="D102" i="9" l="1"/>
  <c r="D21" i="9"/>
  <c r="B3" i="12"/>
  <c r="C23" i="15"/>
  <c r="C29" i="15" s="1"/>
  <c r="C33" i="15" s="1"/>
  <c r="C31" i="15" s="1"/>
  <c r="C13" i="67"/>
  <c r="Q70" i="67" s="1"/>
  <c r="C57" i="67"/>
  <c r="C64" i="67" s="1"/>
  <c r="J19" i="67"/>
  <c r="J17" i="67" s="1"/>
  <c r="C36" i="67"/>
  <c r="Q49" i="67"/>
  <c r="C33" i="67"/>
  <c r="C31" i="67" s="1"/>
  <c r="J14" i="67"/>
  <c r="J13" i="67" s="1"/>
  <c r="J23" i="67" s="1"/>
  <c r="Q49" i="15"/>
  <c r="C13" i="15"/>
  <c r="C49" i="68"/>
  <c r="C51" i="68" s="1"/>
  <c r="C52" i="68" s="1"/>
  <c r="B2" i="68" s="1"/>
  <c r="R27" i="6"/>
  <c r="R6" i="1"/>
  <c r="R16" i="1" s="1"/>
  <c r="C56" i="11"/>
  <c r="C57" i="11" s="1"/>
  <c r="N48" i="35"/>
  <c r="O48" i="35" s="1"/>
  <c r="H7" i="35"/>
  <c r="D20" i="9"/>
  <c r="C19" i="9"/>
  <c r="J19" i="15" l="1"/>
  <c r="J17" i="15" s="1"/>
  <c r="J14" i="15"/>
  <c r="J13" i="15" s="1"/>
  <c r="J23" i="15" s="1"/>
  <c r="C61" i="67"/>
  <c r="C59" i="67" s="1"/>
  <c r="C36" i="15"/>
  <c r="C57" i="15"/>
  <c r="C61" i="15" s="1"/>
  <c r="C59" i="15" s="1"/>
  <c r="D103" i="9"/>
  <c r="C56" i="67"/>
  <c r="C65" i="67" s="1"/>
  <c r="C58" i="67" s="1"/>
  <c r="C67" i="67" s="1"/>
  <c r="C68" i="67" s="1"/>
  <c r="G19" i="9"/>
  <c r="C102" i="9"/>
  <c r="D22" i="9"/>
  <c r="C21" i="9"/>
  <c r="B3" i="68"/>
  <c r="C37" i="67"/>
  <c r="C30" i="67" s="1"/>
  <c r="C39" i="67" s="1"/>
  <c r="Q69" i="67" s="1"/>
  <c r="Q68" i="67" s="1"/>
  <c r="C75" i="67"/>
  <c r="J22" i="67"/>
  <c r="J16" i="67" s="1"/>
  <c r="J25" i="67" s="1"/>
  <c r="C37" i="15"/>
  <c r="C30" i="15" s="1"/>
  <c r="C39" i="15" s="1"/>
  <c r="Q70" i="15"/>
  <c r="C75" i="15"/>
  <c r="C56" i="15"/>
  <c r="C65" i="15" s="1"/>
  <c r="J22" i="15"/>
  <c r="C64" i="15"/>
  <c r="C57" i="68"/>
  <c r="C56" i="68" s="1"/>
  <c r="AB7" i="35"/>
  <c r="T38" i="35" s="1"/>
  <c r="G38" i="35" s="1"/>
  <c r="U7" i="35"/>
  <c r="J7" i="35"/>
  <c r="F7" i="35"/>
  <c r="L51" i="15"/>
  <c r="C20" i="9"/>
  <c r="L51" i="67"/>
  <c r="G20" i="9" l="1"/>
  <c r="C103" i="9"/>
  <c r="C32" i="9"/>
  <c r="G21" i="9"/>
  <c r="C80" i="67"/>
  <c r="C79" i="67" s="1"/>
  <c r="C40" i="67"/>
  <c r="Q65" i="67" s="1"/>
  <c r="Q67" i="67"/>
  <c r="L57" i="67"/>
  <c r="L60" i="67" s="1"/>
  <c r="L46" i="67" s="1"/>
  <c r="D2" i="67" s="1"/>
  <c r="L57" i="15"/>
  <c r="L60" i="15" s="1"/>
  <c r="Q67" i="15"/>
  <c r="C58" i="15"/>
  <c r="C67" i="15" s="1"/>
  <c r="C68" i="15" s="1"/>
  <c r="J16" i="15"/>
  <c r="J25" i="15" s="1"/>
  <c r="C80" i="15"/>
  <c r="C79" i="15" s="1"/>
  <c r="C43" i="67"/>
  <c r="C83" i="67"/>
  <c r="C82" i="67" s="1"/>
  <c r="Q69" i="15"/>
  <c r="Q68" i="15" s="1"/>
  <c r="C40" i="15"/>
  <c r="C71" i="67"/>
  <c r="C45" i="67"/>
  <c r="C46" i="67" s="1"/>
  <c r="AA7" i="35"/>
  <c r="R38" i="35" s="1"/>
  <c r="S7" i="35"/>
  <c r="AC7" i="35"/>
  <c r="V38" i="35" s="1"/>
  <c r="I38" i="35" s="1"/>
  <c r="W7" i="35"/>
  <c r="G42" i="35"/>
  <c r="H42" i="35" s="1"/>
  <c r="Q66" i="67" l="1"/>
  <c r="Q56" i="67"/>
  <c r="C35" i="9"/>
  <c r="F118" i="9" s="1"/>
  <c r="H118" i="9"/>
  <c r="C34" i="9"/>
  <c r="D118" i="9" s="1"/>
  <c r="Q57" i="67"/>
  <c r="Q62" i="67" s="1"/>
  <c r="Q47" i="67"/>
  <c r="Q53" i="67" s="1"/>
  <c r="Q65" i="15"/>
  <c r="Q56" i="15"/>
  <c r="C43" i="15"/>
  <c r="Q47" i="15"/>
  <c r="Q53" i="15" s="1"/>
  <c r="C83" i="15"/>
  <c r="C82" i="15" s="1"/>
  <c r="B3" i="67"/>
  <c r="B2" i="67"/>
  <c r="Q75" i="67"/>
  <c r="C71" i="15"/>
  <c r="C46" i="15"/>
  <c r="L46" i="15"/>
  <c r="B2" i="15" s="1"/>
  <c r="B3" i="15" s="1"/>
  <c r="Q57" i="15"/>
  <c r="Q62" i="15" s="1"/>
  <c r="Q66" i="15"/>
  <c r="I42" i="35"/>
  <c r="J42" i="35" s="1"/>
  <c r="G43" i="35"/>
  <c r="H43" i="35" s="1"/>
  <c r="R39" i="35"/>
  <c r="E38" i="35"/>
  <c r="H101" i="9" l="1"/>
  <c r="H119" i="9"/>
  <c r="H5" i="52" s="1"/>
  <c r="C104" i="9"/>
  <c r="I118" i="9"/>
  <c r="H4" i="52"/>
  <c r="D14" i="74"/>
  <c r="D119" i="9"/>
  <c r="D5" i="52" s="1"/>
  <c r="B49" i="72" s="1"/>
  <c r="D4" i="52"/>
  <c r="B47" i="72" s="1"/>
  <c r="F4" i="52"/>
  <c r="B51" i="72" s="1"/>
  <c r="G118" i="9"/>
  <c r="G4" i="52" s="1"/>
  <c r="B52" i="72" s="1"/>
  <c r="F119" i="9"/>
  <c r="F5" i="52" s="1"/>
  <c r="B53" i="72" s="1"/>
  <c r="Q75" i="15"/>
  <c r="E43" i="35"/>
  <c r="F43" i="35" s="1"/>
  <c r="E42" i="35"/>
  <c r="F42" i="35" s="1"/>
  <c r="C39" i="35"/>
  <c r="B2" i="35" s="1"/>
  <c r="B3" i="35" s="1"/>
  <c r="C38" i="35"/>
  <c r="I43" i="35"/>
  <c r="J43" i="35" s="1"/>
  <c r="F14" i="74" l="1"/>
  <c r="E14" i="74"/>
  <c r="B5" i="74"/>
  <c r="I4" i="52"/>
  <c r="C105" i="9"/>
  <c r="E118" i="9"/>
  <c r="E4" i="52" s="1"/>
  <c r="B48" i="72" s="1"/>
  <c r="H102" i="9"/>
  <c r="D7" i="53" s="1"/>
  <c r="B21" i="72" s="1"/>
  <c r="D45" i="9"/>
  <c r="H107" i="9"/>
  <c r="M48" i="9"/>
  <c r="D5" i="53"/>
  <c r="D6" i="53" l="1"/>
  <c r="B22" i="72" s="1"/>
  <c r="B20" i="72"/>
  <c r="C85" i="9"/>
  <c r="C64" i="9"/>
  <c r="C63" i="9" s="1"/>
  <c r="C67" i="9" s="1"/>
  <c r="C68" i="9" s="1"/>
  <c r="D54" i="9" s="1"/>
  <c r="C93" i="9"/>
  <c r="C86" i="9" s="1"/>
  <c r="C72" i="9"/>
  <c r="C78" i="9"/>
  <c r="C73" i="9" s="1"/>
  <c r="D53" i="9"/>
  <c r="D52" i="9"/>
  <c r="D55" i="9"/>
  <c r="M53" i="9" s="1"/>
  <c r="M49" i="9"/>
  <c r="H108" i="9"/>
  <c r="D15" i="53" s="1"/>
  <c r="B31" i="72" s="1"/>
  <c r="D13" i="53"/>
  <c r="D122" i="9"/>
  <c r="D5" i="74"/>
  <c r="C5" i="74"/>
  <c r="G14" i="74" l="1"/>
  <c r="B6" i="74" s="1"/>
  <c r="D8" i="52"/>
  <c r="D123" i="9"/>
  <c r="D9" i="52" s="1"/>
  <c r="C79" i="9"/>
  <c r="D14" i="53"/>
  <c r="B32" i="72" s="1"/>
  <c r="B30" i="72"/>
  <c r="L65" i="9"/>
  <c r="M65" i="9" s="1"/>
  <c r="L64" i="9"/>
  <c r="M64" i="9" s="1"/>
  <c r="L67" i="9"/>
  <c r="M67" i="9" s="1"/>
  <c r="L68" i="9"/>
  <c r="M68" i="9" s="1"/>
  <c r="L66" i="9"/>
  <c r="M66" i="9" s="1"/>
  <c r="L63" i="9"/>
  <c r="M63" i="9" s="1"/>
  <c r="C95" i="9"/>
  <c r="M69" i="9" l="1"/>
  <c r="N69" i="9" s="1"/>
  <c r="C96" i="9"/>
  <c r="E96" i="9" s="1"/>
  <c r="E97" i="9" s="1"/>
  <c r="C80" i="9"/>
  <c r="E80" i="9" s="1"/>
  <c r="E81" i="9" s="1"/>
  <c r="D6" i="74"/>
  <c r="C6" i="74"/>
  <c r="C81" i="9" l="1"/>
  <c r="C97" i="9"/>
  <c r="D58" i="9" s="1"/>
  <c r="D56" i="9" s="1"/>
  <c r="M54" i="9" s="1"/>
  <c r="N57" i="9" s="1"/>
  <c r="P57"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<sst xmlns="http://schemas.openxmlformats.org/spreadsheetml/2006/main" count="7575" uniqueCount="3227">
  <si>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</si>
  <si>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</si>
  <si>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</si>
  <si>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</si>
  <si>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</si>
  <si>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</si>
  <si>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</si>
  <si>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</si>
  <si>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</si>
  <si>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</si>
  <si>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</si>
  <si>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</si>
  <si>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</si>
  <si>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</si>
  <si>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</si>
  <si>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</si>
  <si>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</si>
  <si>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</si>
  <si>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</si>
  <si>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</si>
  <si>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</si>
  <si>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</si>
  <si>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</si>
  <si>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</si>
  <si>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</si>
  <si>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</si>
  <si>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</si>
  <si>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</si>
  <si>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</si>
  <si>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</si>
  <si>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</si>
  <si>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</si>
  <si>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</si>
  <si>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</si>
  <si>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</si>
  <si>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</si>
  <si>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</si>
  <si>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</si>
  <si>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</si>
  <si>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</si>
  <si>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</si>
  <si>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</si>
  <si>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</si>
  <si>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</si>
  <si>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</si>
  <si>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</si>
  <si>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</si>
  <si>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</si>
  <si>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</si>
  <si>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</si>
  <si>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</si>
  <si>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</si>
  <si>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</si>
  <si>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</si>
  <si>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</si>
  <si>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</si>
  <si>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</si>
  <si>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</si>
  <si>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</si>
  <si>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</si>
  <si>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</si>
  <si>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</si>
  <si>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</si>
  <si>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</si>
  <si>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</si>
  <si>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</si>
  <si>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</si>
  <si>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</si>
  <si>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</si>
  <si>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</si>
  <si>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</si>
  <si>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</si>
  <si>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</si>
  <si>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</si>
  <si>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</si>
  <si>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</si>
  <si>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</si>
  <si>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</si>
  <si>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</si>
  <si>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</si>
  <si>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</si>
  <si>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</si>
  <si>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</si>
  <si>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</si>
  <si>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</si>
  <si>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</si>
  <si>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</si>
  <si>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</si>
  <si>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</si>
  <si>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</si>
  <si>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</si>
  <si>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</si>
  <si>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</si>
  <si>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</si>
  <si>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</si>
  <si>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</si>
  <si>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</si>
  <si>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</si>
  <si>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</si>
  <si>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</si>
  <si>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</si>
  <si>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</si>
  <si>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</si>
  <si>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</si>
  <si>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</si>
  <si>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</si>
  <si>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</si>
  <si>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</si>
  <si>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</si>
  <si>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</si>
  <si>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</si>
  <si>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</si>
  <si>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</si>
  <si>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</si>
  <si>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</si>
  <si>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</si>
  <si>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</si>
  <si>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</si>
  <si>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</si>
  <si>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</si>
  <si>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</si>
  <si>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</si>
  <si>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</si>
  <si>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</si>
  <si>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</si>
  <si>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</si>
  <si>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</si>
  <si>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</si>
  <si>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</si>
  <si>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</si>
  <si>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</si>
  <si>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</si>
  <si>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</si>
  <si>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</si>
  <si>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</si>
  <si>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</si>
  <si>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</si>
  <si>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</si>
  <si>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</si>
  <si>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</si>
  <si>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</si>
  <si>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</si>
  <si>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</si>
  <si>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</si>
  <si>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</si>
  <si>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</si>
  <si>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</si>
  <si>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</si>
  <si>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</si>
  <si>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</si>
  <si>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</si>
  <si>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</si>
  <si>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</si>
  <si>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</si>
  <si>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</si>
  <si>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</si>
  <si>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</si>
  <si>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</si>
  <si>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</si>
  <si>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</si>
  <si>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</si>
  <si>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</si>
  <si>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</si>
  <si>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</si>
  <si>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</si>
  <si>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</si>
  <si>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</si>
  <si>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</si>
  <si>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</si>
  <si>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</si>
  <si>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</si>
  <si>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</si>
  <si>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</si>
  <si>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</si>
  <si>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</si>
  <si>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</si>
  <si>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</si>
  <si>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</si>
  <si>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</si>
  <si>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</si>
  <si>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</si>
  <si>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</si>
  <si>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</si>
  <si>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</si>
  <si>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</si>
  <si>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</si>
  <si>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</si>
  <si>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</si>
  <si>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</si>
  <si>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</si>
  <si>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</si>
  <si>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</si>
  <si>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</si>
  <si>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</si>
  <si>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</si>
  <si>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</si>
  <si>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</si>
  <si>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</si>
  <si>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</si>
  <si>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</si>
  <si>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</si>
  <si>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</si>
  <si>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</si>
  <si>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</si>
  <si>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</si>
  <si>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</si>
  <si>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</si>
  <si>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</si>
  <si>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</si>
  <si>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</si>
  <si>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</si>
  <si>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</si>
  <si>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</si>
  <si>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</si>
  <si>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</si>
  <si>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</si>
  <si>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</si>
  <si>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</si>
  <si>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</si>
  <si>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</si>
  <si>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</si>
  <si>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</si>
  <si>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</si>
  <si>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</si>
  <si>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</si>
  <si>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</si>
  <si>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</si>
  <si>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</si>
  <si>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</si>
  <si>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</si>
  <si>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</si>
  <si>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</si>
  <si>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</si>
  <si>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</si>
  <si>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</si>
  <si>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</si>
  <si>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</si>
  <si>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</si>
  <si>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</si>
  <si>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</si>
  <si>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</si>
  <si>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</si>
  <si>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</si>
  <si>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</si>
  <si>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</si>
  <si>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</si>
  <si>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</si>
  <si>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</si>
  <si>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</si>
  <si>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</si>
  <si>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</si>
  <si>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</si>
  <si>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</si>
  <si>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</si>
  <si>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</si>
  <si>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</si>
  <si>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</si>
  <si>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</si>
  <si>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</si>
  <si>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</si>
  <si>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</si>
  <si>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</si>
  <si>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</si>
  <si>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</si>
  <si>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</si>
  <si>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</si>
  <si>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</si>
  <si>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</si>
  <si>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</si>
  <si>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</si>
  <si>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</si>
  <si>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</si>
  <si>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</si>
  <si>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</si>
  <si>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</si>
  <si>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</si>
  <si>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</si>
  <si>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</si>
  <si>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</si>
  <si>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</si>
  <si>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</si>
  <si>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</si>
  <si>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</si>
  <si>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</si>
  <si>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</si>
  <si>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</si>
  <si>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</si>
  <si>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</si>
  <si>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</si>
  <si>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</si>
  <si>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</si>
  <si>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</si>
  <si>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</si>
  <si>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</si>
  <si>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</si>
  <si>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</si>
  <si>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</si>
  <si>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</si>
  <si>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</si>
  <si>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</si>
  <si>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</si>
  <si>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</si>
  <si>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</si>
  <si>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</si>
  <si>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</si>
  <si>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</si>
  <si>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</si>
  <si>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</si>
  <si>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</si>
  <si>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</si>
  <si>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</si>
  <si>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</si>
  <si>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</si>
  <si>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</si>
  <si>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</si>
  <si>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</si>
  <si>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</si>
  <si>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</si>
  <si>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</si>
  <si>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</si>
  <si>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</si>
  <si>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</si>
  <si>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</si>
  <si>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</si>
  <si>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</si>
  <si>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</si>
  <si>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</si>
  <si>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</si>
  <si>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</si>
  <si>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</si>
  <si>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</si>
  <si>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</si>
  <si>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</si>
  <si>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</si>
  <si>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</si>
  <si>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</si>
  <si>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</si>
  <si>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</si>
  <si>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</si>
  <si>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</si>
  <si>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</si>
  <si>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</si>
  <si>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</si>
  <si>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</si>
  <si>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</si>
  <si>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</si>
  <si>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</si>
  <si>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</si>
  <si>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</si>
  <si>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</si>
  <si>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</si>
  <si>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</si>
  <si>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</si>
  <si>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</si>
  <si>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</si>
  <si>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</si>
  <si>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</si>
  <si>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</si>
  <si>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</si>
  <si>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</si>
  <si>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</si>
  <si>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</si>
  <si>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</si>
  <si>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</si>
  <si>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</si>
  <si>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</si>
  <si>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</si>
  <si>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</si>
  <si>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</si>
  <si>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</si>
  <si>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</si>
  <si>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</si>
  <si>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</si>
  <si>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</si>
  <si>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</si>
  <si>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</si>
  <si>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</si>
  <si>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</si>
  <si>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</si>
  <si>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</si>
  <si>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</si>
  <si>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</si>
  <si>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</si>
  <si>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</si>
  <si>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</si>
  <si>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</si>
  <si>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</si>
  <si>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</si>
  <si>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</si>
  <si>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</si>
  <si>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</si>
  <si>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</si>
  <si>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</si>
  <si>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</si>
  <si>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</si>
  <si>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</si>
  <si>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</si>
  <si>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</si>
  <si>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</si>
  <si>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</si>
  <si>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</si>
  <si>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</si>
  <si>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</si>
  <si>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</si>
  <si>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</si>
  <si>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</si>
  <si>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</si>
  <si>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</si>
  <si>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</si>
  <si>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</si>
  <si>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</si>
  <si>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</si>
  <si>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</si>
  <si>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</si>
  <si>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</si>
  <si>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</si>
  <si>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</si>
  <si>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</si>
  <si>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</si>
  <si>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</si>
  <si>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</si>
  <si>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</si>
  <si>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</si>
  <si>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</si>
  <si>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</si>
  <si>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</si>
  <si>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</si>
  <si>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</si>
  <si>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</si>
  <si>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</si>
  <si>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</si>
  <si>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</si>
  <si>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</si>
  <si>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</si>
  <si>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</si>
  <si>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</si>
  <si>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</si>
  <si>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</si>
  <si>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</si>
  <si>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</si>
  <si>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</si>
  <si>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</si>
  <si>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</si>
  <si>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</si>
  <si>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</si>
  <si>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</si>
  <si>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</si>
  <si>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</si>
  <si>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</si>
  <si>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</si>
  <si>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</si>
  <si>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</si>
  <si>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</si>
  <si>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</si>
  <si>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</si>
  <si>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</si>
  <si>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</si>
  <si>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</si>
  <si>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</si>
  <si>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</si>
  <si>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</si>
  <si>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</si>
  <si>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</si>
  <si>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</si>
  <si>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</si>
  <si>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</si>
  <si>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</si>
  <si>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</si>
  <si>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</si>
  <si>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</si>
  <si>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</si>
  <si>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</si>
  <si>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</si>
  <si>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</si>
  <si>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</si>
  <si>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</si>
  <si>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</si>
  <si>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</si>
  <si>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</si>
  <si>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</si>
  <si>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</si>
  <si>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</si>
  <si>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</si>
  <si>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</si>
  <si>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</si>
  <si>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</si>
  <si>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</si>
  <si>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</si>
  <si>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</si>
  <si>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</si>
  <si>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</si>
  <si>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</si>
  <si>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</si>
  <si>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</si>
  <si>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</si>
  <si>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</si>
  <si>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</si>
  <si>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</si>
  <si>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</si>
  <si>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</si>
  <si>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</si>
  <si>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</si>
  <si>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</si>
  <si>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</si>
  <si>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</si>
  <si>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</si>
  <si>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</si>
  <si>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</si>
  <si>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</si>
  <si>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</si>
  <si>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</si>
  <si>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</si>
  <si>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</si>
  <si>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</si>
  <si>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</si>
  <si>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</si>
  <si>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</si>
  <si>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</si>
  <si>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</si>
  <si>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</si>
  <si>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</si>
  <si>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</si>
  <si>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</si>
  <si>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</si>
  <si>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</si>
  <si>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</si>
  <si>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</si>
  <si>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</si>
  <si>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</si>
  <si>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</si>
  <si>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</si>
  <si>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</si>
  <si>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</si>
  <si>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</si>
  <si>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</si>
  <si>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</si>
  <si>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</si>
  <si>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</si>
  <si>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</si>
  <si>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</si>
  <si>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</si>
  <si>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</si>
  <si>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</si>
  <si>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</si>
  <si>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</si>
  <si>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</si>
  <si>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</si>
  <si>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</si>
  <si>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</si>
  <si>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</si>
  <si>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</si>
  <si>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</si>
  <si>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</si>
  <si>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</si>
  <si>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</si>
  <si>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</si>
  <si>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</si>
  <si>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</si>
  <si>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</si>
  <si>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</si>
  <si>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</si>
  <si>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</si>
  <si>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</si>
  <si>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</si>
  <si>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</si>
  <si>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</si>
  <si>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</si>
  <si>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</si>
  <si>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</si>
  <si>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</si>
  <si>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</si>
  <si>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</si>
  <si>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</si>
  <si>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</si>
  <si>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</si>
  <si>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</si>
  <si>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</si>
  <si>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</si>
  <si>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</si>
  <si>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</si>
  <si>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</si>
  <si>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</si>
  <si>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</si>
  <si>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</si>
  <si>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</si>
  <si>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</si>
  <si>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</si>
  <si>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</si>
  <si>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</si>
  <si>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</si>
  <si>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</si>
  <si>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</si>
  <si>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</si>
  <si>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</si>
  <si>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</si>
  <si>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</si>
  <si>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</si>
  <si>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</si>
  <si>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</si>
  <si>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</si>
  <si>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</si>
  <si>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</si>
  <si>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</si>
  <si>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</si>
  <si>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</si>
  <si>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</si>
  <si>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</si>
  <si>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</si>
  <si>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</si>
  <si>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</si>
  <si>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</si>
  <si>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</si>
  <si>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</si>
  <si>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</si>
  <si>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</si>
  <si>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</si>
  <si>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</si>
  <si>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</si>
  <si>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</si>
  <si>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</si>
  <si>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</si>
  <si>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</si>
  <si>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</si>
  <si>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</si>
  <si>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</si>
  <si>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</si>
  <si>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</si>
  <si>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</si>
  <si>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</si>
  <si>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</si>
  <si>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</si>
  <si>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</si>
  <si>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</si>
  <si>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</si>
  <si>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</si>
  <si>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</si>
  <si>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</si>
  <si>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</si>
  <si>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</si>
  <si>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</si>
  <si>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</si>
  <si>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</si>
  <si>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</si>
  <si>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</si>
  <si>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</si>
  <si>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</si>
  <si>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</si>
  <si>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</si>
  <si>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</si>
  <si>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</si>
  <si>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</si>
  <si>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</si>
  <si>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</si>
  <si>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</si>
  <si>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</si>
  <si>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</si>
  <si>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</si>
  <si>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</si>
  <si>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</si>
  <si>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</si>
  <si>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</si>
  <si>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</si>
  <si>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</si>
  <si>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</si>
  <si>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</si>
  <si>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</si>
  <si>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</si>
  <si>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</si>
  <si>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</si>
  <si>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</si>
  <si>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</si>
  <si>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</si>
  <si>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</si>
  <si>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</si>
  <si>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</si>
  <si>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</si>
  <si>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</si>
  <si>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</si>
  <si>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</si>
  <si>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</si>
  <si>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</si>
  <si>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</si>
  <si>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</si>
  <si>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</si>
  <si>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</si>
  <si>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</si>
  <si>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</si>
  <si>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</si>
  <si>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</si>
  <si>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</si>
  <si>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</si>
  <si>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</si>
  <si>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</si>
  <si>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</si>
  <si>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</si>
  <si>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</si>
  <si>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</si>
  <si>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</si>
  <si>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</si>
  <si>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</si>
  <si>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</si>
  <si>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</si>
  <si>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</si>
  <si>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</si>
  <si>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</si>
  <si>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</si>
  <si>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</si>
  <si>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</si>
  <si>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</si>
  <si>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</si>
  <si>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</si>
  <si>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</si>
  <si>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</si>
  <si>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</si>
  <si>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</si>
  <si>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</si>
  <si>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</si>
  <si>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</si>
  <si>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</si>
  <si>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</si>
  <si>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</si>
  <si>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</si>
  <si>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</si>
  <si>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</si>
  <si>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</si>
  <si>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</si>
  <si>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</si>
  <si>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</si>
  <si>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</si>
  <si>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</si>
  <si>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</si>
  <si>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</si>
  <si>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</si>
  <si>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</si>
  <si>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</si>
  <si>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</si>
  <si>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</si>
  <si>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</si>
  <si>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</si>
  <si>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</si>
  <si>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</si>
  <si>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</si>
  <si>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</si>
  <si>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</si>
  <si>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</si>
  <si>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</si>
  <si>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</si>
  <si>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</si>
  <si>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</si>
  <si>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</si>
  <si>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</si>
  <si>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</si>
  <si>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</si>
  <si>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</si>
  <si>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</si>
  <si>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</si>
  <si>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</si>
  <si>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</si>
  <si>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</si>
  <si>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</si>
  <si>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</si>
  <si>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</si>
  <si>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</si>
  <si>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</si>
  <si>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</si>
  <si>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</si>
  <si>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</si>
  <si>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</si>
  <si>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</si>
  <si>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</si>
  <si>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</si>
  <si>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</si>
  <si>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</si>
  <si>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</si>
  <si>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</si>
  <si>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</si>
  <si>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</si>
  <si>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</si>
  <si>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</si>
  <si>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</si>
  <si>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</si>
  <si>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</si>
  <si>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</si>
  <si>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</si>
  <si>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</si>
  <si>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</si>
  <si>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</si>
  <si>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</si>
  <si>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</si>
  <si>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</si>
  <si>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</si>
  <si>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</si>
  <si>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</si>
  <si>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</si>
  <si>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</si>
  <si>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</si>
  <si>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</si>
  <si>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</si>
  <si>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</si>
  <si>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</si>
  <si>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</si>
  <si>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</si>
  <si>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</si>
  <si>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</si>
  <si>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</si>
  <si>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</si>
  <si>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</si>
  <si>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</si>
  <si>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</si>
  <si>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</si>
  <si>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</si>
  <si>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</si>
  <si>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</si>
  <si>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</si>
  <si>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</si>
  <si>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</si>
  <si>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</si>
  <si>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</si>
  <si>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</si>
  <si>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</si>
  <si>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</si>
  <si>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</si>
  <si>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</si>
  <si>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</si>
  <si>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</si>
  <si>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</si>
  <si>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</si>
  <si>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</si>
  <si>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</si>
  <si>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</si>
  <si>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</si>
  <si>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</si>
  <si>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</si>
  <si>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</si>
  <si>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</si>
  <si>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</si>
  <si>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</si>
  <si>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</si>
  <si>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</si>
  <si>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</si>
  <si>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</si>
  <si>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</si>
  <si>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</si>
  <si>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</si>
  <si>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</si>
  <si>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</si>
  <si>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</si>
  <si>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</si>
  <si>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</si>
  <si>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</si>
  <si>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</si>
  <si>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</si>
  <si>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</si>
  <si>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</si>
  <si>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</si>
  <si>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</si>
  <si>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</si>
  <si>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</si>
  <si>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</si>
  <si>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</si>
  <si>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</si>
  <si>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</si>
  <si>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</si>
  <si>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</si>
  <si>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</si>
  <si>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</si>
  <si>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</si>
  <si>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</si>
  <si>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</si>
  <si>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</si>
  <si>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</si>
  <si>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</si>
  <si>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</si>
  <si>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</si>
  <si>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</si>
  <si>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</si>
  <si>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</si>
  <si>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</si>
  <si>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</si>
  <si>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</si>
  <si>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</si>
  <si>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</si>
  <si>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</si>
  <si>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</si>
  <si>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</si>
  <si>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</si>
  <si>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</si>
  <si>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</si>
  <si>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</si>
  <si>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</si>
  <si>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</si>
  <si>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</si>
  <si>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</si>
  <si>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</si>
  <si>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</si>
  <si>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</si>
  <si>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</si>
  <si>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</si>
  <si>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</si>
  <si>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</si>
  <si>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</si>
  <si>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</si>
  <si>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</si>
  <si>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</si>
  <si>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</si>
  <si>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</si>
  <si>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</si>
  <si>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</si>
  <si>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</si>
  <si>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</si>
  <si>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</si>
  <si>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</si>
  <si>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</si>
  <si>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</si>
  <si>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</si>
  <si>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</si>
  <si>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</si>
  <si>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</si>
  <si>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</si>
  <si>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</si>
  <si>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</si>
  <si>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</si>
  <si>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</si>
  <si>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</si>
  <si>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</si>
  <si>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</si>
  <si>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</si>
  <si>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</si>
  <si>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</si>
  <si>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</si>
  <si>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</si>
  <si>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</si>
  <si>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</si>
  <si>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</si>
  <si>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</si>
  <si>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</si>
  <si>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</si>
  <si>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</si>
  <si>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</si>
  <si>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</si>
  <si>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</si>
  <si>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</si>
  <si>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</si>
  <si>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</si>
  <si>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</si>
  <si>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</si>
  <si>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</si>
  <si>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</si>
  <si>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</si>
  <si>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</si>
  <si>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</si>
  <si>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</si>
  <si>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</si>
  <si>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</si>
  <si>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</si>
  <si>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</si>
  <si>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</si>
  <si>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</si>
  <si>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</si>
  <si>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</si>
  <si>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</si>
  <si>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</si>
  <si>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</si>
  <si>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</si>
  <si>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</si>
  <si>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</si>
  <si>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</si>
  <si>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</si>
  <si>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</si>
  <si>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</si>
  <si>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</si>
  <si>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</si>
  <si>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</si>
  <si>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</si>
  <si>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</si>
  <si>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</si>
  <si>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</si>
  <si>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</si>
  <si>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</si>
  <si>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</si>
  <si>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</si>
  <si>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</si>
  <si>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</si>
  <si>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</si>
  <si>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</si>
  <si>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</si>
  <si>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</si>
  <si>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</si>
  <si>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</si>
  <si>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</si>
  <si>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</si>
  <si>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</si>
  <si>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</si>
  <si>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</si>
  <si>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</si>
  <si>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</si>
  <si>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</si>
  <si>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</si>
  <si>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</si>
  <si>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</si>
  <si>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</si>
  <si>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</si>
  <si>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</si>
  <si>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</si>
  <si>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</si>
  <si>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</si>
  <si>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</si>
  <si>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</si>
  <si>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</si>
  <si>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</si>
  <si>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</si>
  <si>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</si>
  <si>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</si>
  <si>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</si>
  <si>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</si>
  <si>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</si>
  <si>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</si>
  <si>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</si>
  <si>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</si>
  <si>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</si>
  <si>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</si>
  <si>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</si>
  <si>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</si>
  <si>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</si>
  <si>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</si>
  <si>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</si>
  <si>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</si>
  <si>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</si>
  <si>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</si>
  <si>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</si>
  <si>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</si>
  <si>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</si>
  <si>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</si>
  <si>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</si>
  <si>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</si>
  <si>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</si>
  <si>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</si>
  <si>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</si>
  <si>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</si>
  <si>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</si>
  <si>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</si>
  <si>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</si>
  <si>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</si>
  <si>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</si>
  <si>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</si>
  <si>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</si>
  <si>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</si>
  <si>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</si>
  <si>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</si>
  <si>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</si>
  <si>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</si>
  <si>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</si>
  <si>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</si>
  <si>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</si>
  <si>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</si>
  <si>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</si>
  <si>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</si>
  <si>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</si>
  <si>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</si>
  <si>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</si>
  <si>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</si>
  <si>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</si>
  <si>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</si>
  <si>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</si>
  <si>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</si>
  <si>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</si>
  <si>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</si>
  <si>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</si>
  <si>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</si>
  <si>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</si>
  <si>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</si>
  <si>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</si>
  <si>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</si>
  <si>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</si>
  <si>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</si>
  <si>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</si>
  <si>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</si>
  <si>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</si>
  <si>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</si>
  <si>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</si>
  <si>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</si>
  <si>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</si>
  <si>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</si>
  <si>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</si>
  <si>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</si>
  <si>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</si>
  <si>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</si>
  <si>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</si>
  <si>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</si>
  <si>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</si>
  <si>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</si>
  <si>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</si>
  <si>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</si>
  <si>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</si>
  <si>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</si>
  <si>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</si>
  <si>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</si>
  <si>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</si>
  <si>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</si>
  <si>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</si>
  <si>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</si>
  <si>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</si>
  <si>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</si>
  <si>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</si>
  <si>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</si>
  <si>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</si>
  <si>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</si>
  <si>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</si>
  <si>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</si>
  <si>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</si>
  <si>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</si>
  <si>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</si>
  <si>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</si>
  <si>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</si>
  <si>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</si>
  <si>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</si>
  <si>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</si>
  <si>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</si>
  <si>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</si>
  <si>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</si>
  <si>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</si>
  <si>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</si>
  <si>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</si>
  <si>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</si>
  <si>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</si>
  <si>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</si>
  <si>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</si>
  <si>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</si>
  <si>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</si>
  <si>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</si>
  <si>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</si>
  <si>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</si>
  <si>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</si>
  <si>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</si>
  <si>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</si>
  <si>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</si>
  <si>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</si>
  <si>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</si>
  <si>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</si>
  <si>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</si>
  <si>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</si>
  <si>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</si>
  <si>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</si>
  <si>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</si>
  <si>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</si>
  <si>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</si>
  <si>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</si>
  <si>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</si>
  <si>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</si>
  <si>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</si>
  <si>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</si>
  <si>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</si>
  <si>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</si>
  <si>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</si>
  <si>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</si>
  <si>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</si>
  <si>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</si>
  <si>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</si>
  <si>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</si>
  <si>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</si>
  <si>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</si>
  <si>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</si>
  <si>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</si>
  <si>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</si>
  <si>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</si>
  <si>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</si>
  <si>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</si>
  <si>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</si>
  <si>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</si>
  <si>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</si>
  <si>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</si>
  <si>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</si>
  <si>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</si>
  <si>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</si>
  <si>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</si>
  <si>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</si>
  <si>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</si>
  <si>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</si>
  <si>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</si>
  <si>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</si>
  <si>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</si>
  <si>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</si>
  <si>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</si>
  <si>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</si>
  <si>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</si>
  <si>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</si>
  <si>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</si>
  <si>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</si>
  <si>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</si>
  <si>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</si>
  <si>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</si>
  <si>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</si>
  <si>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</si>
  <si>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</si>
  <si>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</si>
  <si>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</si>
  <si>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</si>
  <si>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</si>
  <si>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</si>
  <si>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</si>
  <si>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</si>
  <si>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</si>
  <si>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</si>
  <si>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</si>
  <si>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</si>
  <si>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</si>
  <si>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</si>
  <si>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</si>
  <si>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</si>
  <si>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</si>
  <si>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</si>
  <si>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</si>
  <si>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</si>
  <si>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</si>
  <si>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</si>
  <si>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</si>
  <si>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</si>
  <si>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</si>
  <si>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</si>
  <si>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</si>
  <si>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</si>
  <si>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</si>
  <si>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</si>
  <si>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</si>
  <si>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</si>
  <si>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</si>
  <si>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</si>
  <si>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</si>
  <si>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</si>
  <si>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</si>
  <si>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</si>
  <si>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</si>
  <si>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</si>
  <si>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</si>
  <si>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</si>
  <si>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</si>
  <si>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</si>
  <si>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</si>
  <si>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</si>
  <si>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</si>
  <si>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</si>
  <si>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</si>
  <si>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</si>
  <si>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</si>
  <si>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</si>
  <si>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</si>
  <si>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</si>
  <si>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</si>
  <si>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</si>
  <si>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</si>
  <si>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</si>
  <si>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</si>
  <si>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</si>
  <si>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</si>
  <si>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</si>
  <si>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</si>
  <si>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</si>
  <si>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</si>
  <si>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</si>
  <si>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</si>
  <si>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</si>
  <si>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</si>
  <si>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</si>
  <si>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</si>
  <si>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</si>
  <si>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</si>
  <si>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</si>
  <si>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</si>
  <si>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</si>
  <si>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</si>
  <si>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</si>
  <si>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</si>
  <si>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</si>
  <si>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</si>
  <si>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</si>
  <si>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</si>
  <si>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</si>
  <si>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</si>
  <si>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</si>
  <si>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</si>
  <si>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</si>
  <si>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</si>
  <si>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</si>
  <si>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</si>
  <si>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</si>
  <si>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</si>
  <si>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</si>
  <si>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</si>
  <si>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</si>
  <si>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</si>
  <si>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</si>
  <si>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</si>
  <si>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</si>
  <si>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</si>
  <si>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</si>
  <si>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</si>
  <si>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</si>
  <si>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</si>
  <si>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</si>
  <si>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</si>
  <si>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</si>
  <si>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</si>
  <si>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</si>
  <si>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</si>
  <si>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</si>
  <si>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</si>
  <si>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</si>
  <si>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</si>
  <si>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</si>
  <si>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</si>
  <si>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</si>
  <si>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</si>
  <si>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</si>
  <si>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</si>
  <si>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</si>
  <si>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</si>
  <si>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</si>
  <si>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</si>
  <si>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</si>
  <si>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</si>
  <si>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</si>
  <si>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</si>
  <si>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</si>
  <si>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</si>
  <si>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</si>
  <si>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</si>
  <si>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</si>
  <si>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</si>
  <si>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</si>
  <si>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</si>
  <si>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</si>
  <si>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</si>
  <si>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</si>
  <si>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</si>
  <si>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</si>
  <si>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</si>
  <si>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</si>
  <si>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</si>
  <si>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</si>
  <si>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</si>
  <si>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</si>
  <si>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</si>
  <si>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</si>
  <si>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</si>
  <si>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</si>
  <si>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</si>
  <si>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</si>
  <si>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</si>
  <si>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</si>
  <si>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</si>
  <si>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</si>
  <si>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</si>
  <si>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</si>
  <si>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</si>
  <si>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</si>
  <si>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</si>
  <si>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</si>
  <si>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</si>
  <si>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</si>
  <si>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</si>
  <si>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</si>
  <si>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</si>
  <si>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</si>
  <si>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</si>
  <si>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</si>
  <si>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</si>
  <si>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</si>
  <si>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</si>
  <si>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</si>
  <si>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</si>
  <si>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</si>
  <si>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</si>
  <si>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</si>
  <si>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</si>
  <si>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</si>
  <si>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</si>
  <si>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</si>
  <si>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</si>
  <si>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</si>
  <si>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</si>
  <si>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</si>
  <si>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</si>
  <si>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</si>
  <si>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</si>
  <si>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</si>
  <si>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</si>
  <si>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</si>
  <si>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</si>
  <si>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</si>
  <si>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</si>
  <si>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</si>
  <si>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</si>
  <si>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</si>
  <si>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</si>
  <si>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</si>
  <si>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</si>
  <si>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</si>
  <si>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</si>
  <si>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</si>
  <si>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</si>
  <si>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</si>
  <si>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</si>
  <si>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</si>
  <si>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</si>
  <si>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</si>
  <si>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</si>
  <si>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</si>
  <si>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</si>
  <si>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</si>
  <si>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</si>
  <si>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</si>
  <si>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</si>
  <si>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</si>
  <si>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</si>
  <si>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</si>
  <si>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</si>
  <si>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</si>
  <si>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</si>
  <si>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</si>
  <si>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</si>
  <si>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</si>
  <si>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</si>
  <si>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</si>
  <si>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</si>
  <si>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</si>
  <si>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</si>
  <si>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</si>
  <si>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</si>
  <si>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</si>
  <si>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</si>
  <si>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</si>
  <si>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</si>
  <si>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</si>
  <si>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</si>
  <si>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</si>
  <si>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</si>
  <si>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</si>
  <si>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</si>
  <si>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</si>
  <si>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</si>
  <si>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</si>
  <si>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</si>
  <si>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</si>
  <si>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</si>
  <si>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</si>
  <si>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</si>
  <si>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</si>
  <si>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</si>
  <si>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</si>
  <si>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</si>
  <si>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</si>
  <si>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</si>
  <si>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</si>
  <si>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</si>
  <si>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</si>
  <si>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</si>
  <si>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</si>
  <si>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</si>
  <si>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</si>
  <si>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</si>
  <si>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</si>
  <si>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</si>
  <si>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</si>
  <si>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</si>
  <si>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</si>
  <si>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</si>
  <si>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</si>
  <si>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</si>
  <si>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</si>
  <si>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</si>
  <si>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</si>
  <si>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</si>
  <si>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</si>
  <si>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</si>
  <si>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</si>
  <si>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</si>
  <si>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</si>
  <si>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</si>
  <si>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</si>
  <si>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</si>
  <si>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</si>
  <si>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</si>
  <si>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</si>
  <si>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</si>
  <si>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</si>
  <si>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</si>
  <si>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</si>
  <si>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</si>
  <si>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</si>
  <si>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</si>
  <si>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</si>
  <si>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</si>
  <si>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</si>
  <si>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</si>
  <si>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</si>
  <si>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</si>
  <si>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</si>
  <si>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</si>
  <si>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</si>
  <si>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</si>
  <si>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</si>
  <si>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</si>
  <si>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</si>
  <si>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</si>
  <si>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</si>
  <si>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</si>
  <si>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</si>
  <si>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</si>
  <si>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</si>
  <si>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</si>
  <si>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</si>
  <si>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</si>
  <si>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</si>
  <si>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</si>
  <si>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</si>
  <si>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</si>
  <si>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</si>
  <si>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</si>
  <si>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</si>
  <si>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</si>
  <si>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</si>
  <si>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</si>
  <si>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</si>
  <si>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</si>
  <si>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</si>
  <si>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</si>
  <si>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</si>
  <si>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</si>
  <si>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</si>
  <si>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</si>
  <si>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</si>
  <si>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</si>
  <si>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</si>
  <si>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</si>
  <si>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</si>
  <si>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</si>
  <si>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</si>
  <si>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</si>
  <si>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</si>
  <si>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</si>
  <si>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</si>
  <si>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</si>
  <si>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</si>
  <si>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</si>
  <si>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</si>
  <si>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</si>
  <si>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</si>
  <si>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</si>
  <si>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</si>
  <si>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</si>
  <si>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</si>
  <si>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</si>
  <si>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</si>
  <si>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</si>
  <si>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</si>
  <si>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</si>
  <si>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</si>
  <si>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</si>
  <si>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</si>
  <si>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</si>
  <si>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</si>
  <si>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</si>
  <si>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</si>
  <si>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</si>
  <si>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</si>
  <si>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</si>
  <si>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</si>
  <si>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</si>
  <si>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</si>
  <si>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</si>
  <si>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</si>
  <si>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</si>
  <si>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</si>
  <si>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</si>
  <si>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</si>
  <si>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</si>
  <si>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</si>
  <si>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</si>
  <si>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</si>
  <si>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</si>
  <si>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</si>
  <si>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</si>
  <si>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</si>
  <si>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</si>
  <si>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</si>
  <si>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</si>
  <si>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</si>
  <si>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</si>
  <si>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</si>
  <si>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</si>
  <si>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</si>
  <si>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</si>
  <si>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</si>
  <si>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</si>
  <si>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</si>
  <si>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</si>
  <si>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</si>
  <si>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</si>
  <si>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</si>
  <si>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</si>
  <si>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</si>
  <si>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</si>
  <si>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</si>
  <si>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</si>
  <si>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</si>
  <si>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</si>
  <si>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</si>
  <si>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</si>
  <si>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</si>
  <si>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</si>
  <si>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</si>
  <si>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</si>
  <si>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</si>
  <si>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</si>
  <si>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</si>
  <si>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</si>
  <si>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</si>
  <si>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</si>
  <si>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</si>
  <si>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</si>
  <si>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</si>
  <si>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</si>
  <si>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</si>
  <si>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</si>
  <si>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</si>
  <si>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</si>
  <si>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</si>
  <si>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</si>
  <si>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</si>
  <si>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</si>
  <si>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</si>
  <si>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</si>
  <si>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</si>
  <si>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</si>
  <si>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</si>
  <si>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</si>
  <si>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</si>
  <si>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</si>
  <si>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</si>
  <si>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</si>
  <si>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</si>
  <si>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</si>
  <si>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</si>
  <si>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</si>
  <si>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</si>
  <si>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</si>
  <si>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</si>
  <si>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</si>
  <si>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</si>
  <si>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</si>
  <si>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</si>
  <si>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</si>
  <si>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</si>
  <si>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</si>
  <si>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</si>
  <si>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</si>
  <si>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</si>
  <si>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</si>
  <si>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</si>
  <si>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</si>
  <si>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</si>
  <si>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</si>
  <si>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</si>
  <si>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</si>
  <si>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</si>
  <si>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</si>
  <si>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</si>
  <si>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</si>
  <si>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</si>
  <si>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</si>
  <si>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</si>
  <si>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</si>
  <si>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</si>
  <si>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</si>
  <si>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</si>
  <si>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</si>
  <si>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</si>
  <si>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</si>
  <si>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</si>
  <si>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</si>
  <si>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</si>
  <si>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</si>
  <si>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</si>
  <si>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</si>
  <si>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</si>
  <si>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</si>
  <si>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</si>
  <si>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</si>
  <si>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</si>
  <si>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</si>
  <si>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</si>
  <si>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</si>
  <si>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</si>
  <si>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</si>
  <si>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</si>
  <si>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</si>
  <si>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</si>
  <si>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</si>
  <si>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</si>
  <si>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</si>
  <si>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</si>
  <si>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</si>
  <si>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</si>
  <si>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</si>
  <si>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</si>
  <si>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</si>
  <si>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</si>
  <si>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</si>
  <si>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</si>
  <si>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</si>
  <si>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</si>
  <si>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</si>
  <si>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</si>
  <si>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</si>
  <si>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</si>
  <si>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</si>
  <si>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</si>
  <si>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</si>
  <si>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</si>
  <si>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</si>
  <si>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</si>
  <si>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</si>
  <si>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</si>
  <si>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</si>
  <si>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</si>
  <si>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</si>
  <si>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</si>
  <si>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</si>
  <si>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</si>
  <si>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</si>
  <si>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</si>
  <si>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</si>
  <si>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</si>
  <si>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</si>
  <si>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</si>
  <si>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</si>
  <si>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</si>
  <si>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</si>
  <si>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</si>
  <si>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</si>
  <si>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</si>
  <si>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</si>
  <si>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</si>
  <si>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</si>
  <si>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</si>
  <si>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</si>
  <si>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</si>
  <si>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</si>
  <si>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</si>
  <si>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</si>
  <si>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</si>
  <si>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</si>
  <si>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</si>
  <si>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</si>
  <si>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</si>
  <si>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</si>
  <si>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</si>
  <si>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</si>
  <si>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</si>
  <si>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</si>
  <si>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</si>
  <si>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</si>
  <si>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</si>
  <si>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</si>
  <si>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</si>
  <si>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</si>
  <si>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</si>
  <si>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</si>
  <si>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</si>
  <si>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</si>
  <si>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</si>
  <si>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</si>
  <si>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</si>
  <si>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</si>
  <si>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</si>
  <si>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</si>
  <si>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</si>
  <si>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</si>
  <si>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</si>
  <si>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</si>
  <si>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</si>
  <si>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</si>
  <si>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</si>
  <si>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</si>
  <si>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</si>
  <si>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</si>
  <si>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</si>
  <si>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</si>
  <si>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</si>
  <si>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</si>
  <si>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</si>
  <si>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</si>
  <si>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</si>
  <si>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</si>
  <si>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</si>
  <si>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</si>
  <si>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</si>
  <si>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</si>
  <si>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</si>
  <si>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</si>
  <si>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</si>
  <si>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</si>
  <si>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</si>
  <si>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</si>
  <si>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</si>
  <si>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</si>
  <si>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</si>
  <si>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</si>
  <si>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</si>
  <si>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</si>
  <si>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</si>
  <si>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</si>
  <si>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</si>
  <si>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</si>
  <si>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</si>
  <si>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</si>
  <si>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</si>
  <si>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</si>
  <si>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</si>
  <si>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</si>
  <si>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</si>
  <si>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</si>
  <si>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</si>
  <si>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</si>
  <si>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</si>
  <si>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</si>
  <si>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</si>
  <si>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</si>
  <si>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</si>
  <si>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</si>
  <si>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</si>
  <si>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</si>
  <si>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</si>
  <si>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</si>
  <si>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</si>
  <si>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</si>
  <si>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</si>
  <si>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</si>
  <si>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</si>
  <si>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</si>
  <si>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</si>
  <si>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</si>
  <si>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</si>
  <si>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</si>
  <si>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</si>
  <si>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</si>
  <si>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</si>
  <si>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</si>
  <si>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</si>
  <si>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</si>
  <si>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</si>
  <si>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</si>
  <si>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</si>
  <si>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</si>
  <si>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</si>
  <si>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</si>
  <si>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</si>
  <si>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</si>
  <si>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</si>
  <si>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</si>
  <si>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</si>
  <si>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</si>
  <si>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</si>
  <si>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</si>
  <si>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</si>
  <si>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</si>
  <si>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</si>
  <si>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</si>
  <si>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</si>
  <si>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</si>
  <si>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</si>
  <si>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</si>
  <si>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</si>
  <si>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</si>
  <si>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</si>
  <si>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</si>
  <si>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</si>
  <si>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</si>
  <si>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</si>
  <si>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</si>
  <si>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</si>
  <si>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</si>
  <si>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</si>
  <si>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</si>
  <si>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</si>
  <si>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</si>
  <si>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</si>
  <si>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</si>
  <si>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</si>
  <si>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</si>
  <si>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</si>
  <si>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</si>
  <si>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</si>
  <si>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</si>
  <si>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</si>
  <si>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</si>
  <si>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</si>
  <si>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</si>
  <si>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</si>
  <si>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</si>
  <si>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</si>
  <si>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</si>
  <si>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</si>
  <si>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</si>
  <si>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</si>
  <si>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</si>
  <si>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</si>
  <si>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</si>
  <si>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</si>
  <si>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</si>
  <si>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</si>
  <si>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</si>
  <si>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</si>
  <si>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</si>
  <si>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</si>
  <si>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</si>
  <si>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</si>
  <si>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</si>
  <si>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</si>
  <si>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</si>
  <si>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</si>
  <si>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</si>
  <si>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</si>
  <si>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</si>
  <si>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</si>
  <si>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</si>
  <si>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</si>
  <si>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</si>
  <si>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</si>
  <si>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</si>
  <si>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</si>
  <si>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</si>
  <si>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</si>
  <si>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</si>
  <si>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</si>
  <si>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</si>
  <si>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</si>
  <si>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</si>
  <si>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</si>
  <si>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</si>
  <si>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</si>
  <si>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</si>
  <si>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</si>
  <si>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</si>
  <si>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</si>
  <si>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</si>
  <si>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</si>
  <si>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</si>
  <si>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</si>
  <si>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</si>
  <si>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</si>
  <si>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</si>
  <si>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</si>
  <si>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</si>
  <si>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</si>
  <si>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</si>
  <si>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</si>
  <si>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</si>
  <si>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</si>
  <si>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</si>
  <si>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</si>
  <si>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</si>
  <si>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</si>
  <si>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</si>
  <si>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</si>
  <si>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</si>
  <si>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</si>
  <si>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</si>
  <si>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</si>
  <si>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</si>
  <si>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</si>
  <si>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</si>
  <si>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</si>
  <si>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</si>
  <si>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</si>
  <si>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</si>
  <si>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</si>
  <si>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</si>
  <si>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</si>
  <si>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</si>
  <si>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</si>
  <si>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</si>
  <si>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</si>
  <si>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</si>
  <si>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</si>
  <si>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</si>
  <si>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</si>
  <si>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</si>
  <si>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</si>
  <si>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</si>
  <si>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</si>
  <si>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</si>
  <si>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</si>
  <si>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</si>
  <si>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</si>
  <si>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</si>
  <si>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</si>
  <si>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</si>
  <si>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</si>
  <si>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</si>
  <si>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</si>
  <si>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</si>
  <si>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</si>
  <si>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</si>
  <si>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</si>
  <si>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</si>
  <si>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</si>
  <si>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</si>
  <si>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</si>
  <si>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</si>
  <si>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</si>
  <si>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</si>
  <si>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</si>
  <si>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</si>
  <si>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</si>
  <si>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</si>
  <si>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</si>
  <si>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</si>
  <si>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</si>
  <si>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</si>
  <si>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</si>
  <si>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</si>
  <si>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</si>
  <si>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</si>
  <si>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</si>
  <si>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</si>
  <si>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</si>
  <si>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</si>
  <si>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</si>
  <si>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</si>
  <si>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</si>
  <si>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</si>
  <si>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</si>
  <si>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</si>
  <si>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</si>
  <si>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</si>
  <si>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</si>
  <si>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</si>
  <si>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</si>
  <si>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</si>
  <si>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</si>
  <si>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</si>
  <si>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</si>
  <si>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</si>
  <si>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</si>
  <si>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</si>
  <si>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</si>
  <si>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</si>
  <si>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</si>
  <si>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</si>
  <si>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</si>
  <si>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</si>
  <si>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</si>
  <si>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</si>
  <si>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</si>
  <si>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</si>
  <si>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</si>
  <si>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</si>
  <si>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</si>
  <si>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</si>
  <si>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</si>
  <si>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</si>
  <si>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</si>
  <si>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</si>
  <si>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</si>
  <si>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</si>
  <si>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</si>
  <si>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</si>
  <si>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</si>
  <si>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</si>
  <si>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</si>
  <si>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</si>
  <si>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</si>
  <si>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</si>
  <si>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</si>
  <si>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</si>
  <si>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</si>
  <si>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</si>
  <si>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</si>
  <si>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</si>
  <si>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</si>
  <si>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</si>
  <si>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</si>
  <si>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</si>
  <si>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</si>
  <si>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</si>
  <si>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</si>
  <si>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</si>
  <si>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</si>
  <si>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</si>
  <si>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</si>
  <si>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</si>
  <si>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</si>
  <si>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</si>
  <si>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</si>
  <si>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</si>
  <si>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</si>
  <si>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</si>
  <si>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</si>
  <si>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</si>
  <si>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</si>
  <si>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</si>
  <si>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</si>
  <si>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</si>
  <si>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</si>
  <si>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</si>
  <si>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</si>
  <si>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</si>
  <si>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</si>
  <si>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</si>
  <si>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</si>
  <si>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</si>
  <si>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</si>
  <si>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</si>
  <si>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</si>
  <si>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</si>
  <si>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</si>
  <si>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</si>
  <si>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</si>
  <si>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</si>
  <si>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</si>
  <si>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</si>
  <si>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</si>
  <si>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</si>
  <si>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</si>
  <si>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</si>
  <si>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</si>
  <si>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</si>
  <si>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</si>
  <si>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</si>
  <si>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</si>
  <si>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</si>
  <si>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</si>
  <si>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</si>
  <si>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</si>
  <si>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</si>
  <si>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</si>
  <si>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</si>
  <si>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</si>
  <si>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</si>
  <si>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</si>
  <si>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</si>
  <si>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</si>
  <si>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</si>
  <si>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</si>
  <si>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</si>
  <si>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</si>
  <si>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</si>
  <si>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</si>
  <si>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</si>
  <si>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</si>
  <si>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</si>
  <si>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</si>
  <si>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</si>
  <si>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</si>
  <si>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</si>
  <si>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</si>
  <si>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</si>
  <si>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</si>
  <si>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</si>
  <si>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</si>
  <si>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</si>
  <si>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</si>
  <si>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</si>
  <si>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</si>
  <si>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</si>
  <si>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</si>
  <si>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</si>
  <si>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</si>
  <si>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</si>
  <si>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</si>
  <si>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</si>
  <si>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</si>
  <si>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</si>
  <si>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</si>
  <si>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</si>
  <si>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</si>
  <si>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</si>
  <si>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</si>
  <si>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</si>
  <si>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</si>
  <si>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</si>
  <si>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</si>
  <si>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</si>
  <si>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</si>
  <si>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</si>
  <si>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</si>
  <si>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</si>
  <si>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</si>
  <si>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</si>
  <si>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</si>
  <si>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</si>
  <si>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</si>
  <si>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</si>
  <si>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</si>
  <si>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</si>
  <si>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</si>
  <si>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</si>
  <si>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</si>
  <si>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</si>
  <si>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</si>
  <si>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</si>
  <si>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</si>
  <si>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</si>
  <si>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</si>
  <si>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</si>
  <si>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</si>
  <si>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</si>
  <si>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</si>
  <si>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</si>
  <si>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</si>
  <si>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</si>
  <si>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</si>
  <si>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</si>
  <si>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</si>
  <si>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</si>
  <si>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</si>
  <si>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</si>
  <si>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</si>
  <si>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</si>
  <si>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</si>
  <si>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</si>
  <si>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</si>
  <si>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</si>
  <si>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</si>
  <si>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</si>
  <si>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</si>
  <si>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</si>
  <si>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</si>
  <si>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</si>
  <si>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</si>
  <si>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</si>
  <si>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</si>
  <si>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</si>
  <si>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</si>
  <si>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</si>
  <si>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</si>
  <si>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</si>
  <si>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</si>
  <si>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</si>
  <si>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</si>
  <si>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</si>
  <si>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</si>
  <si>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</si>
  <si>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</si>
  <si>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</si>
  <si>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</si>
  <si>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</si>
  <si>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</si>
  <si>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</si>
  <si>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</si>
  <si>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</si>
  <si>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</si>
  <si>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</si>
  <si>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</si>
  <si>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</si>
  <si>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</si>
  <si>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</si>
  <si>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</si>
  <si>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</si>
  <si>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</si>
  <si>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</si>
  <si>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</si>
  <si>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</si>
  <si>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</si>
  <si>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</si>
  <si>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</si>
  <si>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</si>
  <si>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</si>
  <si>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</si>
  <si>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</si>
  <si>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</si>
  <si>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</si>
  <si>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</si>
  <si>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</si>
  <si>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</si>
  <si>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</si>
  <si>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</si>
  <si>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</si>
  <si>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</si>
  <si>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</si>
  <si>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</si>
  <si>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</si>
  <si>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</si>
  <si>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</si>
  <si>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</si>
  <si>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</si>
  <si>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</si>
  <si>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</si>
  <si>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</si>
  <si>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</si>
  <si>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</si>
  <si>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</si>
  <si>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</si>
  <si>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</si>
  <si>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</si>
  <si>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</si>
  <si>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</si>
  <si>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</si>
  <si>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</si>
  <si>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</si>
  <si>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</si>
  <si>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</si>
  <si>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</si>
  <si>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</si>
  <si>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</si>
  <si>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</si>
  <si>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</si>
  <si>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</si>
  <si>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</si>
  <si>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</si>
  <si>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</si>
  <si>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</si>
  <si>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</si>
  <si>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</si>
  <si>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</si>
  <si>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</si>
  <si>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</si>
  <si>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</si>
  <si>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</si>
  <si>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</si>
  <si>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</si>
  <si>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</si>
  <si>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</si>
  <si>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</si>
  <si>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</si>
  <si>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</si>
  <si>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</si>
  <si>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</si>
  <si>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</si>
  <si>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</si>
  <si>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</si>
  <si>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</si>
  <si>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</si>
  <si>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</si>
  <si>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</si>
  <si>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</si>
  <si>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</si>
  <si>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</si>
  <si>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</si>
  <si>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</si>
  <si>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</si>
  <si>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</si>
  <si>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</si>
  <si>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</si>
  <si>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</si>
  <si>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</si>
  <si>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</si>
  <si>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</si>
  <si>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</si>
  <si>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</si>
  <si>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</si>
  <si>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</si>
  <si>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</si>
  <si>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</si>
  <si>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</si>
  <si>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</si>
  <si>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</si>
  <si>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</si>
  <si>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</si>
  <si>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</si>
  <si>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</si>
  <si>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</si>
  <si>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</si>
  <si>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</si>
  <si>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</si>
  <si>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</si>
  <si>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</si>
  <si>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</si>
  <si>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</si>
  <si>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</si>
  <si>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</si>
  <si>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</si>
  <si>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</si>
  <si>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</si>
  <si>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</si>
  <si>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</si>
  <si>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</si>
  <si>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</si>
  <si>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</si>
  <si>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</si>
  <si>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</si>
  <si>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</si>
  <si>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</si>
  <si>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</si>
  <si>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</si>
  <si>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</si>
  <si>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</si>
  <si>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</si>
  <si>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</si>
  <si>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</si>
  <si>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</si>
  <si>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</si>
  <si>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</si>
  <si>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</si>
  <si>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</si>
  <si>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</si>
  <si>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</si>
  <si>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</si>
  <si>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</si>
  <si>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</si>
  <si>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</si>
  <si>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</si>
  <si>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</si>
  <si>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</si>
  <si>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</si>
  <si>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</si>
  <si>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</si>
  <si>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</si>
  <si>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</si>
  <si>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</si>
  <si>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</si>
  <si>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</si>
  <si>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</si>
  <si>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</si>
  <si>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</si>
  <si>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</si>
  <si>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</si>
  <si>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</si>
  <si>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</si>
  <si>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</si>
  <si>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</si>
  <si>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</si>
  <si>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</si>
  <si>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</si>
  <si>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</si>
  <si>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</si>
  <si>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</si>
  <si>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</si>
  <si>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</si>
  <si>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</si>
  <si>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</si>
  <si>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</si>
  <si>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</si>
  <si>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</si>
  <si>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</si>
  <si>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</si>
  <si>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</si>
  <si>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</si>
  <si>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</si>
  <si>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</si>
  <si>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</si>
  <si>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</si>
  <si>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</si>
  <si>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</si>
  <si>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</si>
  <si>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</si>
  <si>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</si>
  <si>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</si>
  <si>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</si>
  <si>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</si>
  <si>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</si>
  <si>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</si>
  <si>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</si>
  <si>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</si>
  <si>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</si>
  <si>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</si>
  <si>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</si>
  <si>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</si>
  <si>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</si>
  <si>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</si>
  <si>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</si>
  <si>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</si>
  <si>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</si>
  <si>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</si>
  <si>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</si>
  <si>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</si>
  <si>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</si>
  <si>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</si>
  <si>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</si>
  <si>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</si>
  <si>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</si>
  <si>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</si>
  <si>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</si>
  <si>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</si>
  <si>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</si>
  <si>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</si>
  <si>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</si>
  <si>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</si>
  <si>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</si>
  <si>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</si>
  <si>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</si>
  <si>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</si>
  <si>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</si>
  <si>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</si>
  <si>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</si>
  <si>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</si>
  <si>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</si>
  <si>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</si>
  <si>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</si>
  <si>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</si>
  <si>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</si>
  <si>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</si>
  <si>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</si>
  <si>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</si>
  <si>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</si>
  <si>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</si>
  <si>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</si>
  <si>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</si>
  <si>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</si>
  <si>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</si>
  <si>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</si>
  <si>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</si>
  <si>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</si>
  <si>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</si>
  <si>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</si>
  <si>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</si>
  <si>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</si>
  <si>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</si>
  <si>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</si>
  <si>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</si>
  <si>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</si>
  <si>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</si>
  <si>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</si>
  <si>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</si>
  <si>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</si>
  <si>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</si>
  <si>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</si>
  <si>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</si>
  <si>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</si>
  <si>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</si>
  <si>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</si>
  <si>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</si>
  <si>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</si>
  <si>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</si>
  <si>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</si>
  <si>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</si>
  <si>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</si>
  <si>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</si>
  <si>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</si>
  <si>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</si>
  <si>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</si>
  <si>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</si>
  <si>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</si>
  <si>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</si>
  <si>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</si>
  <si>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</si>
  <si>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</si>
  <si>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</si>
  <si>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</si>
  <si>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</si>
  <si>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</si>
  <si>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</si>
  <si>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</si>
  <si>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</si>
  <si>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</si>
  <si>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</si>
  <si>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</si>
  <si>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</si>
  <si>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</si>
  <si>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</si>
  <si>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</si>
  <si>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</si>
  <si>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</si>
  <si>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</si>
  <si>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</si>
  <si>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</si>
  <si>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</si>
  <si>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</si>
  <si>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</si>
  <si>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</si>
  <si>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</si>
  <si>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</si>
  <si>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</si>
  <si>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</si>
  <si>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</si>
  <si>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</si>
  <si>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</si>
  <si>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</si>
  <si>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</si>
  <si>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</si>
  <si>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</si>
  <si>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</si>
  <si>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</si>
  <si>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</si>
  <si>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</si>
  <si>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</si>
  <si>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</si>
  <si>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</si>
  <si>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</si>
  <si>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</si>
  <si>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</si>
  <si>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</si>
  <si>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</si>
  <si>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</si>
  <si>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</si>
  <si>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</si>
  <si>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</si>
  <si>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</si>
  <si>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</si>
  <si>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</si>
  <si>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</si>
  <si>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</si>
  <si>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</si>
  <si>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</si>
  <si>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</si>
  <si>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</si>
  <si>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</si>
  <si>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</si>
  <si>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</si>
  <si>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</si>
  <si>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</si>
  <si>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</si>
  <si>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</si>
  <si>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</si>
  <si>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</si>
  <si>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</si>
  <si>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</si>
  <si>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</si>
  <si>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</si>
  <si>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</si>
  <si>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</si>
  <si>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</si>
  <si>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</si>
  <si>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</si>
  <si>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</si>
  <si>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</si>
  <si>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</si>
  <si>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</si>
  <si>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</si>
  <si>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</si>
  <si>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</si>
  <si>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</si>
  <si>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</si>
  <si>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</si>
  <si>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</si>
  <si>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</si>
  <si>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</si>
  <si>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</si>
  <si>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</si>
  <si>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</si>
  <si>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</si>
  <si>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</si>
  <si>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</si>
  <si>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</si>
  <si>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</si>
  <si>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</si>
  <si>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</si>
  <si>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</si>
  <si>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</si>
  <si>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</si>
  <si>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</si>
  <si>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</si>
  <si>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</si>
  <si>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</si>
  <si>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</si>
  <si>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</si>
  <si>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</si>
  <si>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</si>
  <si>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</si>
  <si>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</si>
  <si>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</si>
  <si>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</si>
  <si>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</si>
  <si>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</si>
  <si>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</si>
  <si>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</si>
  <si>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</si>
  <si>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</si>
  <si>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</si>
  <si>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</si>
  <si>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</si>
  <si>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</si>
  <si>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</si>
  <si>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</si>
  <si>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</si>
  <si>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</si>
  <si>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</si>
  <si>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</si>
  <si>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</si>
  <si>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</si>
  <si>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</si>
  <si>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</si>
  <si>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</si>
  <si>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</si>
  <si>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</si>
  <si>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</si>
  <si>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</si>
  <si>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</si>
  <si>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</si>
  <si>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</si>
  <si>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</si>
  <si>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</si>
  <si>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</si>
  <si>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</si>
  <si>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</si>
  <si>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</si>
  <si>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</si>
  <si>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</si>
  <si>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</si>
  <si>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</si>
  <si>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</si>
  <si>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</si>
  <si>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</si>
  <si>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</si>
  <si>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</si>
  <si>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</si>
  <si>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</si>
  <si>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</si>
  <si>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</si>
  <si>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</si>
  <si>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</si>
  <si>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</si>
  <si>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</si>
  <si>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</si>
  <si>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</si>
  <si>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</si>
  <si>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</si>
  <si>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</si>
  <si>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</si>
  <si>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</si>
  <si>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</si>
  <si>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</si>
  <si>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</si>
  <si>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</si>
  <si>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</si>
  <si>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</si>
  <si>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</si>
  <si>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</si>
  <si>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</si>
  <si>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</si>
  <si>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</si>
  <si>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</si>
  <si>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</si>
  <si>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</si>
  <si>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</si>
  <si>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</si>
  <si>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</si>
  <si>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</si>
  <si>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</si>
  <si>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</si>
  <si>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</si>
  <si>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</si>
  <si>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</si>
  <si>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</si>
  <si>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</si>
  <si>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</si>
  <si>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</si>
  <si>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</si>
  <si>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</si>
  <si>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</si>
  <si>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</si>
  <si>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</si>
  <si>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</si>
  <si>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</si>
  <si>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</si>
  <si>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</si>
  <si>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</si>
  <si>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</si>
  <si>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</si>
  <si>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</si>
  <si>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</si>
  <si>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</si>
  <si>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</si>
  <si>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</si>
  <si>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</si>
  <si>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</si>
  <si>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</si>
  <si>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</si>
  <si>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</si>
  <si>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</si>
  <si>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</si>
  <si>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</si>
  <si>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</si>
  <si>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</si>
  <si>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</si>
  <si>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</si>
  <si>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</si>
  <si>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</si>
  <si>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</si>
  <si>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</si>
  <si>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</si>
  <si>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</si>
  <si>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</si>
  <si>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</si>
  <si>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</si>
  <si>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</si>
  <si>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</si>
  <si>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</si>
  <si>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</si>
  <si>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</si>
  <si>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</si>
  <si>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</si>
  <si>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</si>
  <si>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</si>
  <si>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</si>
  <si>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</si>
  <si>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</si>
  <si>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</si>
  <si>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</si>
  <si>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</si>
  <si>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</si>
  <si>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</si>
  <si>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</si>
  <si>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</si>
  <si>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</si>
  <si>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</si>
  <si>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</si>
  <si>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</si>
  <si>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</si>
  <si>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</si>
  <si>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</si>
  <si>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</si>
  <si>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</si>
  <si>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</si>
  <si>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</si>
  <si>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</si>
  <si>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</si>
  <si>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</si>
  <si>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</si>
  <si>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</si>
  <si>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</si>
  <si>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</si>
  <si>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</si>
  <si>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</si>
  <si>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</si>
  <si>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</si>
  <si>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</si>
  <si>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</si>
  <si>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</si>
  <si>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</si>
  <si>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</si>
  <si>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</si>
  <si>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</si>
  <si>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</si>
  <si>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</si>
  <si>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</si>
  <si>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</si>
  <si>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</si>
  <si>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</si>
  <si>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</si>
  <si>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</si>
  <si>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</si>
  <si>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</si>
  <si>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</si>
  <si>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</si>
  <si>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</si>
  <si>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</si>
  <si>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</si>
  <si>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</si>
  <si>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</si>
  <si>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</si>
  <si>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</si>
  <si>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</si>
  <si>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</si>
  <si>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</si>
  <si>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</si>
  <si>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</si>
  <si>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</si>
  <si>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</si>
  <si>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</si>
  <si>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</si>
  <si>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</si>
  <si>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</si>
  <si>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</si>
  <si>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</si>
  <si>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</si>
  <si>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</si>
  <si>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</si>
  <si>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</si>
  <si>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</si>
  <si>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</si>
  <si>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</si>
  <si>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</si>
  <si>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</si>
  <si>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</si>
  <si>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</si>
  <si>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</si>
  <si>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</si>
  <si>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</si>
  <si>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</si>
  <si>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</si>
  <si>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</si>
  <si>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</si>
  <si>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</si>
  <si>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</si>
  <si>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</si>
  <si>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</si>
  <si>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</si>
  <si>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</si>
  <si>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</si>
  <si>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</si>
  <si>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</si>
  <si>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</si>
  <si>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</si>
  <si>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</si>
  <si>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</si>
  <si>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</si>
  <si>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</si>
  <si>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</si>
  <si>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</si>
  <si>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</si>
  <si>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</si>
  <si>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</si>
  <si>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</si>
  <si>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</si>
  <si>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</si>
  <si>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</si>
  <si>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</si>
  <si>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</si>
  <si>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</si>
  <si>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</si>
  <si>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</si>
  <si>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</si>
  <si>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</si>
  <si>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</si>
  <si>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</si>
  <si>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</si>
  <si>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</si>
  <si>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</si>
  <si>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</si>
  <si>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</si>
  <si>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</si>
  <si>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</si>
  <si>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</si>
  <si>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</si>
  <si>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</si>
  <si>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</si>
  <si>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</si>
  <si>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</si>
  <si>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</si>
  <si>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</si>
  <si>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</si>
  <si>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</si>
  <si>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</si>
  <si>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</si>
  <si>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</si>
  <si>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</si>
  <si>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</si>
  <si>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</si>
  <si>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</si>
  <si>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</si>
  <si>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</si>
  <si>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</si>
  <si>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</si>
  <si>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</si>
  <si>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</si>
  <si>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</si>
  <si>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</si>
  <si>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</si>
  <si>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</si>
  <si>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</si>
  <si>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</si>
  <si>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</si>
  <si>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</si>
  <si>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</si>
  <si>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</si>
  <si>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</si>
  <si>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</si>
  <si>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</si>
  <si>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</si>
  <si>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</si>
  <si>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</si>
  <si>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</si>
  <si>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</si>
  <si>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</si>
  <si>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</si>
  <si>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</si>
  <si>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</si>
  <si>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</si>
  <si>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</si>
  <si>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</si>
  <si>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</si>
  <si>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</si>
  <si>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</si>
  <si>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</si>
  <si>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</si>
  <si>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</si>
  <si>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</si>
  <si>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</si>
  <si>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</si>
  <si>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</si>
  <si>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</si>
  <si>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</si>
  <si>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</si>
  <si>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</si>
  <si>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</si>
  <si>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</si>
  <si>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</si>
  <si>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</si>
  <si>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</si>
  <si>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</si>
  <si>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</si>
  <si>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</si>
  <si>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</si>
  <si>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</si>
  <si>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</si>
  <si>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</si>
  <si>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</si>
  <si>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</si>
  <si>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</si>
  <si>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</si>
  <si>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</si>
  <si>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</si>
  <si>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</si>
  <si>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</si>
  <si>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</si>
  <si>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</si>
  <si>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</si>
  <si>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</si>
  <si>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</si>
  <si>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</si>
  <si>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</si>
  <si>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</si>
  <si>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</si>
  <si>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</si>
  <si>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</si>
  <si>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</si>
  <si>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</si>
  <si>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</si>
  <si>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</si>
  <si>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</si>
  <si>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</si>
  <si>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</si>
  <si>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</si>
  <si>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</si>
  <si>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</si>
  <si>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</si>
  <si>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</si>
  <si>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</si>
  <si>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</si>
  <si>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</si>
  <si>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</si>
  <si>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</si>
  <si>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</si>
  <si>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</si>
  <si>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</si>
  <si>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</si>
  <si>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</si>
  <si>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</si>
  <si>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</si>
  <si>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</si>
  <si>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</si>
  <si>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</si>
  <si>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</si>
  <si>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</si>
  <si>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</si>
  <si>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</si>
  <si>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</si>
  <si>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</si>
  <si>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</si>
  <si>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</si>
  <si>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</si>
  <si>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</si>
  <si>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</si>
  <si>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</si>
  <si>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</si>
  <si>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</si>
  <si>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</si>
  <si>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</si>
  <si>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</si>
  <si>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</si>
  <si>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</si>
  <si>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</si>
  <si>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崔锴</t>
  </si>
  <si>
    <t>华澳信托</t>
    <phoneticPr fontId="6" type="noConversion"/>
  </si>
  <si>
    <t>泰兴市隆府房地产开发有限公司</t>
    <phoneticPr fontId="6" type="noConversion"/>
  </si>
  <si>
    <t>抵押</t>
  </si>
  <si>
    <t>房地产抵押价值</t>
  </si>
  <si>
    <t>其他：</t>
  </si>
  <si>
    <t>江苏省</t>
    <phoneticPr fontId="6" type="noConversion"/>
  </si>
  <si>
    <t>企业</t>
  </si>
  <si>
    <t>出让</t>
  </si>
  <si>
    <t>在建</t>
  </si>
  <si>
    <t>居住项目</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</si>
  <si>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</si>
  <si>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</si>
  <si>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</si>
  <si>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</si>
  <si>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</si>
  <si>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</si>
  <si>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</si>
  <si>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</si>
  <si>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</si>
  <si>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</si>
  <si>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</si>
  <si>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</si>
  <si>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15号楼</t>
    </r>
    <r>
      <rPr>
        <sz val="10"/>
        <color indexed="8"/>
        <rFont val="宋体"/>
        <family val="3"/>
        <charset val="134"/>
      </rPr>
      <t/>
    </r>
  </si>
  <si>
    <t>地上</t>
  </si>
  <si>
    <t>住宅</t>
  </si>
  <si>
    <t>小高层</t>
  </si>
  <si>
    <t>小高层</t>
    <phoneticPr fontId="16" type="noConversion"/>
  </si>
  <si>
    <t>高层</t>
  </si>
  <si>
    <t>高层</t>
    <phoneticPr fontId="16" type="noConversion"/>
  </si>
  <si>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</si>
  <si>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</si>
  <si>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</si>
  <si>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</si>
  <si>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</si>
  <si>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</si>
  <si>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</si>
  <si>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</si>
  <si>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</si>
  <si>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</si>
  <si>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</si>
  <si>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</si>
  <si>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</si>
  <si>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</si>
  <si>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</si>
  <si>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</si>
  <si>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</si>
  <si>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</si>
  <si>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</si>
  <si>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</si>
  <si>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</si>
  <si>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</si>
  <si>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</si>
  <si>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</si>
  <si>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</si>
  <si>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</si>
  <si>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</si>
  <si>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</si>
  <si>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</si>
  <si>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</si>
  <si>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</si>
  <si>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</si>
  <si>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</si>
  <si>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高层</t>
    <phoneticPr fontId="3" type="noConversion"/>
  </si>
  <si>
    <t>小高层</t>
    <phoneticPr fontId="3" type="noConversion"/>
  </si>
  <si>
    <t>地下</t>
  </si>
  <si>
    <t>车库</t>
  </si>
  <si>
    <t>高层住宅</t>
  </si>
  <si>
    <t>高层住宅</t>
    <phoneticPr fontId="7" type="noConversion"/>
  </si>
  <si>
    <t>小高层住宅</t>
  </si>
  <si>
    <t>小高层住宅</t>
    <phoneticPr fontId="7" type="noConversion"/>
  </si>
  <si>
    <t>否</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</si>
  <si>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</si>
  <si>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</si>
  <si>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</si>
  <si>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</si>
  <si>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</si>
  <si>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</si>
  <si>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</si>
  <si>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</si>
  <si>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</si>
  <si>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</si>
  <si>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</si>
  <si>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</si>
  <si>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</si>
  <si>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</si>
  <si>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</si>
  <si>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</si>
  <si>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</si>
  <si>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</si>
  <si>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</si>
  <si>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</si>
  <si>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</si>
  <si>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</si>
  <si>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</si>
  <si>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</si>
  <si>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</si>
  <si>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</si>
  <si>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</si>
  <si>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</si>
  <si>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</si>
  <si>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</si>
  <si>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</si>
  <si>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</si>
  <si>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</si>
  <si>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</si>
  <si>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</si>
  <si>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</si>
  <si>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</si>
  <si>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</si>
  <si>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</si>
  <si>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</si>
  <si>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</si>
  <si>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</si>
  <si>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</si>
  <si>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</si>
  <si>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</si>
  <si>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根思路南侧、文江路西侧10号</t>
  </si>
  <si>
    <t>泰州市</t>
  </si>
  <si>
    <t>住宅用地</t>
  </si>
  <si>
    <t>泰兴市</t>
  </si>
  <si>
    <t>挂牌</t>
  </si>
  <si>
    <t>TX2017-43号</t>
  </si>
  <si>
    <t>其他普通商品住房用地</t>
  </si>
  <si>
    <t>＞1,＜1.8</t>
  </si>
  <si>
    <t/>
  </si>
  <si>
    <t>开工中</t>
  </si>
  <si>
    <t>2017-12-21</t>
  </si>
  <si>
    <t>2018-01-12</t>
  </si>
  <si>
    <t>2018-01-24</t>
  </si>
  <si>
    <t>泰兴市挂[2017]59号</t>
  </si>
  <si>
    <t>已成交</t>
  </si>
  <si>
    <t>江苏兴隆兴业地产集团有限公司</t>
  </si>
  <si>
    <t>70年</t>
  </si>
  <si>
    <t>根思路南侧、文江路西侧8号地块</t>
  </si>
  <si>
    <t>TX2017-42号</t>
  </si>
  <si>
    <t>泰兴市挂[2017]58号</t>
  </si>
  <si>
    <t>浙江祥生房地产开发有限公司</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</si>
  <si>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</si>
  <si>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</si>
  <si>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</si>
  <si>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</si>
  <si>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</si>
  <si>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</si>
  <si>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</si>
  <si>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</si>
  <si>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</si>
  <si>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</si>
  <si>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</si>
  <si>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</si>
  <si>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</si>
  <si>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</si>
  <si>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</si>
  <si>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车库</t>
    <phoneticPr fontId="3" type="noConversion"/>
  </si>
  <si>
    <t>配电房</t>
    <phoneticPr fontId="3" type="noConversion"/>
  </si>
  <si>
    <t>1#</t>
  </si>
  <si>
    <t>6#</t>
  </si>
  <si>
    <t>8#</t>
  </si>
  <si>
    <t>9#</t>
  </si>
  <si>
    <t>10#</t>
  </si>
  <si>
    <t>11#</t>
  </si>
  <si>
    <t>12#</t>
  </si>
  <si>
    <t>13#</t>
  </si>
  <si>
    <t>15#</t>
  </si>
  <si>
    <r>
      <rPr>
        <sz val="11"/>
        <color theme="1"/>
        <rFont val="宋体"/>
        <family val="3"/>
        <charset val="134"/>
      </rPr>
      <t>住宅</t>
    </r>
  </si>
  <si>
    <r>
      <rPr>
        <sz val="11"/>
        <color theme="1"/>
        <rFont val="宋体"/>
        <family val="3"/>
        <charset val="134"/>
      </rPr>
      <t>地上车库及仓储</t>
    </r>
  </si>
  <si>
    <r>
      <rPr>
        <sz val="11"/>
        <color theme="1"/>
        <rFont val="宋体"/>
        <family val="3"/>
        <charset val="134"/>
      </rPr>
      <t>地下储藏室</t>
    </r>
  </si>
  <si>
    <r>
      <rPr>
        <sz val="11"/>
        <color theme="1"/>
        <rFont val="宋体"/>
        <family val="3"/>
        <charset val="134"/>
      </rPr>
      <t>合计</t>
    </r>
  </si>
  <si>
    <t>其他</t>
    <phoneticPr fontId="3" type="noConversion"/>
  </si>
  <si>
    <r>
      <rPr>
        <sz val="11"/>
        <color theme="1"/>
        <rFont val="宋体"/>
        <family val="3"/>
        <charset val="134"/>
      </rPr>
      <t>楼层</t>
    </r>
    <phoneticPr fontId="3" type="noConversion"/>
  </si>
  <si>
    <t>成本法</t>
  </si>
  <si>
    <t>假设开发法</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</si>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</sst>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000000"/>
      <name val="宋体"/>
      <family val="3"/>
      <charset val="134"/>
    </font>
    <font>
      <b/>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5" fillId="13" borderId="82" xfId="0" applyFont="1" applyFill="1" applyBorder="1" applyAlignment="1">
      <alignment horizontal="center" vertical="center"/>
    </xf>
    <xf numFmtId="0" fontId="256" fillId="13" borderId="65" xfId="0" applyFont="1" applyFill="1" applyBorder="1" applyAlignment="1">
      <alignment horizontal="center" vertical="center"/>
    </xf>
    <xf numFmtId="0" fontId="255" fillId="13" borderId="43" xfId="0" applyFont="1" applyFill="1" applyBorder="1" applyAlignment="1">
      <alignment horizontal="center" vertical="center"/>
    </xf>
    <xf numFmtId="4" fontId="255" fillId="13" borderId="43" xfId="0" applyNumberFormat="1" applyFont="1" applyFill="1" applyBorder="1" applyAlignment="1">
      <alignment horizontal="center" vertical="center"/>
    </xf>
    <xf numFmtId="0" fontId="255" fillId="13" borderId="81" xfId="0" applyFont="1" applyFill="1" applyBorder="1" applyAlignment="1">
      <alignment horizontal="center" vertical="center"/>
    </xf>
    <xf numFmtId="0" fontId="256" fillId="13" borderId="43" xfId="0" applyFont="1" applyFill="1" applyBorder="1" applyAlignment="1">
      <alignment horizontal="left" vertical="center"/>
    </xf>
    <xf numFmtId="0" fontId="256" fillId="13" borderId="43" xfId="0" applyFont="1" applyFill="1" applyBorder="1" applyAlignment="1">
      <alignment horizontal="center" vertical="center"/>
    </xf>
    <xf numFmtId="4" fontId="256" fillId="13" borderId="43" xfId="0" applyNumberFormat="1" applyFont="1" applyFill="1" applyBorder="1" applyAlignment="1">
      <alignment horizontal="center" vertical="center"/>
    </xf>
    <xf numFmtId="0" fontId="196" fillId="13" borderId="43" xfId="0" applyFont="1" applyFill="1" applyBorder="1" applyAlignment="1">
      <alignment horizontal="center" vertical="center"/>
    </xf>
    <xf numFmtId="176" fontId="80" fillId="0" borderId="1" xfId="0" applyNumberFormat="1"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17" borderId="0" xfId="0" applyFill="1" applyAlignment="1"/>
    <xf numFmtId="176" fontId="50" fillId="0" borderId="15" xfId="0" applyNumberFormat="1" applyFont="1" applyFill="1" applyBorder="1" applyAlignment="1" applyProtection="1">
      <alignment vertical="center" wrapText="1"/>
      <protection locked="0"/>
    </xf>
    <xf numFmtId="0" fontId="104" fillId="0" borderId="1" xfId="0" applyFont="1" applyBorder="1" applyAlignment="1">
      <alignment horizontal="center" vertical="center"/>
    </xf>
    <xf numFmtId="197" fontId="104" fillId="0" borderId="1" xfId="0" applyNumberFormat="1" applyFont="1" applyBorder="1" applyAlignment="1">
      <alignment horizontal="center" vertical="center"/>
    </xf>
    <xf numFmtId="0" fontId="104" fillId="0" borderId="15" xfId="0" applyFont="1" applyFill="1" applyBorder="1" applyAlignment="1">
      <alignment horizontal="center" vertical="center"/>
    </xf>
    <xf numFmtId="197" fontId="104" fillId="0" borderId="15" xfId="0" applyNumberFormat="1" applyFont="1" applyFill="1" applyBorder="1" applyAlignment="1">
      <alignment horizontal="center" vertical="center"/>
    </xf>
    <xf numFmtId="0" fontId="104" fillId="17" borderId="1" xfId="0" applyFont="1" applyFill="1" applyBorder="1" applyAlignment="1">
      <alignment horizontal="center" vertical="center"/>
    </xf>
    <xf numFmtId="197" fontId="104" fillId="17" borderId="1" xfId="0" applyNumberFormat="1" applyFont="1" applyFill="1" applyBorder="1" applyAlignment="1">
      <alignment horizontal="center" vertical="center"/>
    </xf>
    <xf numFmtId="197" fontId="104" fillId="17" borderId="15" xfId="0" applyNumberFormat="1" applyFont="1" applyFill="1" applyBorder="1" applyAlignment="1">
      <alignment horizontal="center" vertical="center"/>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0" fontId="99" fillId="0" borderId="0" xfId="17"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13" borderId="27" xfId="0" applyFont="1" applyFill="1" applyBorder="1" applyAlignment="1">
      <alignment horizontal="center" vertical="center"/>
    </xf>
    <xf numFmtId="0" fontId="256" fillId="13" borderId="80" xfId="0" applyFont="1" applyFill="1" applyBorder="1" applyAlignment="1">
      <alignment horizontal="center" vertical="center"/>
    </xf>
    <xf numFmtId="0" fontId="256" fillId="13" borderId="81" xfId="0" applyFont="1" applyFill="1" applyBorder="1" applyAlignment="1">
      <alignment horizontal="center" vertical="center"/>
    </xf>
    <xf numFmtId="0" fontId="255" fillId="13" borderId="27" xfId="0" applyFont="1" applyFill="1" applyBorder="1" applyAlignment="1">
      <alignment horizontal="center" vertical="center"/>
    </xf>
    <xf numFmtId="0" fontId="255" fillId="13" borderId="80" xfId="0" applyFont="1" applyFill="1" applyBorder="1" applyAlignment="1">
      <alignment horizontal="center" vertical="center"/>
    </xf>
    <xf numFmtId="0" fontId="255" fillId="13" borderId="81" xfId="0" applyFont="1" applyFill="1"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江苏省泰兴市根思路南侧、文江路西侧10号地块出让国有建设用地使用权及在建建筑物房地产抵押价值预评估</v>
      </c>
    </row>
    <row r="3" spans="1:2" s="1595" customFormat="1">
      <c r="A3" s="1593" t="s">
        <v>1221</v>
      </c>
      <c r="B3" s="1594" t="str">
        <f>'预评函-封皮'!B40</f>
        <v>华澳信托</v>
      </c>
    </row>
    <row r="4" spans="1:2" s="1595" customFormat="1">
      <c r="A4" s="1593" t="s">
        <v>1222</v>
      </c>
      <c r="B4" s="1594" t="str">
        <f ca="1">'预评函-封皮'!B46</f>
        <v>吴薇（注册号：1419970001)、崔锴（注册号：1120100036)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受贵公司委托，我公司对江苏省泰兴市根思路南侧、文江路西侧10号地块出让国有建设用地使用权及在建建筑物房地产抵押价值进行了预评估。</v>
      </c>
    </row>
    <row r="7" spans="1:2" s="1595" customFormat="1">
      <c r="A7" s="1593" t="s">
        <v>1264</v>
      </c>
      <c r="B7" s="1594"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29208.38平方米，建筑面积为65305.2199999999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29208.38平方米，规划建筑面积为65305.2199999999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2018年11月20日（评估专业人员实地查勘之日）</v>
      </c>
    </row>
    <row r="13" spans="1:2" s="1595" customFormat="1">
      <c r="A13" s="1593" t="s">
        <v>1227</v>
      </c>
      <c r="B13" s="1594" t="str">
        <f>'预评函-1'!A18</f>
        <v>本次估价的“房地产价值”是指在正常市场情况下，在价值时点2018年11月20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49787</v>
      </c>
    </row>
    <row r="21" spans="1:2" s="1595" customFormat="1">
      <c r="A21" s="1593" t="s">
        <v>1235</v>
      </c>
      <c r="B21" s="1594">
        <f ca="1">'预评函-2'!D7</f>
        <v>7624</v>
      </c>
    </row>
    <row r="22" spans="1:2" s="1595" customFormat="1">
      <c r="A22" s="1593" t="s">
        <v>1236</v>
      </c>
      <c r="B22" s="1594" t="str">
        <f ca="1">'预评函-2'!D6</f>
        <v>肆亿玖仟柒佰捌拾柒万元整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49787</v>
      </c>
    </row>
    <row r="31" spans="1:2" s="1595" customFormat="1">
      <c r="A31" s="1593" t="s">
        <v>1274</v>
      </c>
      <c r="B31" s="1594">
        <f ca="1">'预评函-2'!D15</f>
        <v>7624</v>
      </c>
    </row>
    <row r="32" spans="1:2" s="1595" customFormat="1">
      <c r="A32" s="1593" t="s">
        <v>1241</v>
      </c>
      <c r="B32" s="1594" t="str">
        <f ca="1">'预评函-2'!D14</f>
        <v>肆亿玖仟柒佰捌拾柒万元整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江苏省泰兴市根思路南侧、文江路西侧10号地块出让国有建设用地使用权及在建建筑物房地产</v>
      </c>
    </row>
    <row r="42" spans="1:2" s="1595" customFormat="1">
      <c r="A42" s="1593" t="s">
        <v>1288</v>
      </c>
      <c r="B42" s="1594" t="str">
        <f>'预评函-3'!B2</f>
        <v>建筑面积</v>
      </c>
    </row>
    <row r="43" spans="1:2" s="1595" customFormat="1">
      <c r="A43" s="1593" t="s">
        <v>1289</v>
      </c>
      <c r="B43" s="1594">
        <f>'预评函-3'!B4</f>
        <v>65305.219999999972</v>
      </c>
    </row>
    <row r="44" spans="1:2" s="1595" customFormat="1">
      <c r="A44" s="1593" t="s">
        <v>1273</v>
      </c>
      <c r="B44" s="1594" t="str">
        <f>'预评函-3'!C2</f>
        <v>(分摊)土地面积</v>
      </c>
    </row>
    <row r="45" spans="1:2" s="1595" customFormat="1">
      <c r="A45" s="1593" t="s">
        <v>1245</v>
      </c>
      <c r="B45" s="1594">
        <f>'预评函-3'!C4</f>
        <v>29208.38</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4" sqref="A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9" t="s">
        <v>3081</v>
      </c>
      <c r="B22" s="2016" t="s">
        <v>757</v>
      </c>
      <c r="C22" s="2017"/>
    </row>
    <row r="23" spans="1:3">
      <c r="A23" s="2019" t="s">
        <v>3083</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1" sqref="E21"/>
    </sheetView>
  </sheetViews>
  <sheetFormatPr defaultColWidth="10" defaultRowHeight="18" customHeight="1"/>
  <cols>
    <col min="1" max="1" width="14.875" style="2034" customWidth="1"/>
    <col min="2" max="2" width="13.875" style="2034" customWidth="1"/>
    <col min="3" max="3" width="11.5" style="2034" customWidth="1"/>
    <col min="4" max="4" width="15.12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1774</v>
      </c>
      <c r="B1" s="3024"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2028" t="s">
        <v>1775</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2037" t="s">
        <v>1776</v>
      </c>
      <c r="B3" s="2038">
        <v>43424</v>
      </c>
      <c r="C3" s="2039" t="s">
        <v>1777</v>
      </c>
      <c r="D3" s="2038">
        <f>B3</f>
        <v>43424</v>
      </c>
      <c r="E3" s="2028"/>
      <c r="F3" s="2028"/>
      <c r="G3" s="2028"/>
      <c r="H3" s="2028"/>
      <c r="I3" s="2028"/>
      <c r="J3" s="2028"/>
      <c r="K3" s="2029"/>
      <c r="L3" s="2030"/>
      <c r="M3" s="2030"/>
      <c r="N3" s="2031"/>
      <c r="O3" s="2032"/>
      <c r="P3" s="2031"/>
      <c r="Q3" s="2031"/>
      <c r="R3" s="2031"/>
      <c r="S3" s="2033"/>
    </row>
    <row r="4" spans="1:19" ht="18" customHeight="1" thickBot="1">
      <c r="A4" s="2040" t="s">
        <v>1778</v>
      </c>
      <c r="B4" s="2041" t="s">
        <v>3053</v>
      </c>
      <c r="C4" s="1039">
        <f ca="1">SUMIF(注册房地产估价师,B4,估价师及机构信息!B3:B24)</f>
        <v>1419970001</v>
      </c>
      <c r="D4" s="2041" t="s">
        <v>3054</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thickBot="1">
      <c r="A5" s="2046" t="s">
        <v>1779</v>
      </c>
      <c r="B5" s="2943" t="s">
        <v>3055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1780</v>
      </c>
      <c r="B6" s="2943" t="s">
        <v>3055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1781</v>
      </c>
      <c r="B7" s="2944" t="s">
        <v>3056</v>
      </c>
      <c r="C7" s="2050"/>
      <c r="D7" s="2051"/>
      <c r="E7" s="2036"/>
      <c r="F7" s="2044"/>
      <c r="G7" s="2044"/>
      <c r="H7" s="2044"/>
      <c r="I7" s="2044"/>
      <c r="J7" s="2044"/>
      <c r="K7" s="2053"/>
      <c r="L7" s="2030"/>
      <c r="M7" s="2030"/>
      <c r="N7" s="2031"/>
      <c r="O7" s="2032"/>
      <c r="P7" s="2031"/>
      <c r="Q7" s="2031"/>
      <c r="R7" s="2031"/>
    </row>
    <row r="8" spans="1:19" ht="18" customHeight="1">
      <c r="A8" s="2049" t="s">
        <v>1782</v>
      </c>
      <c r="B8" s="2054" t="s">
        <v>3057</v>
      </c>
      <c r="C8" s="2055"/>
      <c r="D8" s="3027" t="s">
        <v>1783</v>
      </c>
      <c r="E8" s="2056" t="s">
        <v>3058</v>
      </c>
      <c r="F8" s="2057"/>
      <c r="G8" s="2028"/>
      <c r="H8" s="2028"/>
      <c r="I8" s="2028"/>
      <c r="J8" s="2044"/>
      <c r="K8" s="2045"/>
      <c r="L8" s="2030"/>
      <c r="M8" s="2030"/>
      <c r="N8" s="2031"/>
      <c r="O8" s="2032"/>
      <c r="P8" s="2031"/>
      <c r="Q8" s="2031"/>
      <c r="R8" s="2031"/>
    </row>
    <row r="9" spans="1:19" ht="18" customHeight="1" thickBot="1">
      <c r="A9" s="2042" t="s">
        <v>1784</v>
      </c>
      <c r="B9" s="2058" t="s">
        <v>3058</v>
      </c>
      <c r="C9" s="2059"/>
      <c r="D9" s="3028"/>
      <c r="E9" s="2058"/>
      <c r="F9" s="2060"/>
      <c r="G9" s="2061"/>
      <c r="H9" s="2061"/>
      <c r="I9" s="2061"/>
      <c r="J9" s="2044"/>
      <c r="K9" s="2053"/>
      <c r="L9" s="2030"/>
      <c r="M9" s="2030"/>
      <c r="N9" s="2031"/>
      <c r="O9" s="2032"/>
      <c r="P9" s="2031"/>
      <c r="Q9" s="2031"/>
      <c r="R9" s="2031"/>
    </row>
    <row r="10" spans="1:19" ht="18" customHeight="1" thickTop="1">
      <c r="A10" s="2062" t="s">
        <v>1785</v>
      </c>
      <c r="B10" s="2063" t="s">
        <v>3059</v>
      </c>
      <c r="C10" s="2945" t="s">
        <v>3060</v>
      </c>
      <c r="D10" s="2048"/>
      <c r="E10" s="2064" t="s">
        <v>1786</v>
      </c>
      <c r="F10" s="2065" t="s">
        <v>3226</v>
      </c>
      <c r="G10" s="2066"/>
      <c r="H10" s="2067"/>
      <c r="I10" s="2048"/>
      <c r="J10" s="2044"/>
      <c r="K10" s="2053"/>
      <c r="L10" s="2030"/>
      <c r="M10" s="2030"/>
      <c r="N10" s="2031"/>
      <c r="O10" s="2032"/>
      <c r="P10" s="2031"/>
      <c r="Q10" s="2031"/>
      <c r="R10" s="2031"/>
    </row>
    <row r="11" spans="1:19" ht="18" customHeight="1">
      <c r="A11" s="2068" t="s">
        <v>1787</v>
      </c>
      <c r="B11" s="2069" t="s">
        <v>3061</v>
      </c>
      <c r="C11" s="2070" t="str">
        <f>B7</f>
        <v>泰兴市隆府房地产开发有限公司</v>
      </c>
      <c r="D11" s="2071"/>
      <c r="E11" s="2044"/>
      <c r="F11" s="2044"/>
      <c r="G11" s="2044"/>
      <c r="H11" s="2044"/>
      <c r="I11" s="2044"/>
      <c r="J11" s="2044"/>
      <c r="K11" s="2053"/>
      <c r="L11" s="2030"/>
      <c r="M11" s="2030"/>
      <c r="N11" s="2031"/>
      <c r="O11" s="2032"/>
      <c r="P11" s="2031"/>
      <c r="Q11" s="2031"/>
      <c r="R11" s="2031"/>
    </row>
    <row r="12" spans="1:19" ht="18" customHeight="1">
      <c r="A12" s="2072" t="s">
        <v>1788</v>
      </c>
      <c r="B12" s="2069" t="s">
        <v>3062</v>
      </c>
      <c r="C12" s="2073" t="s">
        <v>1789</v>
      </c>
      <c r="D12" s="2074" t="s">
        <v>1790</v>
      </c>
      <c r="E12" s="2074" t="s">
        <v>1791</v>
      </c>
      <c r="F12" s="2074" t="s">
        <v>1792</v>
      </c>
      <c r="G12" s="2074" t="s">
        <v>1793</v>
      </c>
      <c r="H12" s="2074" t="s">
        <v>1794</v>
      </c>
      <c r="I12" s="2074" t="s">
        <v>1795</v>
      </c>
      <c r="J12" s="2044"/>
      <c r="K12" s="2053"/>
      <c r="L12" s="2030"/>
      <c r="M12" s="2030"/>
      <c r="N12" s="2031"/>
      <c r="O12" s="2032"/>
      <c r="P12" s="2031"/>
      <c r="Q12" s="2031"/>
      <c r="R12" s="2031"/>
    </row>
    <row r="13" spans="1:19" ht="18" customHeight="1">
      <c r="A13" s="2075"/>
      <c r="B13" s="2076"/>
      <c r="C13" s="2077" t="s">
        <v>1796</v>
      </c>
      <c r="D13" s="2078">
        <v>68768</v>
      </c>
      <c r="E13" s="2078"/>
      <c r="F13" s="2078"/>
      <c r="G13" s="2078">
        <v>61463</v>
      </c>
      <c r="H13" s="2078"/>
      <c r="I13" s="1049"/>
      <c r="J13" s="2044"/>
      <c r="K13" s="2053"/>
      <c r="L13" s="2030"/>
      <c r="M13" s="2030"/>
      <c r="N13" s="2031"/>
      <c r="O13" s="2032"/>
      <c r="P13" s="2031"/>
      <c r="Q13" s="2031"/>
      <c r="R13" s="2031"/>
    </row>
    <row r="14" spans="1:19" ht="18" customHeight="1">
      <c r="A14" s="2075"/>
      <c r="B14" s="2076"/>
      <c r="C14" s="2077" t="s">
        <v>1797</v>
      </c>
      <c r="D14" s="1052">
        <v>70</v>
      </c>
      <c r="E14" s="1052"/>
      <c r="F14" s="1052"/>
      <c r="G14" s="1052">
        <v>50</v>
      </c>
      <c r="H14" s="1052"/>
      <c r="I14" s="1052"/>
      <c r="J14" s="2044"/>
      <c r="K14" s="2079"/>
      <c r="L14" s="2030"/>
      <c r="M14" s="2030"/>
      <c r="N14" s="2031"/>
      <c r="O14" s="2032"/>
      <c r="P14" s="2031"/>
      <c r="Q14" s="2031"/>
      <c r="R14" s="2031"/>
    </row>
    <row r="15" spans="1:19" ht="18" customHeight="1">
      <c r="A15" s="2062"/>
      <c r="B15" s="2080"/>
      <c r="C15" s="2077" t="s">
        <v>1798</v>
      </c>
      <c r="D15" s="1051">
        <f>IF(B12="出让",IF(D13="","",ROUNDDOWN(MIN((D13-$D$3)/365,D14),2)),D14)</f>
        <v>69.430000000000007</v>
      </c>
      <c r="E15" s="1051" t="str">
        <f>IF(B12="出让",IF(E13="","",ROUNDDOWN(MIN((E13-$D$3)/365,E14),2)),E14)</f>
        <v/>
      </c>
      <c r="F15" s="1051" t="str">
        <f>IF(B12="出让",IF(F13="","",ROUNDDOWN(MIN((F13-$D$3)/365,F14),2)),F14)</f>
        <v/>
      </c>
      <c r="G15" s="1051">
        <f>IF(B12="出让",IF(G13="","",ROUNDDOWN(MIN((G13-$D$3)/365,G14),2)),G14)</f>
        <v>49.42</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4" t="s">
        <v>1799</v>
      </c>
      <c r="B16" s="3034"/>
      <c r="C16" s="3035"/>
      <c r="D16" s="3036"/>
      <c r="E16" s="2084" t="s">
        <v>1800</v>
      </c>
      <c r="F16" s="3037"/>
      <c r="G16" s="3038"/>
      <c r="H16" s="3038"/>
      <c r="I16" s="3039"/>
      <c r="J16" s="2031"/>
      <c r="K16" s="2081"/>
      <c r="L16" s="2082"/>
      <c r="M16" s="2082"/>
      <c r="N16" s="2083"/>
      <c r="O16" s="2082"/>
      <c r="P16" s="2083"/>
      <c r="Q16" s="2031"/>
      <c r="R16" s="2031"/>
    </row>
    <row r="17" spans="1:22" ht="18" customHeight="1">
      <c r="A17" s="2085" t="s">
        <v>1801</v>
      </c>
      <c r="B17" s="2037" t="s">
        <v>1802</v>
      </c>
      <c r="C17" s="1056">
        <f>'数据-汇总表'!E3</f>
        <v>65305.219999999972</v>
      </c>
      <c r="D17" s="2086" t="s">
        <v>1803</v>
      </c>
      <c r="E17" s="3040" t="s">
        <v>1804</v>
      </c>
      <c r="F17" s="3041"/>
      <c r="G17" s="3041"/>
      <c r="H17" s="3041"/>
      <c r="I17" s="3042"/>
      <c r="J17" s="2031"/>
      <c r="K17" s="2087"/>
      <c r="L17" s="2082"/>
      <c r="M17" s="2082"/>
      <c r="N17" s="2083"/>
      <c r="O17" s="2082"/>
      <c r="P17" s="2083"/>
      <c r="Q17" s="2031"/>
      <c r="R17" s="2031"/>
      <c r="S17" s="2031"/>
      <c r="T17" s="2031"/>
      <c r="U17" s="2031"/>
      <c r="V17" s="2031"/>
    </row>
    <row r="18" spans="1:22" ht="36" customHeight="1" thickBot="1">
      <c r="A18" s="2088" t="s">
        <v>1805</v>
      </c>
      <c r="B18" s="2040" t="s">
        <v>1806</v>
      </c>
      <c r="C18" s="1446">
        <f>'数据-汇总表'!D3</f>
        <v>29208.38</v>
      </c>
      <c r="D18" s="2089" t="s">
        <v>1803</v>
      </c>
      <c r="E18" s="3043" t="s">
        <v>1807</v>
      </c>
      <c r="F18" s="3044"/>
      <c r="G18" s="3044"/>
      <c r="H18" s="3044"/>
      <c r="I18" s="3045"/>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c r="D19" s="2091" t="s">
        <v>1810</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1811</v>
      </c>
      <c r="B20" s="3030" t="s">
        <v>1812</v>
      </c>
      <c r="C20" s="3031"/>
      <c r="D20" s="3032" t="s">
        <v>1813</v>
      </c>
      <c r="E20" s="3033"/>
      <c r="F20" s="2096" t="s">
        <v>1814</v>
      </c>
      <c r="G20" s="2044"/>
      <c r="H20" s="2044"/>
      <c r="I20" s="2044"/>
      <c r="J20" s="2044"/>
      <c r="K20" s="3029"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1816</v>
      </c>
      <c r="C21" s="2098" t="s">
        <v>1817</v>
      </c>
      <c r="D21" s="2099" t="s">
        <v>1818</v>
      </c>
      <c r="E21" s="2100" t="s">
        <v>1817</v>
      </c>
      <c r="F21" s="2101"/>
      <c r="G21" s="2044"/>
      <c r="H21" s="2044"/>
      <c r="I21" s="2044"/>
      <c r="J21" s="2044"/>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1819</v>
      </c>
      <c r="C22" s="2098" t="s">
        <v>1820</v>
      </c>
      <c r="D22" s="2028"/>
      <c r="E22" s="2028"/>
      <c r="F22" s="2103"/>
      <c r="G22" s="2044"/>
      <c r="H22" s="2044"/>
      <c r="I22" s="2044"/>
      <c r="J22" s="2044"/>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1821</v>
      </c>
      <c r="B23" s="183" t="s">
        <v>1822</v>
      </c>
      <c r="C23" s="2105"/>
      <c r="D23" s="2106" t="s">
        <v>1822</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1823</v>
      </c>
      <c r="C24" s="2110"/>
      <c r="D24" s="2104" t="s">
        <v>1823</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1824</v>
      </c>
      <c r="C25" s="2110"/>
      <c r="D25" s="2104" t="s">
        <v>1824</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1825</v>
      </c>
      <c r="C26" s="2114"/>
      <c r="D26" s="2115" t="s">
        <v>1826</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7" t="s">
        <v>1827</v>
      </c>
      <c r="B27" s="2062" t="s">
        <v>1828</v>
      </c>
      <c r="C27" s="2118" t="s">
        <v>3064</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7"/>
      <c r="B28" s="2037" t="s">
        <v>1829</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7"/>
      <c r="B29" s="2037" t="s">
        <v>1830</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8"/>
      <c r="B30" s="2037" t="s">
        <v>1831</v>
      </c>
      <c r="C30" s="3019"/>
      <c r="D30" s="3020"/>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1" t="s">
        <v>1832</v>
      </c>
      <c r="B31" s="2125" t="s">
        <v>3063</v>
      </c>
      <c r="C31" s="2126" t="str">
        <f>IF(B31="现房","成新及维护状况正常否",IF(B31="在建","工程状态是否正常",IF(B31="土地","是否闲置","-")))</f>
        <v>工程状态是否正常</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22"/>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2"/>
      <c r="C34" s="2132"/>
      <c r="D34" s="2132"/>
      <c r="E34" s="2132"/>
      <c r="F34" s="2132"/>
      <c r="G34" s="2132"/>
      <c r="H34" s="2132"/>
      <c r="I34" s="2044"/>
      <c r="J34" s="2044"/>
      <c r="K34" s="1797">
        <f>COUNTIF(B34:H34,"——")</f>
        <v>0</v>
      </c>
      <c r="L34" s="2073" t="s">
        <v>1834</v>
      </c>
      <c r="M34" s="2073" t="s">
        <v>1835</v>
      </c>
      <c r="N34" s="2073" t="s">
        <v>1836</v>
      </c>
      <c r="O34" s="2073" t="s">
        <v>1837</v>
      </c>
      <c r="P34" s="2073" t="s">
        <v>1838</v>
      </c>
      <c r="Q34" s="2073" t="s">
        <v>1839</v>
      </c>
      <c r="R34" s="2073" t="s">
        <v>1840</v>
      </c>
      <c r="S34" s="3016" t="s">
        <v>1841</v>
      </c>
      <c r="T34" s="2133" t="str">
        <f>NUMBERSTRING(7-K34,1)&amp;"通"</f>
        <v>七通</v>
      </c>
      <c r="U34" s="2031"/>
      <c r="V34" s="2031"/>
    </row>
    <row r="35" spans="1:22" ht="18" customHeight="1">
      <c r="A35" s="2134"/>
      <c r="B35" s="3023" t="s">
        <v>1842</v>
      </c>
      <c r="C35" s="3023"/>
      <c r="D35" s="3023"/>
      <c r="E35" s="3023"/>
      <c r="F35" s="2135" t="str">
        <f>C10</f>
        <v>江苏省</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6"/>
      <c r="T35" s="48" t="str">
        <f>IF(T34="一通",L35,IF(T34="二通",M35,IF(T34="三通",N35,IF(T34="四通",O35,IF(T34="五通",P35,IF(T34="六通",Q35,R35))))))</f>
        <v>、、、、、、</v>
      </c>
      <c r="U35" s="2031"/>
      <c r="V35" s="2031"/>
    </row>
    <row r="36" spans="1:22" ht="18" customHeight="1">
      <c r="A36" s="2136"/>
      <c r="B36" s="2135" t="s">
        <v>1843</v>
      </c>
      <c r="C36" s="2135" t="s">
        <v>1844</v>
      </c>
      <c r="D36" s="2135" t="s">
        <v>1845</v>
      </c>
      <c r="E36" s="2135" t="s">
        <v>1846</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1847</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1848</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1850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1851</v>
      </c>
      <c r="B42" s="1797" t="s">
        <v>1852</v>
      </c>
      <c r="C42" s="1797" t="s">
        <v>1853</v>
      </c>
      <c r="D42" s="1797" t="s">
        <v>1854</v>
      </c>
      <c r="E42" s="1797" t="s">
        <v>1855</v>
      </c>
      <c r="F42" s="1797" t="s">
        <v>1856</v>
      </c>
      <c r="G42" s="1797" t="s">
        <v>1857</v>
      </c>
      <c r="H42" s="1797" t="s">
        <v>1858</v>
      </c>
      <c r="I42" s="1797" t="s">
        <v>1859</v>
      </c>
      <c r="J42" s="2151" t="s">
        <v>1860</v>
      </c>
      <c r="K42" s="2074" t="s">
        <v>1861</v>
      </c>
      <c r="L42" s="2074" t="s">
        <v>1862</v>
      </c>
      <c r="M42" s="2074" t="s">
        <v>1863</v>
      </c>
      <c r="N42" s="1797" t="s">
        <v>1864</v>
      </c>
      <c r="O42" s="1797" t="s">
        <v>1865</v>
      </c>
      <c r="P42" s="1797" t="s">
        <v>1866</v>
      </c>
      <c r="Q42" s="2073" t="s">
        <v>1867</v>
      </c>
      <c r="R42" s="2073" t="s">
        <v>1868</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1871</v>
      </c>
      <c r="B2" s="11" t="s">
        <v>1872</v>
      </c>
      <c r="C2" s="11" t="s">
        <v>1873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1874</v>
      </c>
      <c r="AZ2" s="1272" t="s">
        <v>1875</v>
      </c>
      <c r="BA2" s="11" t="s">
        <v>1876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44717</v>
      </c>
      <c r="B3" s="14">
        <f>IF(C3="否",G5-AT5,G5)</f>
        <v>99979.999999999971</v>
      </c>
      <c r="C3" s="2167" t="s">
        <v>1877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1878</v>
      </c>
      <c r="B5" s="1805"/>
      <c r="C5" s="1805"/>
      <c r="D5" s="1808"/>
      <c r="E5" s="16" t="s">
        <v>1</v>
      </c>
      <c r="F5" s="16">
        <f>SUM(F13:F587)</f>
        <v>0</v>
      </c>
      <c r="G5" s="16">
        <f>SUM(G13:G587)</f>
        <v>99979.999999999971</v>
      </c>
      <c r="H5" s="16">
        <f t="shared" ref="H5:AT5" si="0">SUM(H13:H656)</f>
        <v>56971.889999999985</v>
      </c>
      <c r="I5" s="16">
        <f t="shared" si="0"/>
        <v>30685.879999999961</v>
      </c>
      <c r="J5" s="16">
        <f t="shared" si="0"/>
        <v>0</v>
      </c>
      <c r="K5" s="16">
        <f t="shared" si="0"/>
        <v>26286.010000000013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43008.11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39635.32</v>
      </c>
      <c r="AM5" s="16">
        <f t="shared" si="0"/>
        <v>0</v>
      </c>
      <c r="AN5" s="16">
        <f t="shared" si="0"/>
        <v>3372.7900000000004</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65305.219999999972</v>
      </c>
      <c r="BA5" s="18">
        <f t="shared" si="1"/>
        <v>56971.889999999985</v>
      </c>
      <c r="BB5" s="18">
        <f t="shared" si="1"/>
        <v>30685.879999999961</v>
      </c>
      <c r="BC5" s="18">
        <f t="shared" si="1"/>
        <v>26286.010000000013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8333.33</v>
      </c>
      <c r="BM5" s="18">
        <f t="shared" si="1"/>
        <v>0</v>
      </c>
      <c r="BN5" s="18">
        <f t="shared" si="1"/>
        <v>0</v>
      </c>
      <c r="BO5" s="18">
        <f t="shared" si="1"/>
        <v>0</v>
      </c>
      <c r="BP5" s="18">
        <f t="shared" si="1"/>
        <v>0</v>
      </c>
      <c r="BQ5" s="18">
        <f t="shared" si="1"/>
        <v>4960.54</v>
      </c>
      <c r="BR5" s="18">
        <f t="shared" si="1"/>
        <v>3372.7900000000004</v>
      </c>
      <c r="BS5" s="18">
        <f t="shared" si="1"/>
        <v>0</v>
      </c>
      <c r="BT5" s="19">
        <f t="shared" si="1"/>
        <v>0</v>
      </c>
    </row>
    <row r="6" spans="1:72" s="2176" customFormat="1" ht="12.75">
      <c r="A6" s="15" t="s">
        <v>1879</v>
      </c>
      <c r="B6" s="2173"/>
      <c r="C6" s="2173"/>
      <c r="D6" s="2174"/>
      <c r="E6" s="16">
        <f>H6+AC6+AT6</f>
        <v>44717</v>
      </c>
      <c r="F6" s="16" t="s">
        <v>1</v>
      </c>
      <c r="G6" s="16" t="s">
        <v>2</v>
      </c>
      <c r="H6" s="20">
        <f>SUMIF(I$12:AB$12,"总值",I6:AB6)</f>
        <v>25481.22</v>
      </c>
      <c r="I6" s="16">
        <f t="shared" ref="I6:AB6" si="2">ROUND($A$3*I5/$B$3,2)</f>
        <v>13724.55</v>
      </c>
      <c r="J6" s="16">
        <f t="shared" si="2"/>
        <v>0</v>
      </c>
      <c r="K6" s="16">
        <f t="shared" si="2"/>
        <v>11756.67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19235.78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17727.27</v>
      </c>
      <c r="AM6" s="16">
        <f t="shared" si="3"/>
        <v>0</v>
      </c>
      <c r="AN6" s="16">
        <f t="shared" si="3"/>
        <v>1508.51</v>
      </c>
      <c r="AO6" s="16">
        <f t="shared" si="3"/>
        <v>0</v>
      </c>
      <c r="AP6" s="16">
        <f t="shared" si="3"/>
        <v>0</v>
      </c>
      <c r="AQ6" s="16">
        <f t="shared" si="3"/>
        <v>0</v>
      </c>
      <c r="AR6" s="16">
        <f t="shared" si="3"/>
        <v>0</v>
      </c>
      <c r="AS6" s="16">
        <f t="shared" si="3"/>
        <v>0</v>
      </c>
      <c r="AT6" s="20">
        <f>IF(C3="是",ROUND($A$3*AT5/$B$3,2),0)</f>
        <v>0</v>
      </c>
      <c r="AU6" s="2175"/>
      <c r="AV6" s="15" t="s">
        <v>1879</v>
      </c>
      <c r="AW6" s="2173"/>
      <c r="AX6" s="2173"/>
      <c r="AY6" s="21">
        <f>IF(AY3&gt;0,AY3,ROUND($A$3*AZ5/$B$3,2))</f>
        <v>29208.38</v>
      </c>
      <c r="AZ6" s="16" t="s">
        <v>3</v>
      </c>
      <c r="BA6" s="16">
        <f>ROUND($AY$6*BA5/$AZ$5,2)</f>
        <v>25481.22</v>
      </c>
      <c r="BB6" s="16">
        <f>ROUND($AY$6*BB5/$AZ$5,2)</f>
        <v>13724.55</v>
      </c>
      <c r="BC6" s="16">
        <f t="shared" ref="BC6:BH6" si="4">ROUND($AY$6*BC5/$AZ$5,2)</f>
        <v>11756.67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3727.16</v>
      </c>
      <c r="BM6" s="16">
        <f t="shared" si="5"/>
        <v>0</v>
      </c>
      <c r="BN6" s="16">
        <f t="shared" si="5"/>
        <v>0</v>
      </c>
      <c r="BO6" s="16">
        <f t="shared" si="5"/>
        <v>0</v>
      </c>
      <c r="BP6" s="16">
        <f t="shared" si="5"/>
        <v>0</v>
      </c>
      <c r="BQ6" s="16">
        <f t="shared" si="5"/>
        <v>2218.65</v>
      </c>
      <c r="BR6" s="16">
        <f t="shared" si="5"/>
        <v>1508.51</v>
      </c>
      <c r="BS6" s="16">
        <f t="shared" si="5"/>
        <v>0</v>
      </c>
      <c r="BT6" s="22">
        <f t="shared" si="5"/>
        <v>0</v>
      </c>
    </row>
    <row r="7" spans="1:72" s="2166" customFormat="1" ht="24.75">
      <c r="A7" s="2108" t="s">
        <v>1880</v>
      </c>
      <c r="B7" s="2108" t="s">
        <v>1881</v>
      </c>
      <c r="C7" s="2108" t="s">
        <v>1882</v>
      </c>
      <c r="D7" s="2108" t="s">
        <v>1883</v>
      </c>
      <c r="E7" s="2108" t="s">
        <v>1884</v>
      </c>
      <c r="F7" s="2108" t="s">
        <v>1885</v>
      </c>
      <c r="G7" s="2177" t="s">
        <v>1886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1887</v>
      </c>
      <c r="AV7" s="23" t="s">
        <v>1888</v>
      </c>
      <c r="AW7" s="2165" t="s">
        <v>1889</v>
      </c>
      <c r="AX7" s="23" t="s">
        <v>1882</v>
      </c>
      <c r="AY7" s="1805" t="s">
        <v>1890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1891</v>
      </c>
      <c r="H8" s="2183" t="s">
        <v>1892</v>
      </c>
      <c r="I8" s="2184"/>
      <c r="J8" s="1820"/>
      <c r="K8" s="1820"/>
      <c r="L8" s="1820"/>
      <c r="M8" s="1820"/>
      <c r="N8" s="1820"/>
      <c r="O8" s="1820"/>
      <c r="P8" s="1820"/>
      <c r="Q8" s="1820"/>
      <c r="R8" s="1820"/>
      <c r="S8" s="1820"/>
      <c r="T8" s="1820"/>
      <c r="U8" s="1820"/>
      <c r="V8" s="2185"/>
      <c r="W8" s="1820"/>
      <c r="X8" s="1820"/>
      <c r="Y8" s="1820"/>
      <c r="Z8" s="1820"/>
      <c r="AA8" s="2185"/>
      <c r="AB8" s="2186"/>
      <c r="AC8" s="983" t="s">
        <v>1893</v>
      </c>
      <c r="AD8" s="2187"/>
      <c r="AE8" s="2179"/>
      <c r="AF8" s="1820"/>
      <c r="AG8" s="1820"/>
      <c r="AH8" s="1820"/>
      <c r="AI8" s="1820"/>
      <c r="AJ8" s="1820"/>
      <c r="AK8" s="1820"/>
      <c r="AL8" s="1820"/>
      <c r="AM8" s="1820"/>
      <c r="AN8" s="1820"/>
      <c r="AO8" s="1820"/>
      <c r="AP8" s="1820"/>
      <c r="AQ8" s="1820"/>
      <c r="AR8" s="1820"/>
      <c r="AS8" s="1820"/>
      <c r="AT8" s="1294" t="s">
        <v>1894</v>
      </c>
      <c r="AU8" s="2181" t="s">
        <v>1895</v>
      </c>
      <c r="AV8" s="1294"/>
      <c r="AW8" s="2164"/>
      <c r="AX8" s="1294"/>
      <c r="AY8" s="2165"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1898</v>
      </c>
      <c r="I9" s="2190" t="s">
        <v>3078</v>
      </c>
      <c r="J9" s="983"/>
      <c r="K9" s="2190" t="s">
        <v>3078</v>
      </c>
      <c r="L9" s="983"/>
      <c r="M9" s="2190" t="s">
        <v>3119</v>
      </c>
      <c r="N9" s="983"/>
      <c r="O9" s="2190"/>
      <c r="P9" s="983"/>
      <c r="Q9" s="2190"/>
      <c r="R9" s="983"/>
      <c r="S9" s="2190"/>
      <c r="T9" s="983"/>
      <c r="U9" s="2190"/>
      <c r="V9" s="983"/>
      <c r="W9" s="2190"/>
      <c r="X9" s="2191"/>
      <c r="Y9" s="2190"/>
      <c r="Z9" s="983"/>
      <c r="AA9" s="2190"/>
      <c r="AB9" s="983"/>
      <c r="AC9" s="2182"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2"/>
      <c r="AT9" s="2181"/>
      <c r="AU9" s="2181" t="s">
        <v>1901</v>
      </c>
      <c r="AV9" s="1294"/>
      <c r="AW9" s="2164"/>
      <c r="AX9" s="1294"/>
      <c r="AY9" s="28"/>
      <c r="AZ9" s="28" t="s">
        <v>1891</v>
      </c>
      <c r="BA9" s="2193" t="s">
        <v>1902</v>
      </c>
      <c r="BB9" s="2194"/>
      <c r="BC9" s="1340"/>
      <c r="BD9" s="1340"/>
      <c r="BE9" s="1340"/>
      <c r="BF9" s="1340"/>
      <c r="BG9" s="1340"/>
      <c r="BH9" s="1340"/>
      <c r="BI9" s="1340"/>
      <c r="BJ9" s="1340"/>
      <c r="BK9" s="2195"/>
      <c r="BL9" s="15" t="s">
        <v>1903</v>
      </c>
      <c r="BM9" s="1820"/>
      <c r="BN9" s="2184"/>
      <c r="BO9" s="1820"/>
      <c r="BP9" s="1820"/>
      <c r="BQ9" s="1820"/>
      <c r="BR9" s="1820"/>
      <c r="BS9" s="1820"/>
      <c r="BT9" s="26"/>
    </row>
    <row r="10" spans="1:72" s="2188" customFormat="1" ht="12.75">
      <c r="A10" s="2181"/>
      <c r="B10" s="2181"/>
      <c r="C10" s="2181"/>
      <c r="D10" s="2181"/>
      <c r="E10" s="2181"/>
      <c r="F10" s="2181"/>
      <c r="G10" s="1294"/>
      <c r="H10" s="28"/>
      <c r="I10" s="2190" t="s">
        <v>3079</v>
      </c>
      <c r="J10" s="983"/>
      <c r="K10" s="2190" t="s">
        <v>3079</v>
      </c>
      <c r="L10" s="983"/>
      <c r="M10" s="2196" t="s">
        <v>3120</v>
      </c>
      <c r="N10" s="983"/>
      <c r="O10" s="2196"/>
      <c r="P10" s="983"/>
      <c r="Q10" s="2196"/>
      <c r="R10" s="983"/>
      <c r="S10" s="2196"/>
      <c r="T10" s="983"/>
      <c r="U10" s="2196"/>
      <c r="V10" s="983"/>
      <c r="W10" s="2196"/>
      <c r="X10" s="983"/>
      <c r="Y10" s="2196"/>
      <c r="Z10" s="983"/>
      <c r="AA10" s="2196"/>
      <c r="AB10" s="983"/>
      <c r="AC10" s="1294"/>
      <c r="AD10" s="15" t="s">
        <v>1904</v>
      </c>
      <c r="AE10" s="2197"/>
      <c r="AF10" s="15" t="s">
        <v>1904</v>
      </c>
      <c r="AG10" s="2197"/>
      <c r="AH10" s="15" t="s">
        <v>1905</v>
      </c>
      <c r="AI10" s="2197"/>
      <c r="AJ10" s="15" t="s">
        <v>1905</v>
      </c>
      <c r="AK10" s="2197"/>
      <c r="AL10" s="15" t="s">
        <v>1906</v>
      </c>
      <c r="AM10" s="1300"/>
      <c r="AN10" s="15" t="s">
        <v>1906</v>
      </c>
      <c r="AO10" s="1300"/>
      <c r="AP10" s="15" t="s">
        <v>1907</v>
      </c>
      <c r="AQ10" s="1300"/>
      <c r="AR10" s="15" t="s">
        <v>1907</v>
      </c>
      <c r="AS10" s="1300"/>
      <c r="AT10" s="2181"/>
      <c r="AU10" s="2181"/>
      <c r="AV10" s="1294"/>
      <c r="AW10" s="2164"/>
      <c r="AX10" s="1294"/>
      <c r="AY10" s="28"/>
      <c r="AZ10" s="28"/>
      <c r="BA10" s="2198" t="s">
        <v>1898</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3082</v>
      </c>
      <c r="J11" s="2202"/>
      <c r="K11" s="2201" t="s">
        <v>3080</v>
      </c>
      <c r="L11" s="2202"/>
      <c r="M11" s="2201" t="s">
        <v>3120</v>
      </c>
      <c r="N11" s="2202"/>
      <c r="O11" s="2201"/>
      <c r="P11" s="2202"/>
      <c r="Q11" s="2201"/>
      <c r="R11" s="2202"/>
      <c r="S11" s="2201"/>
      <c r="T11" s="2202"/>
      <c r="U11" s="2201"/>
      <c r="V11" s="2202"/>
      <c r="W11" s="2201"/>
      <c r="X11" s="2202"/>
      <c r="Y11" s="2201"/>
      <c r="Z11" s="2202"/>
      <c r="AA11" s="2201"/>
      <c r="AB11" s="2202"/>
      <c r="AC11" s="1294"/>
      <c r="AD11" s="2203" t="s">
        <v>1908</v>
      </c>
      <c r="AE11" s="1821"/>
      <c r="AF11" s="2203" t="s">
        <v>1908</v>
      </c>
      <c r="AG11" s="1821"/>
      <c r="AH11" s="2203" t="s">
        <v>1909</v>
      </c>
      <c r="AI11" s="2204"/>
      <c r="AJ11" s="2203" t="s">
        <v>1909</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t="str">
        <f>K10</f>
        <v>住宅</v>
      </c>
      <c r="BD11" s="2186" t="str">
        <f>M10</f>
        <v>车库</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8"/>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6" t="s">
        <v>1911</v>
      </c>
      <c r="AT12" s="2209"/>
      <c r="AU12" s="2206"/>
      <c r="AV12" s="31"/>
      <c r="AW12" s="2165"/>
      <c r="AX12" s="31"/>
      <c r="AY12" s="2210"/>
      <c r="AZ12" s="28"/>
      <c r="BA12" s="2198"/>
      <c r="BB12" s="24" t="str">
        <f>I11</f>
        <v>高层</v>
      </c>
      <c r="BC12" s="2211" t="str">
        <f>K11</f>
        <v>小高层</v>
      </c>
      <c r="BD12" s="2211" t="str">
        <f>M11</f>
        <v>车库</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t="str">
        <f>Sheet1!K2</f>
        <v>1#</v>
      </c>
      <c r="D13" s="2212" t="s">
        <v>3126</v>
      </c>
      <c r="E13" s="16">
        <f>IF($C$3="是",ROUND($A$3*G13/$B$3,2),ROUND($A$3*(G13-AT13)/$B$3,2))</f>
        <v>4077.4</v>
      </c>
      <c r="F13" s="32"/>
      <c r="G13" s="33">
        <f>H13+AC13+AT13</f>
        <v>9116.3999999999942</v>
      </c>
      <c r="H13" s="20">
        <f>SUMIF(I$12:AB$12,"总值",I13:AB13)</f>
        <v>8567.6599999999944</v>
      </c>
      <c r="I13" s="2213">
        <f>Sheet1!L2</f>
        <v>8567.6599999999944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548.74</v>
      </c>
      <c r="AD13" s="2214"/>
      <c r="AE13" s="2214"/>
      <c r="AF13" s="2214"/>
      <c r="AG13" s="2214"/>
      <c r="AH13" s="2214"/>
      <c r="AI13" s="2214"/>
      <c r="AJ13" s="2214"/>
      <c r="AK13" s="2214"/>
      <c r="AL13" s="2214">
        <f>Sheet1!M2</f>
        <v>548.74</v>
      </c>
      <c r="AM13" s="2214"/>
      <c r="AN13" s="2214">
        <f>Sheet1!N2</f>
        <v>0</v>
      </c>
      <c r="AO13" s="2214"/>
      <c r="AP13" s="2214"/>
      <c r="AQ13" s="2214"/>
      <c r="AR13" s="2214"/>
      <c r="AS13" s="2214"/>
      <c r="AT13" s="2215"/>
      <c r="AU13" s="2216"/>
      <c r="AV13" s="11">
        <f t="shared" ref="AV13:AX17" si="6">A13</f>
        <v>0</v>
      </c>
      <c r="AW13" s="11">
        <f t="shared" si="6"/>
        <v>0</v>
      </c>
      <c r="AX13" s="11" t="str">
        <f t="shared" si="6"/>
        <v>1#</v>
      </c>
      <c r="AY13" s="1808">
        <f>ROUND($AY$6*AZ13/$AZ$5,2)</f>
        <v>4077.4</v>
      </c>
      <c r="AZ13" s="16">
        <f>BA13+BL13</f>
        <v>9116.3999999999942</v>
      </c>
      <c r="BA13" s="16">
        <f>SUM(BB13:BK13)</f>
        <v>8567.6599999999944</v>
      </c>
      <c r="BB13" s="16">
        <f>IF($D13="是",I13-J13,0)</f>
        <v>8567.6599999999944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548.74</v>
      </c>
      <c r="BM13" s="16">
        <f>IF($D13="是",AD13-AE13,0)</f>
        <v>0</v>
      </c>
      <c r="BN13" s="16">
        <f>IF($D13="是",AF13-AG13,0)</f>
        <v>0</v>
      </c>
      <c r="BO13" s="16">
        <f>IF($D13="是",AH13-AI13,0)</f>
        <v>0</v>
      </c>
      <c r="BP13" s="16">
        <f>IF($D13="是",AJ13-AK13,0)</f>
        <v>0</v>
      </c>
      <c r="BQ13" s="16">
        <f>IF($D13="是",AL13-AM13,0)</f>
        <v>548.74</v>
      </c>
      <c r="BR13" s="16">
        <f>IF($D13="是",AN13-AO13,0)</f>
        <v>0</v>
      </c>
      <c r="BS13" s="16">
        <f>IF($D13="是",AP13-AQ13,0)</f>
        <v>0</v>
      </c>
      <c r="BT13" s="22">
        <f>IF($D13="是",AR13-AS13,0)</f>
        <v>0</v>
      </c>
    </row>
    <row r="14" spans="1:72" s="2166" customFormat="1" ht="12.75">
      <c r="A14" s="1274"/>
      <c r="B14" s="1274"/>
      <c r="C14" s="1274" t="str">
        <f>Sheet1!K3</f>
        <v>6#</v>
      </c>
      <c r="D14" s="2212" t="s">
        <v>3126</v>
      </c>
      <c r="E14" s="16">
        <f>IF($C$3="是",ROUND($A$3*G14/$B$3,2),ROUND($A$3*(G14-AT14)/$B$3,2))</f>
        <v>1890.85</v>
      </c>
      <c r="F14" s="32"/>
      <c r="G14" s="33">
        <f>H14+AC14+AT14</f>
        <v>4227.6300000000037</v>
      </c>
      <c r="H14" s="20">
        <f>SUMIF(I$12:AB$12,"总值",I14:AB14)</f>
        <v>3169.0800000000036</v>
      </c>
      <c r="I14" s="2213"/>
      <c r="J14" s="2213"/>
      <c r="K14" s="2213">
        <f>Sheet1!L3</f>
        <v>3169.0800000000036</v>
      </c>
      <c r="L14" s="2213"/>
      <c r="M14" s="2213"/>
      <c r="N14" s="2213"/>
      <c r="O14" s="2213"/>
      <c r="P14" s="2213"/>
      <c r="Q14" s="2213"/>
      <c r="R14" s="2213"/>
      <c r="S14" s="2213"/>
      <c r="T14" s="2213"/>
      <c r="U14" s="2213"/>
      <c r="V14" s="2213"/>
      <c r="W14" s="2213"/>
      <c r="X14" s="2213"/>
      <c r="Y14" s="2213"/>
      <c r="Z14" s="2213"/>
      <c r="AA14" s="2213"/>
      <c r="AB14" s="2213"/>
      <c r="AC14" s="16">
        <f>SUMIF(AD$12:AS$12,"总值",AD14:AS14)</f>
        <v>1058.55</v>
      </c>
      <c r="AD14" s="2214"/>
      <c r="AE14" s="2214"/>
      <c r="AF14" s="2214"/>
      <c r="AG14" s="2214"/>
      <c r="AH14" s="2214"/>
      <c r="AI14" s="2214"/>
      <c r="AJ14" s="2214"/>
      <c r="AK14" s="2214"/>
      <c r="AL14" s="2214">
        <f>Sheet1!M3</f>
        <v>513.04</v>
      </c>
      <c r="AM14" s="2214"/>
      <c r="AN14" s="2214">
        <f>Sheet1!N3</f>
        <v>545.51</v>
      </c>
      <c r="AO14" s="2214"/>
      <c r="AP14" s="2214"/>
      <c r="AQ14" s="2214"/>
      <c r="AR14" s="2214"/>
      <c r="AS14" s="2214"/>
      <c r="AT14" s="2215"/>
      <c r="AU14" s="2216"/>
      <c r="AV14" s="11">
        <f t="shared" si="6"/>
        <v>0</v>
      </c>
      <c r="AW14" s="11">
        <f t="shared" si="6"/>
        <v>0</v>
      </c>
      <c r="AX14" s="11" t="str">
        <f t="shared" si="6"/>
        <v>6#</v>
      </c>
      <c r="AY14" s="1808">
        <f>ROUND($AY$6*AZ14/$AZ$5,2)</f>
        <v>1890.85</v>
      </c>
      <c r="AZ14" s="16">
        <f>BA14+BL14</f>
        <v>4227.6300000000037</v>
      </c>
      <c r="BA14" s="16">
        <f>SUM(BB14:BK14)</f>
        <v>3169.0800000000036</v>
      </c>
      <c r="BB14" s="16">
        <f>IF($D14="是",I14-J14,0)</f>
        <v>0</v>
      </c>
      <c r="BC14" s="16">
        <f>IF($D14="是",K14-L14,0)</f>
        <v>3169.0800000000036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1058.55</v>
      </c>
      <c r="BM14" s="16">
        <f>IF($D14="是",AD14-AE14,0)</f>
        <v>0</v>
      </c>
      <c r="BN14" s="16">
        <f>IF($D14="是",AF14-AG14,0)</f>
        <v>0</v>
      </c>
      <c r="BO14" s="16">
        <f>IF($D14="是",AH14-AI14,0)</f>
        <v>0</v>
      </c>
      <c r="BP14" s="16">
        <f>IF($D14="是",AJ14-AK14,0)</f>
        <v>0</v>
      </c>
      <c r="BQ14" s="16">
        <f>IF($D14="是",AL14-AM14,0)</f>
        <v>513.04</v>
      </c>
      <c r="BR14" s="16">
        <f>IF($D14="是",AN14-AO14,0)</f>
        <v>545.51</v>
      </c>
      <c r="BS14" s="16">
        <f>IF($D14="是",AP14-AQ14,0)</f>
        <v>0</v>
      </c>
      <c r="BT14" s="22">
        <f>IF($D14="是",AR14-AS14,0)</f>
        <v>0</v>
      </c>
    </row>
    <row r="15" spans="1:72" s="2166" customFormat="1" ht="12.75">
      <c r="A15" s="1274"/>
      <c r="B15" s="1274"/>
      <c r="C15" s="1274" t="str">
        <f>Sheet1!K4</f>
        <v>8#</v>
      </c>
      <c r="D15" s="2212" t="s">
        <v>3126</v>
      </c>
      <c r="E15" s="16">
        <f>IF($C$3="是",ROUND($A$3*G15/$B$3,2),ROUND($A$3*(G15-AT15)/$B$3,2))</f>
        <v>1558.4</v>
      </c>
      <c r="F15" s="32"/>
      <c r="G15" s="33">
        <f>H15+AC15+AT15</f>
        <v>3484.3200000000015</v>
      </c>
      <c r="H15" s="20">
        <f>SUMIF(I$12:AB$12,"总值",I15:AB15)</f>
        <v>2526.6400000000012</v>
      </c>
      <c r="I15" s="2213"/>
      <c r="J15" s="2213"/>
      <c r="K15" s="2213">
        <f>Sheet1!L4</f>
        <v>2526.6400000000012</v>
      </c>
      <c r="L15" s="2213"/>
      <c r="M15" s="2213"/>
      <c r="N15" s="2213"/>
      <c r="O15" s="2213"/>
      <c r="P15" s="2213"/>
      <c r="Q15" s="2213"/>
      <c r="R15" s="2213"/>
      <c r="S15" s="2213"/>
      <c r="T15" s="2213"/>
      <c r="U15" s="2213"/>
      <c r="V15" s="2213"/>
      <c r="W15" s="2213"/>
      <c r="X15" s="2213"/>
      <c r="Y15" s="2213"/>
      <c r="Z15" s="2213"/>
      <c r="AA15" s="2213"/>
      <c r="AB15" s="2213"/>
      <c r="AC15" s="16">
        <f>SUMIF(AD$12:AS$12,"总值",AD15:AS15)</f>
        <v>957.68000000000006</v>
      </c>
      <c r="AD15" s="2214"/>
      <c r="AE15" s="2214"/>
      <c r="AF15" s="2214"/>
      <c r="AG15" s="2214"/>
      <c r="AH15" s="2214"/>
      <c r="AI15" s="2214"/>
      <c r="AJ15" s="2214"/>
      <c r="AK15" s="2214"/>
      <c r="AL15" s="2214">
        <f>Sheet1!M4</f>
        <v>414.98</v>
      </c>
      <c r="AM15" s="2214"/>
      <c r="AN15" s="2214">
        <f>Sheet1!N4</f>
        <v>542.70000000000005</v>
      </c>
      <c r="AO15" s="2214"/>
      <c r="AP15" s="2214"/>
      <c r="AQ15" s="2214"/>
      <c r="AR15" s="2214"/>
      <c r="AS15" s="2214"/>
      <c r="AT15" s="2215"/>
      <c r="AU15" s="2216"/>
      <c r="AV15" s="11">
        <f t="shared" si="6"/>
        <v>0</v>
      </c>
      <c r="AW15" s="11">
        <f t="shared" si="6"/>
        <v>0</v>
      </c>
      <c r="AX15" s="11" t="str">
        <f t="shared" si="6"/>
        <v>8#</v>
      </c>
      <c r="AY15" s="1808">
        <f>ROUND($AY$6*AZ15/$AZ$5,2)</f>
        <v>1558.4</v>
      </c>
      <c r="AZ15" s="16">
        <f>BA15+BL15</f>
        <v>3484.3200000000015</v>
      </c>
      <c r="BA15" s="16">
        <f>SUM(BB15:BK15)</f>
        <v>2526.6400000000012</v>
      </c>
      <c r="BB15" s="16">
        <f>IF($D15="是",I15-J15,0)</f>
        <v>0</v>
      </c>
      <c r="BC15" s="16">
        <f>IF($D15="是",K15-L15,0)</f>
        <v>2526.6400000000012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957.68000000000006</v>
      </c>
      <c r="BM15" s="16">
        <f>IF($D15="是",AD15-AE15,0)</f>
        <v>0</v>
      </c>
      <c r="BN15" s="16">
        <f>IF($D15="是",AF15-AG15,0)</f>
        <v>0</v>
      </c>
      <c r="BO15" s="16">
        <f>IF($D15="是",AH15-AI15,0)</f>
        <v>0</v>
      </c>
      <c r="BP15" s="16">
        <f>IF($D15="是",AJ15-AK15,0)</f>
        <v>0</v>
      </c>
      <c r="BQ15" s="16">
        <f>IF($D15="是",AL15-AM15,0)</f>
        <v>414.98</v>
      </c>
      <c r="BR15" s="16">
        <f>IF($D15="是",AN15-AO15,0)</f>
        <v>542.70000000000005</v>
      </c>
      <c r="BS15" s="16">
        <f>IF($D15="是",AP15-AQ15,0)</f>
        <v>0</v>
      </c>
      <c r="BT15" s="22">
        <f>IF($D15="是",AR15-AS15,0)</f>
        <v>0</v>
      </c>
    </row>
    <row r="16" spans="1:72" s="2166" customFormat="1" ht="12.75">
      <c r="A16" s="1274"/>
      <c r="B16" s="1274"/>
      <c r="C16" s="1274" t="str">
        <f>Sheet1!K5</f>
        <v>9#</v>
      </c>
      <c r="D16" s="2212" t="s">
        <v>3126</v>
      </c>
      <c r="E16" s="16">
        <f>IF($C$3="是",ROUND($A$3*G16/$B$3,2),ROUND($A$3*(G16-AT16)/$B$3,2))</f>
        <v>2379.13</v>
      </c>
      <c r="F16" s="32"/>
      <c r="G16" s="33">
        <f>H16+AC16+AT16</f>
        <v>5319.3600000000024</v>
      </c>
      <c r="H16" s="20">
        <f>SUMIF(I$12:AB$12,"总值",I16:AB16)</f>
        <v>4548.7300000000023</v>
      </c>
      <c r="I16" s="2213"/>
      <c r="J16" s="2213"/>
      <c r="K16" s="2213">
        <f>Sheet1!L5</f>
        <v>4548.7300000000023</v>
      </c>
      <c r="L16" s="2213"/>
      <c r="M16" s="2213"/>
      <c r="N16" s="2213"/>
      <c r="O16" s="2213"/>
      <c r="P16" s="2213"/>
      <c r="Q16" s="2213"/>
      <c r="R16" s="2213"/>
      <c r="S16" s="2213"/>
      <c r="T16" s="2213"/>
      <c r="U16" s="2213"/>
      <c r="V16" s="2213"/>
      <c r="W16" s="2213"/>
      <c r="X16" s="2213"/>
      <c r="Y16" s="2213"/>
      <c r="Z16" s="2213"/>
      <c r="AA16" s="2213"/>
      <c r="AB16" s="2213"/>
      <c r="AC16" s="16">
        <f>SUMIF(AD$12:AS$12,"总值",AD16:AS16)</f>
        <v>770.63000000000011</v>
      </c>
      <c r="AD16" s="2214"/>
      <c r="AE16" s="2214"/>
      <c r="AF16" s="2214"/>
      <c r="AG16" s="2214"/>
      <c r="AH16" s="2214"/>
      <c r="AI16" s="2214"/>
      <c r="AJ16" s="2214"/>
      <c r="AK16" s="2214"/>
      <c r="AL16" s="2214">
        <f>Sheet1!M5</f>
        <v>0</v>
      </c>
      <c r="AM16" s="2214"/>
      <c r="AN16" s="2214">
        <f>Sheet1!N5</f>
        <v>770.63000000000011</v>
      </c>
      <c r="AO16" s="2214"/>
      <c r="AP16" s="2214"/>
      <c r="AQ16" s="2214"/>
      <c r="AR16" s="2214"/>
      <c r="AS16" s="2214"/>
      <c r="AT16" s="2215"/>
      <c r="AU16" s="2216"/>
      <c r="AV16" s="11">
        <f t="shared" si="6"/>
        <v>0</v>
      </c>
      <c r="AW16" s="11">
        <f t="shared" si="6"/>
        <v>0</v>
      </c>
      <c r="AX16" s="11" t="str">
        <f t="shared" si="6"/>
        <v>9#</v>
      </c>
      <c r="AY16" s="1808">
        <f>ROUND($AY$6*AZ16/$AZ$5,2)</f>
        <v>2379.13</v>
      </c>
      <c r="AZ16" s="16">
        <f>BA16+BL16</f>
        <v>5319.3600000000024</v>
      </c>
      <c r="BA16" s="16">
        <f>SUM(BB16:BK16)</f>
        <v>4548.7300000000023</v>
      </c>
      <c r="BB16" s="16">
        <f>IF($D16="是",I16-J16,0)</f>
        <v>0</v>
      </c>
      <c r="BC16" s="16">
        <f>IF($D16="是",K16-L16,0)</f>
        <v>4548.7300000000023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770.63000000000011</v>
      </c>
      <c r="BM16" s="16">
        <f>IF($D16="是",AD16-AE16,0)</f>
        <v>0</v>
      </c>
      <c r="BN16" s="16">
        <f>IF($D16="是",AF16-AG16,0)</f>
        <v>0</v>
      </c>
      <c r="BO16" s="16">
        <f>IF($D16="是",AH16-AI16,0)</f>
        <v>0</v>
      </c>
      <c r="BP16" s="16">
        <f>IF($D16="是",AJ16-AK16,0)</f>
        <v>0</v>
      </c>
      <c r="BQ16" s="16">
        <f>IF($D16="是",AL16-AM16,0)</f>
        <v>0</v>
      </c>
      <c r="BR16" s="16">
        <f>IF($D16="是",AN16-AO16,0)</f>
        <v>770.63000000000011</v>
      </c>
      <c r="BS16" s="16">
        <f>IF($D16="是",AP16-AQ16,0)</f>
        <v>0</v>
      </c>
      <c r="BT16" s="22">
        <f>IF($D16="是",AR16-AS16,0)</f>
        <v>0</v>
      </c>
    </row>
    <row r="17" spans="1:72" s="2166" customFormat="1" ht="12.75">
      <c r="A17" s="1274"/>
      <c r="B17" s="1274"/>
      <c r="C17" s="1274" t="str">
        <f>Sheet1!K6</f>
        <v>10#</v>
      </c>
      <c r="D17" s="2212" t="s">
        <v>3126</v>
      </c>
      <c r="E17" s="16">
        <f>IF($C$3="是",ROUND($A$3*G17/$B$3,2),ROUND($A$3*(G17-AT17)/$B$3,2))</f>
        <v>4997.76</v>
      </c>
      <c r="F17" s="32"/>
      <c r="G17" s="33">
        <f>H17+AC17+AT17</f>
        <v>11174.189999999986</v>
      </c>
      <c r="H17" s="20">
        <f>SUMIF(I$12:AB$12,"总值",I17:AB17)</f>
        <v>10473.699999999986</v>
      </c>
      <c r="I17" s="2213">
        <f>Sheet1!L6</f>
        <v>10473.699999999986</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700.49</v>
      </c>
      <c r="AD17" s="2214"/>
      <c r="AE17" s="2214"/>
      <c r="AF17" s="2214"/>
      <c r="AG17" s="2214"/>
      <c r="AH17" s="2214"/>
      <c r="AI17" s="2214"/>
      <c r="AJ17" s="2214"/>
      <c r="AK17" s="2214"/>
      <c r="AL17" s="2214">
        <f>Sheet1!M6</f>
        <v>700.49</v>
      </c>
      <c r="AM17" s="2214"/>
      <c r="AN17" s="2214">
        <f>Sheet1!N6</f>
        <v>0</v>
      </c>
      <c r="AO17" s="2214"/>
      <c r="AP17" s="2214"/>
      <c r="AQ17" s="2214"/>
      <c r="AR17" s="2214"/>
      <c r="AS17" s="2214"/>
      <c r="AT17" s="2215"/>
      <c r="AU17" s="2216"/>
      <c r="AV17" s="11">
        <f t="shared" si="6"/>
        <v>0</v>
      </c>
      <c r="AW17" s="11">
        <f t="shared" si="6"/>
        <v>0</v>
      </c>
      <c r="AX17" s="11" t="str">
        <f t="shared" si="6"/>
        <v>10#</v>
      </c>
      <c r="AY17" s="1808">
        <f>ROUND($AY$6*AZ17/$AZ$5,2)</f>
        <v>4997.76</v>
      </c>
      <c r="AZ17" s="16">
        <f>BA17+BL17</f>
        <v>11174.189999999986</v>
      </c>
      <c r="BA17" s="16">
        <f>SUM(BB17:BK17)</f>
        <v>10473.699999999986</v>
      </c>
      <c r="BB17" s="16">
        <f>IF($D17="是",I17-J17,0)</f>
        <v>10473.699999999986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700.49</v>
      </c>
      <c r="BM17" s="16">
        <f>IF($D17="是",AD17-AE17,0)</f>
        <v>0</v>
      </c>
      <c r="BN17" s="16">
        <f>IF($D17="是",AF17-AG17,0)</f>
        <v>0</v>
      </c>
      <c r="BO17" s="16">
        <f>IF($D17="是",AH17-AI17,0)</f>
        <v>0</v>
      </c>
      <c r="BP17" s="16">
        <f>IF($D17="是",AJ17-AK17,0)</f>
        <v>0</v>
      </c>
      <c r="BQ17" s="16">
        <f>IF($D17="是",AL17-AM17,0)</f>
        <v>700.49</v>
      </c>
      <c r="BR17" s="16">
        <f>IF($D17="是",AN17-AO17,0)</f>
        <v>0</v>
      </c>
      <c r="BS17" s="16">
        <f>IF($D17="是",AP17-AQ17,0)</f>
        <v>0</v>
      </c>
      <c r="BT17" s="22">
        <f>IF($D17="是",AR17-AS17,0)</f>
        <v>0</v>
      </c>
    </row>
    <row r="18" spans="1:72">
      <c r="A18" s="9"/>
      <c r="B18" s="1274"/>
      <c r="C18" s="1274" t="str">
        <f>Sheet1!K7</f>
        <v>11#</v>
      </c>
      <c r="D18" s="2212" t="s">
        <v>3126</v>
      </c>
      <c r="E18" s="35">
        <f t="shared" ref="E18:E112" si="7">IF($C$3="是",ROUND($A$3*G18/$B$3,2),ROUND($A$3*(G18-AT18)/$B$3,2))</f>
        <v>2114.46</v>
      </c>
      <c r="F18" s="36"/>
      <c r="G18" s="37">
        <f t="shared" ref="G18:G109" si="8">H18+AC18+AT18</f>
        <v>4727.6000000000004</v>
      </c>
      <c r="H18" s="38">
        <f t="shared" ref="H18:H109" si="9">SUMIF(I$12:AB$12,"总值",I18:AB18)</f>
        <v>3622.6000000000004</v>
      </c>
      <c r="I18" s="2213"/>
      <c r="J18" s="2213"/>
      <c r="K18" s="2213">
        <f>Sheet1!L7</f>
        <v>3622.6000000000004</v>
      </c>
      <c r="L18" s="2213"/>
      <c r="M18" s="2213"/>
      <c r="N18" s="2213"/>
      <c r="O18" s="2213"/>
      <c r="P18" s="39"/>
      <c r="Q18" s="39"/>
      <c r="R18" s="39"/>
      <c r="S18" s="39"/>
      <c r="T18" s="39"/>
      <c r="U18" s="39"/>
      <c r="V18" s="39"/>
      <c r="W18" s="39"/>
      <c r="X18" s="39"/>
      <c r="Y18" s="39"/>
      <c r="Z18" s="39"/>
      <c r="AA18" s="39"/>
      <c r="AB18" s="39"/>
      <c r="AC18" s="35">
        <f t="shared" ref="AC18:AC109" si="10">SUMIF(AD$12:AS$12,"总值",AD18:AS18)</f>
        <v>1105</v>
      </c>
      <c r="AD18" s="40"/>
      <c r="AE18" s="40"/>
      <c r="AF18" s="40"/>
      <c r="AG18" s="40"/>
      <c r="AH18" s="40"/>
      <c r="AI18" s="40"/>
      <c r="AJ18" s="40"/>
      <c r="AK18" s="40"/>
      <c r="AL18" s="2214">
        <f>Sheet1!M7</f>
        <v>513.04</v>
      </c>
      <c r="AM18" s="2214"/>
      <c r="AN18" s="2214">
        <f>Sheet1!N7</f>
        <v>591.96</v>
      </c>
      <c r="AO18" s="40"/>
      <c r="AP18" s="40"/>
      <c r="AQ18" s="40"/>
      <c r="AR18" s="40"/>
      <c r="AS18" s="40"/>
      <c r="AT18" s="41"/>
      <c r="AU18" s="2218"/>
      <c r="AV18" s="1797">
        <f t="shared" ref="AV18:AV112" si="11">A18</f>
        <v>0</v>
      </c>
      <c r="AW18" s="1797">
        <f t="shared" ref="AW18:AW112" si="12">B18</f>
        <v>0</v>
      </c>
      <c r="AX18" s="1797" t="str">
        <f t="shared" ref="AX18:AX112" si="13">C18</f>
        <v>11#</v>
      </c>
      <c r="AY18" s="42">
        <f t="shared" ref="AY18:AY109" si="14">ROUND($AY$6*AZ18/$AZ$5,2)</f>
        <v>2114.46</v>
      </c>
      <c r="AZ18" s="35">
        <f t="shared" ref="AZ18:AZ109" si="15">BA18+BL18</f>
        <v>4727.6000000000004</v>
      </c>
      <c r="BA18" s="35">
        <f t="shared" ref="BA18:BA109" si="16">SUM(BB18:BK18)</f>
        <v>3622.6000000000004</v>
      </c>
      <c r="BB18" s="35">
        <f t="shared" ref="BB18:BB109" si="17">IF($D18="是",I18-J18,0)</f>
        <v>0</v>
      </c>
      <c r="BC18" s="35">
        <f t="shared" ref="BC18:BC109" si="18">IF($D18="是",K18-L18,0)</f>
        <v>3622.6000000000004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1105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513.04</v>
      </c>
      <c r="BR18" s="35">
        <f t="shared" ref="BR18:BR109" si="33">IF($D18="是",AN18-AO18,0)</f>
        <v>591.96</v>
      </c>
      <c r="BS18" s="35">
        <f t="shared" ref="BS18:BS109" si="34">IF($D18="是",AP18-AQ18,0)</f>
        <v>0</v>
      </c>
      <c r="BT18" s="43">
        <f t="shared" ref="BT18:BT109" si="35">IF($D18="是",AR18-AS18,0)</f>
        <v>0</v>
      </c>
    </row>
    <row r="19" spans="1:72" ht="13.5" customHeight="1">
      <c r="A19" s="9"/>
      <c r="B19" s="1274"/>
      <c r="C19" s="1274" t="str">
        <f>Sheet1!K8</f>
        <v>12#</v>
      </c>
      <c r="D19" s="2212" t="s">
        <v>3126</v>
      </c>
      <c r="E19" s="35">
        <f t="shared" si="7"/>
        <v>3176.93</v>
      </c>
      <c r="F19" s="36"/>
      <c r="G19" s="37">
        <f t="shared" si="8"/>
        <v>7103.1</v>
      </c>
      <c r="H19" s="38">
        <f t="shared" si="9"/>
        <v>5444.16</v>
      </c>
      <c r="I19" s="2213"/>
      <c r="J19" s="2213"/>
      <c r="K19" s="2213">
        <f>Sheet1!L8</f>
        <v>5444.16</v>
      </c>
      <c r="L19" s="2213"/>
      <c r="M19" s="2213"/>
      <c r="N19" s="2213"/>
      <c r="O19" s="2213"/>
      <c r="P19" s="39"/>
      <c r="Q19" s="39"/>
      <c r="R19" s="39"/>
      <c r="S19" s="39"/>
      <c r="T19" s="39"/>
      <c r="U19" s="39"/>
      <c r="V19" s="39"/>
      <c r="W19" s="39"/>
      <c r="X19" s="39"/>
      <c r="Y19" s="39"/>
      <c r="Z19" s="39"/>
      <c r="AA19" s="39"/>
      <c r="AB19" s="39"/>
      <c r="AC19" s="35">
        <f t="shared" si="10"/>
        <v>1658.94</v>
      </c>
      <c r="AD19" s="40"/>
      <c r="AE19" s="40"/>
      <c r="AF19" s="40"/>
      <c r="AG19" s="40"/>
      <c r="AH19" s="40"/>
      <c r="AI19" s="40"/>
      <c r="AJ19" s="40"/>
      <c r="AK19" s="40"/>
      <c r="AL19" s="2214">
        <f>Sheet1!M8</f>
        <v>770.6400000000001</v>
      </c>
      <c r="AM19" s="2214"/>
      <c r="AN19" s="2214">
        <f>Sheet1!N8</f>
        <v>888.3</v>
      </c>
      <c r="AO19" s="40"/>
      <c r="AP19" s="40"/>
      <c r="AQ19" s="40"/>
      <c r="AR19" s="40"/>
      <c r="AS19" s="40"/>
      <c r="AT19" s="41"/>
      <c r="AU19" s="2218"/>
      <c r="AV19" s="1797">
        <f t="shared" si="11"/>
        <v>0</v>
      </c>
      <c r="AW19" s="1797">
        <f t="shared" si="12"/>
        <v>0</v>
      </c>
      <c r="AX19" s="1797" t="str">
        <f t="shared" si="13"/>
        <v>12#</v>
      </c>
      <c r="AY19" s="42">
        <f t="shared" si="14"/>
        <v>3176.93</v>
      </c>
      <c r="AZ19" s="35">
        <f t="shared" si="15"/>
        <v>7103.1</v>
      </c>
      <c r="BA19" s="35">
        <f t="shared" si="16"/>
        <v>5444.16</v>
      </c>
      <c r="BB19" s="35">
        <f t="shared" si="17"/>
        <v>0</v>
      </c>
      <c r="BC19" s="35">
        <f t="shared" si="18"/>
        <v>5444.16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1658.94</v>
      </c>
      <c r="BM19" s="35">
        <f t="shared" si="28"/>
        <v>0</v>
      </c>
      <c r="BN19" s="35">
        <f t="shared" si="29"/>
        <v>0</v>
      </c>
      <c r="BO19" s="35">
        <f t="shared" si="30"/>
        <v>0</v>
      </c>
      <c r="BP19" s="35">
        <f t="shared" si="31"/>
        <v>0</v>
      </c>
      <c r="BQ19" s="35">
        <f t="shared" si="32"/>
        <v>770.6400000000001</v>
      </c>
      <c r="BR19" s="35">
        <f t="shared" si="33"/>
        <v>888.3</v>
      </c>
      <c r="BS19" s="35">
        <f t="shared" si="34"/>
        <v>0</v>
      </c>
      <c r="BT19" s="43">
        <f t="shared" si="35"/>
        <v>0</v>
      </c>
    </row>
    <row r="20" spans="1:72">
      <c r="A20" s="9"/>
      <c r="B20" s="1274"/>
      <c r="C20" s="1274" t="str">
        <f>Sheet1!K9</f>
        <v>13#</v>
      </c>
      <c r="D20" s="2212" t="s">
        <v>3126</v>
      </c>
      <c r="E20" s="35">
        <f t="shared" si="7"/>
        <v>5556.98</v>
      </c>
      <c r="F20" s="36"/>
      <c r="G20" s="37">
        <f t="shared" si="8"/>
        <v>12424.519999999982</v>
      </c>
      <c r="H20" s="38">
        <f t="shared" si="9"/>
        <v>11644.519999999982</v>
      </c>
      <c r="I20" s="2213">
        <f>Sheet1!L9</f>
        <v>11644.519999999982</v>
      </c>
      <c r="J20" s="2213"/>
      <c r="K20" s="2213"/>
      <c r="L20" s="2213"/>
      <c r="M20" s="2213"/>
      <c r="N20" s="2213"/>
      <c r="O20" s="2213"/>
      <c r="P20" s="39"/>
      <c r="Q20" s="39"/>
      <c r="R20" s="39"/>
      <c r="S20" s="39"/>
      <c r="T20" s="39"/>
      <c r="U20" s="39"/>
      <c r="V20" s="39"/>
      <c r="W20" s="39"/>
      <c r="X20" s="39"/>
      <c r="Y20" s="39"/>
      <c r="Z20" s="39"/>
      <c r="AA20" s="39"/>
      <c r="AB20" s="39"/>
      <c r="AC20" s="35">
        <f t="shared" si="10"/>
        <v>780</v>
      </c>
      <c r="AD20" s="40"/>
      <c r="AE20" s="40"/>
      <c r="AF20" s="40"/>
      <c r="AG20" s="40"/>
      <c r="AH20" s="40"/>
      <c r="AI20" s="40"/>
      <c r="AJ20" s="40"/>
      <c r="AK20" s="40"/>
      <c r="AL20" s="2214">
        <f>Sheet1!M9</f>
        <v>746.31</v>
      </c>
      <c r="AM20" s="2214"/>
      <c r="AN20" s="2214">
        <f>Sheet1!N9</f>
        <v>33.69</v>
      </c>
      <c r="AO20" s="40"/>
      <c r="AP20" s="40"/>
      <c r="AQ20" s="40"/>
      <c r="AR20" s="40"/>
      <c r="AS20" s="40"/>
      <c r="AT20" s="41"/>
      <c r="AU20" s="2218"/>
      <c r="AV20" s="1797">
        <f t="shared" si="11"/>
        <v>0</v>
      </c>
      <c r="AW20" s="1797">
        <f t="shared" si="12"/>
        <v>0</v>
      </c>
      <c r="AX20" s="1797" t="str">
        <f t="shared" si="13"/>
        <v>13#</v>
      </c>
      <c r="AY20" s="42">
        <f t="shared" si="14"/>
        <v>5556.98</v>
      </c>
      <c r="AZ20" s="35">
        <f t="shared" si="15"/>
        <v>12424.519999999982</v>
      </c>
      <c r="BA20" s="35">
        <f t="shared" si="16"/>
        <v>11644.519999999982</v>
      </c>
      <c r="BB20" s="35">
        <f t="shared" si="17"/>
        <v>11644.519999999982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780</v>
      </c>
      <c r="BM20" s="35">
        <f t="shared" si="28"/>
        <v>0</v>
      </c>
      <c r="BN20" s="35">
        <f t="shared" si="29"/>
        <v>0</v>
      </c>
      <c r="BO20" s="35">
        <f t="shared" si="30"/>
        <v>0</v>
      </c>
      <c r="BP20" s="35">
        <f t="shared" si="31"/>
        <v>0</v>
      </c>
      <c r="BQ20" s="35">
        <f t="shared" si="32"/>
        <v>746.31</v>
      </c>
      <c r="BR20" s="35">
        <f t="shared" si="33"/>
        <v>33.69</v>
      </c>
      <c r="BS20" s="35">
        <f t="shared" si="34"/>
        <v>0</v>
      </c>
      <c r="BT20" s="43">
        <f t="shared" si="35"/>
        <v>0</v>
      </c>
    </row>
    <row r="21" spans="1:72">
      <c r="A21" s="9"/>
      <c r="B21" s="1274"/>
      <c r="C21" s="1274" t="str">
        <f>Sheet1!K10</f>
        <v>15#</v>
      </c>
      <c r="D21" s="2212" t="s">
        <v>3126</v>
      </c>
      <c r="E21" s="35">
        <f t="shared" si="7"/>
        <v>3456.47</v>
      </c>
      <c r="F21" s="36"/>
      <c r="G21" s="37">
        <f t="shared" si="8"/>
        <v>7728.1000000000067</v>
      </c>
      <c r="H21" s="38">
        <f t="shared" si="9"/>
        <v>6974.8000000000065</v>
      </c>
      <c r="I21" s="2213"/>
      <c r="J21" s="2213"/>
      <c r="K21" s="2213">
        <f>Sheet1!L10</f>
        <v>6974.8000000000065</v>
      </c>
      <c r="L21" s="2213"/>
      <c r="M21" s="2213"/>
      <c r="N21" s="2213"/>
      <c r="O21" s="2213"/>
      <c r="P21" s="39"/>
      <c r="Q21" s="39"/>
      <c r="R21" s="39"/>
      <c r="S21" s="39"/>
      <c r="T21" s="39"/>
      <c r="U21" s="39"/>
      <c r="V21" s="39"/>
      <c r="W21" s="39"/>
      <c r="X21" s="39"/>
      <c r="Y21" s="39"/>
      <c r="Z21" s="39"/>
      <c r="AA21" s="39"/>
      <c r="AB21" s="39"/>
      <c r="AC21" s="35">
        <f t="shared" si="10"/>
        <v>753.3</v>
      </c>
      <c r="AD21" s="40"/>
      <c r="AE21" s="40"/>
      <c r="AF21" s="40"/>
      <c r="AG21" s="40"/>
      <c r="AH21" s="40"/>
      <c r="AI21" s="40"/>
      <c r="AJ21" s="40"/>
      <c r="AK21" s="40"/>
      <c r="AL21" s="2214">
        <f>Sheet1!M10</f>
        <v>753.3</v>
      </c>
      <c r="AM21" s="2214"/>
      <c r="AN21" s="2214">
        <f>Sheet1!N10</f>
        <v>0</v>
      </c>
      <c r="AO21" s="40"/>
      <c r="AP21" s="40"/>
      <c r="AQ21" s="40"/>
      <c r="AR21" s="40"/>
      <c r="AS21" s="40"/>
      <c r="AT21" s="41"/>
      <c r="AU21" s="2218"/>
      <c r="AV21" s="1797">
        <f t="shared" si="11"/>
        <v>0</v>
      </c>
      <c r="AW21" s="1797">
        <f t="shared" si="12"/>
        <v>0</v>
      </c>
      <c r="AX21" s="1797" t="str">
        <f t="shared" si="13"/>
        <v>15#</v>
      </c>
      <c r="AY21" s="42">
        <f t="shared" si="14"/>
        <v>3456.47</v>
      </c>
      <c r="AZ21" s="35">
        <f t="shared" si="15"/>
        <v>7728.1000000000067</v>
      </c>
      <c r="BA21" s="35">
        <f t="shared" si="16"/>
        <v>6974.8000000000065</v>
      </c>
      <c r="BB21" s="35">
        <f t="shared" si="17"/>
        <v>0</v>
      </c>
      <c r="BC21" s="35">
        <f t="shared" si="18"/>
        <v>6974.8000000000065</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753.3</v>
      </c>
      <c r="BM21" s="35">
        <f t="shared" si="28"/>
        <v>0</v>
      </c>
      <c r="BN21" s="35">
        <f t="shared" si="29"/>
        <v>0</v>
      </c>
      <c r="BO21" s="35">
        <f t="shared" si="30"/>
        <v>0</v>
      </c>
      <c r="BP21" s="35">
        <f t="shared" si="31"/>
        <v>0</v>
      </c>
      <c r="BQ21" s="35">
        <f t="shared" si="32"/>
        <v>753.3</v>
      </c>
      <c r="BR21" s="35">
        <f t="shared" si="33"/>
        <v>0</v>
      </c>
      <c r="BS21" s="35">
        <f t="shared" si="34"/>
        <v>0</v>
      </c>
      <c r="BT21" s="43">
        <f t="shared" si="35"/>
        <v>0</v>
      </c>
    </row>
    <row r="22" spans="1:72">
      <c r="A22" s="9"/>
      <c r="B22" s="1274"/>
      <c r="C22" s="2956" t="s">
        <v>3222</v>
      </c>
      <c r="D22" s="2212" t="s">
        <v>3125</v>
      </c>
      <c r="E22" s="35">
        <f t="shared" si="7"/>
        <v>15508.62</v>
      </c>
      <c r="F22" s="36"/>
      <c r="G22" s="37">
        <f t="shared" si="8"/>
        <v>34674.78</v>
      </c>
      <c r="H22" s="38">
        <f t="shared" si="9"/>
        <v>0</v>
      </c>
      <c r="I22" s="2213"/>
      <c r="J22" s="2213"/>
      <c r="K22" s="2213"/>
      <c r="L22" s="2213"/>
      <c r="M22" s="2213"/>
      <c r="N22" s="2213"/>
      <c r="O22" s="2213"/>
      <c r="P22" s="39"/>
      <c r="Q22" s="39"/>
      <c r="R22" s="39"/>
      <c r="S22" s="39"/>
      <c r="T22" s="39"/>
      <c r="U22" s="39"/>
      <c r="V22" s="39"/>
      <c r="W22" s="39"/>
      <c r="X22" s="39"/>
      <c r="Y22" s="39"/>
      <c r="Z22" s="39"/>
      <c r="AA22" s="39"/>
      <c r="AB22" s="39"/>
      <c r="AC22" s="35">
        <f t="shared" si="10"/>
        <v>34674.78</v>
      </c>
      <c r="AD22" s="40"/>
      <c r="AE22" s="40"/>
      <c r="AF22" s="40"/>
      <c r="AG22" s="40"/>
      <c r="AH22" s="40"/>
      <c r="AI22" s="40"/>
      <c r="AJ22" s="40"/>
      <c r="AK22" s="40"/>
      <c r="AL22" s="2214">
        <f>99980-65305.22</f>
        <v>34674.78</v>
      </c>
      <c r="AM22" s="2214"/>
      <c r="AN22" s="2214">
        <f>Sheet1!N11</f>
        <v>0</v>
      </c>
      <c r="AO22" s="40"/>
      <c r="AP22" s="40"/>
      <c r="AQ22" s="40"/>
      <c r="AR22" s="40"/>
      <c r="AS22" s="40"/>
      <c r="AT22" s="41"/>
      <c r="AU22" s="2218"/>
      <c r="AV22" s="1797">
        <f t="shared" si="11"/>
        <v>0</v>
      </c>
      <c r="AW22" s="1797">
        <f t="shared" si="12"/>
        <v>0</v>
      </c>
      <c r="AX22" s="1797" t="str">
        <f t="shared" si="13"/>
        <v>其他</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4"/>
      <c r="C23" s="1274"/>
      <c r="D23" s="2212"/>
      <c r="E23" s="35">
        <f t="shared" si="7"/>
        <v>0</v>
      </c>
      <c r="F23" s="36"/>
      <c r="G23" s="37">
        <f t="shared" si="8"/>
        <v>0</v>
      </c>
      <c r="H23" s="38">
        <f t="shared" si="9"/>
        <v>0</v>
      </c>
      <c r="I23" s="2213"/>
      <c r="J23" s="2213"/>
      <c r="K23" s="2213"/>
      <c r="L23" s="2213"/>
      <c r="M23" s="2213"/>
      <c r="N23" s="2213"/>
      <c r="O23" s="2213"/>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4"/>
      <c r="C24" s="1274"/>
      <c r="D24" s="2212"/>
      <c r="E24" s="35">
        <f t="shared" si="7"/>
        <v>0</v>
      </c>
      <c r="F24" s="36"/>
      <c r="G24" s="37">
        <f t="shared" si="8"/>
        <v>0</v>
      </c>
      <c r="H24" s="38">
        <f t="shared" si="9"/>
        <v>0</v>
      </c>
      <c r="I24" s="2213"/>
      <c r="J24" s="2213"/>
      <c r="K24" s="2213"/>
      <c r="L24" s="2213"/>
      <c r="M24" s="2213"/>
      <c r="N24" s="2213"/>
      <c r="O24" s="2213"/>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4"/>
      <c r="C25" s="1274"/>
      <c r="D25" s="2212"/>
      <c r="E25" s="35">
        <f t="shared" si="7"/>
        <v>0</v>
      </c>
      <c r="F25" s="36"/>
      <c r="G25" s="37">
        <f t="shared" si="8"/>
        <v>0</v>
      </c>
      <c r="H25" s="38">
        <f t="shared" si="9"/>
        <v>0</v>
      </c>
      <c r="I25" s="2213"/>
      <c r="J25" s="2213"/>
      <c r="K25" s="2213"/>
      <c r="L25" s="2213"/>
      <c r="M25" s="2213"/>
      <c r="N25" s="2213"/>
      <c r="O25" s="2213"/>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c r="D26" s="2212"/>
      <c r="E26" s="35">
        <f t="shared" si="7"/>
        <v>0</v>
      </c>
      <c r="F26" s="36"/>
      <c r="G26" s="37">
        <f t="shared" si="8"/>
        <v>0</v>
      </c>
      <c r="H26" s="38">
        <f t="shared" si="9"/>
        <v>0</v>
      </c>
      <c r="I26" s="2213"/>
      <c r="J26" s="2213"/>
      <c r="K26" s="2213"/>
      <c r="L26" s="2213"/>
      <c r="M26" s="2213"/>
      <c r="N26" s="2213"/>
      <c r="O26" s="2213"/>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c r="D27" s="2212"/>
      <c r="E27" s="35">
        <f t="shared" si="7"/>
        <v>0</v>
      </c>
      <c r="F27" s="36"/>
      <c r="G27" s="37">
        <f t="shared" si="8"/>
        <v>0</v>
      </c>
      <c r="H27" s="38">
        <f t="shared" si="9"/>
        <v>0</v>
      </c>
      <c r="I27" s="2213"/>
      <c r="J27" s="2213"/>
      <c r="K27" s="2213"/>
      <c r="L27" s="2213"/>
      <c r="M27" s="2213"/>
      <c r="N27" s="2213"/>
      <c r="O27" s="2213"/>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2213"/>
      <c r="J28" s="2213"/>
      <c r="K28" s="2213"/>
      <c r="L28" s="2213"/>
      <c r="M28" s="2213"/>
      <c r="N28" s="2213"/>
      <c r="O28" s="2213"/>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4"/>
      <c r="C1" s="1394"/>
      <c r="D1" s="1394"/>
      <c r="E1" s="1394"/>
      <c r="F1" s="1394"/>
      <c r="G1" s="1394"/>
      <c r="H1" s="1394"/>
      <c r="I1" s="1394"/>
      <c r="J1" s="1394"/>
      <c r="K1" s="1394"/>
      <c r="L1" s="1394"/>
      <c r="M1" s="1394"/>
      <c r="N1" s="1394"/>
      <c r="O1" s="1394"/>
      <c r="P1" s="1394"/>
    </row>
    <row r="2" spans="1:16" ht="15">
      <c r="A2" s="3057" t="s">
        <v>1938</v>
      </c>
      <c r="B2" s="3057"/>
      <c r="C2" s="3057"/>
      <c r="D2" s="969" t="s">
        <v>1914</v>
      </c>
      <c r="E2" s="2226" t="s">
        <v>1915</v>
      </c>
      <c r="F2" s="1394"/>
      <c r="G2" s="2227"/>
      <c r="H2" s="2228"/>
      <c r="I2" s="2229" t="s">
        <v>1939</v>
      </c>
      <c r="J2" s="1394"/>
      <c r="K2" s="1394"/>
      <c r="L2" s="1394"/>
      <c r="M2" s="1394"/>
      <c r="N2" s="1429"/>
      <c r="O2" s="1394"/>
      <c r="P2" s="1394"/>
    </row>
    <row r="3" spans="1:16" ht="15.75" thickBot="1">
      <c r="A3" s="3058" t="s">
        <v>1912</v>
      </c>
      <c r="B3" s="3058"/>
      <c r="C3" s="3058"/>
      <c r="D3" s="46">
        <f>'数据-基础表'!AY6</f>
        <v>29208.38</v>
      </c>
      <c r="E3" s="46">
        <f>'数据-基础表'!AZ5</f>
        <v>65305.219999999972</v>
      </c>
      <c r="F3" s="1394"/>
      <c r="G3" s="1401"/>
      <c r="H3" s="1249" t="s">
        <v>1913</v>
      </c>
      <c r="I3" s="55">
        <f>ROUND('数据-基础表'!B3/'数据-基础表'!A3,2)</f>
        <v>2.2400000000000002</v>
      </c>
      <c r="J3" s="1394"/>
      <c r="K3" s="1394"/>
      <c r="L3" s="1394"/>
      <c r="M3" s="1394"/>
      <c r="N3" s="1429"/>
      <c r="O3" s="1394"/>
      <c r="P3" s="1394"/>
    </row>
    <row r="4" spans="1:16" ht="15">
      <c r="A4" s="3059"/>
      <c r="B4" s="3060"/>
      <c r="C4" s="3061"/>
      <c r="D4" s="2230" t="s">
        <v>1914</v>
      </c>
      <c r="E4" s="2231" t="s">
        <v>1915</v>
      </c>
      <c r="F4" s="1394"/>
      <c r="G4" s="2232" t="s">
        <v>1940</v>
      </c>
      <c r="H4" s="1249" t="s">
        <v>1920</v>
      </c>
      <c r="I4" s="55">
        <f>ROUND(SUMIF('数据-基础表'!I9:AS9,"地上",'数据-基础表'!I5:AS5)/'数据-基础表'!A3,2)</f>
        <v>2.16</v>
      </c>
      <c r="J4" s="1394"/>
      <c r="K4" s="1394"/>
      <c r="L4" s="1394"/>
      <c r="M4" s="1394"/>
      <c r="N4" s="1429"/>
      <c r="O4" s="1394"/>
      <c r="P4" s="1394"/>
    </row>
    <row r="5" spans="1:16">
      <c r="A5" s="47" t="s">
        <v>1916</v>
      </c>
      <c r="B5" s="3062" t="s">
        <v>1917</v>
      </c>
      <c r="C5" s="3062"/>
      <c r="D5" s="48">
        <f>ROUND($D$3*E5/$E$3,2)</f>
        <v>25481.22</v>
      </c>
      <c r="E5" s="49">
        <f>SUMIF('数据-基础表'!$11:$11,"住宅",'数据-基础表'!$5:$5)</f>
        <v>56971.88999999997</v>
      </c>
      <c r="F5" s="1394"/>
      <c r="G5" s="1401"/>
      <c r="H5" s="1249" t="s">
        <v>1913</v>
      </c>
      <c r="I5" s="55">
        <f>ROUND(E31/D31,2)</f>
        <v>2.2400000000000002</v>
      </c>
      <c r="J5" s="1394"/>
      <c r="K5" s="1394"/>
      <c r="L5" s="1394"/>
      <c r="M5" s="1394"/>
      <c r="N5" s="1394"/>
      <c r="O5" s="1394"/>
      <c r="P5" s="1394"/>
    </row>
    <row r="6" spans="1:16" ht="15" thickBot="1">
      <c r="A6" s="2233"/>
      <c r="B6" s="3062" t="s">
        <v>1918</v>
      </c>
      <c r="C6" s="3062"/>
      <c r="D6" s="48">
        <f>ROUND($D$3*E6/$E$3,2)</f>
        <v>3727.16</v>
      </c>
      <c r="E6" s="49">
        <f>E3-E5</f>
        <v>8333.3300000000017</v>
      </c>
      <c r="F6" s="1394"/>
      <c r="G6" s="2234" t="s">
        <v>1919</v>
      </c>
      <c r="H6" s="1401" t="s">
        <v>1920</v>
      </c>
      <c r="I6" s="941">
        <f>ROUND(F31/D31,2)</f>
        <v>2.12</v>
      </c>
      <c r="J6" s="1394"/>
      <c r="K6" s="1394"/>
      <c r="L6" s="1394"/>
      <c r="M6" s="1394"/>
      <c r="N6" s="1394"/>
      <c r="O6" s="1394"/>
      <c r="P6" s="1394"/>
    </row>
    <row r="7" spans="1:16" ht="15">
      <c r="A7" s="3054"/>
      <c r="B7" s="3055"/>
      <c r="C7" s="3056"/>
      <c r="D7" s="2230" t="s">
        <v>1914</v>
      </c>
      <c r="E7" s="2235" t="s">
        <v>1921</v>
      </c>
      <c r="F7" s="1394"/>
      <c r="G7" s="2227" t="s">
        <v>1922</v>
      </c>
      <c r="H7" s="64"/>
      <c r="I7" s="2968">
        <f>80480/'数据-基础表'!A3</f>
        <v>1.7997629536865174</v>
      </c>
      <c r="J7" s="1394"/>
      <c r="K7" s="1394"/>
      <c r="L7" s="1394"/>
      <c r="M7" s="1394"/>
      <c r="N7" s="1394"/>
      <c r="O7" s="1394"/>
      <c r="P7" s="1394"/>
    </row>
    <row r="8" spans="1:16">
      <c r="A8" s="47" t="s">
        <v>1923</v>
      </c>
      <c r="B8" s="50" t="s">
        <v>1924</v>
      </c>
      <c r="C8" s="48" t="s">
        <v>1925</v>
      </c>
      <c r="D8" s="48">
        <f t="shared" ref="D8:D15" si="0">ROUND($D$3*E8/$E$3,2)</f>
        <v>25481.22</v>
      </c>
      <c r="E8" s="51">
        <f>SUMIF('数据-基础表'!BB10:BK10,"地上",'数据-基础表'!BB5:BK5)</f>
        <v>56971.88999999997</v>
      </c>
      <c r="F8" s="1394"/>
      <c r="G8" s="2236"/>
      <c r="H8" s="2236"/>
      <c r="I8" s="1394"/>
      <c r="J8" s="1394"/>
      <c r="K8" s="1394"/>
      <c r="L8" s="1394"/>
      <c r="M8" s="1394"/>
      <c r="N8" s="1394"/>
      <c r="O8" s="1394"/>
      <c r="P8" s="1394"/>
    </row>
    <row r="9" spans="1:16">
      <c r="A9" s="2237"/>
      <c r="B9" s="2238"/>
      <c r="C9" s="48" t="s">
        <v>1926</v>
      </c>
      <c r="D9" s="48">
        <f t="shared" si="0"/>
        <v>0</v>
      </c>
      <c r="E9" s="52">
        <v>0</v>
      </c>
      <c r="F9" s="1394"/>
      <c r="G9" s="2236"/>
      <c r="H9" s="2236"/>
      <c r="I9" s="1394"/>
      <c r="J9" s="1394"/>
      <c r="K9" s="1394"/>
      <c r="L9" s="1394"/>
      <c r="M9" s="1394"/>
      <c r="N9" s="1394"/>
      <c r="O9" s="1394"/>
      <c r="P9" s="1394"/>
    </row>
    <row r="10" spans="1:16">
      <c r="A10" s="2237"/>
      <c r="B10" s="2238"/>
      <c r="C10" s="48" t="s">
        <v>1935</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1927</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1928</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1929</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1941</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1936</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1930</v>
      </c>
      <c r="D16" s="50">
        <f>SUM(D8:D15)</f>
        <v>25481.22</v>
      </c>
      <c r="E16" s="53">
        <f>SUM(E8:E15)</f>
        <v>56971.88999999997</v>
      </c>
      <c r="F16" s="1394"/>
      <c r="G16" s="2236"/>
      <c r="H16" s="2239" t="s">
        <v>1942</v>
      </c>
      <c r="I16" s="2240"/>
      <c r="J16" s="1394"/>
      <c r="K16" s="3051" t="s">
        <v>1942</v>
      </c>
      <c r="L16" s="3052"/>
      <c r="M16" s="3052"/>
      <c r="N16" s="3052"/>
      <c r="O16" s="3052"/>
      <c r="P16" s="3053"/>
    </row>
    <row r="17" spans="1:19" ht="15">
      <c r="A17" s="2241" t="s">
        <v>1943</v>
      </c>
      <c r="B17" s="2242" t="s">
        <v>1944</v>
      </c>
      <c r="C17" s="2243" t="s">
        <v>1945</v>
      </c>
      <c r="D17" s="2244" t="s">
        <v>1933</v>
      </c>
      <c r="E17" s="2245" t="s">
        <v>1934</v>
      </c>
      <c r="F17" s="2246"/>
      <c r="G17" s="2247"/>
      <c r="H17" s="2248" t="s">
        <v>1946</v>
      </c>
      <c r="I17" s="2249" t="s">
        <v>1931</v>
      </c>
      <c r="J17" s="1394"/>
      <c r="K17" s="3048" t="s">
        <v>1947</v>
      </c>
      <c r="L17" s="3049"/>
      <c r="M17" s="3050"/>
      <c r="N17" s="3048" t="s">
        <v>1948</v>
      </c>
      <c r="O17" s="3049"/>
      <c r="P17" s="3050"/>
      <c r="R17" s="2227" t="s">
        <v>1949</v>
      </c>
      <c r="S17" s="64"/>
    </row>
    <row r="18" spans="1:19" ht="15">
      <c r="A18" s="2237"/>
      <c r="B18" s="2250"/>
      <c r="C18" s="2251"/>
      <c r="D18" s="2252"/>
      <c r="E18" s="2253" t="s">
        <v>1950</v>
      </c>
      <c r="F18" s="2254" t="s">
        <v>1951</v>
      </c>
      <c r="G18" s="2255" t="s">
        <v>1952</v>
      </c>
      <c r="H18" s="1264" t="s">
        <v>1953</v>
      </c>
      <c r="I18" s="2256" t="s">
        <v>1954</v>
      </c>
      <c r="J18" s="1394"/>
      <c r="K18" s="1264" t="s">
        <v>1955</v>
      </c>
      <c r="L18" s="2257" t="s">
        <v>1956</v>
      </c>
      <c r="M18" s="1048" t="s">
        <v>1957</v>
      </c>
      <c r="N18" s="1264" t="s">
        <v>1955</v>
      </c>
      <c r="O18" s="2257" t="s">
        <v>1956</v>
      </c>
      <c r="P18" s="1048" t="s">
        <v>1957</v>
      </c>
      <c r="R18" s="1249" t="s">
        <v>1958</v>
      </c>
      <c r="S18" s="1249" t="s">
        <v>1959</v>
      </c>
    </row>
    <row r="19" spans="1:19">
      <c r="A19" s="2258"/>
      <c r="B19" s="50" t="s">
        <v>1932</v>
      </c>
      <c r="C19" s="2957" t="s">
        <v>3122</v>
      </c>
      <c r="D19" s="48">
        <f>ROUND($D$3*E19/$E$3,2)</f>
        <v>13724.55</v>
      </c>
      <c r="E19" s="56">
        <f t="shared" ref="E19:E26" si="1">SUM(F19:G19)</f>
        <v>30685.879999999961</v>
      </c>
      <c r="F19" s="57">
        <f>'数据-基础表'!I5</f>
        <v>30685.879999999961</v>
      </c>
      <c r="G19" s="58"/>
      <c r="H19" s="722">
        <f>ROUND($D$3*I19/$E$3,2)</f>
        <v>2007.5</v>
      </c>
      <c r="I19" s="51">
        <f t="shared" ref="I19:I26" si="2">IF($I$17="自定义",P19,M19)</f>
        <v>4488.45</v>
      </c>
      <c r="J19" s="1394"/>
      <c r="K19" s="1393">
        <f t="shared" ref="K19:K26" si="3">ROUND(E$28*E19/E$27,2)</f>
        <v>4488.45</v>
      </c>
      <c r="L19" s="1249">
        <f t="shared" ref="L19:L26" si="4">ROUND(IF(COUNTIF(C19,"*住宅*")&gt;0,E$29*E19/E$32,0),2)</f>
        <v>0</v>
      </c>
      <c r="M19" s="1405">
        <f>K19+L19</f>
        <v>4488.45</v>
      </c>
      <c r="N19" s="2259"/>
      <c r="O19" s="2260"/>
      <c r="P19" s="1405">
        <f>N19+O19</f>
        <v>0</v>
      </c>
      <c r="R19" s="1249">
        <f t="shared" ref="R19:S26" si="5">D19+H19</f>
        <v>15732.05</v>
      </c>
      <c r="S19" s="1250">
        <f t="shared" si="5"/>
        <v>35174.329999999958</v>
      </c>
    </row>
    <row r="20" spans="1:19">
      <c r="A20" s="2261"/>
      <c r="B20" s="50" t="s">
        <v>1960</v>
      </c>
      <c r="C20" s="2957" t="s">
        <v>3124</v>
      </c>
      <c r="D20" s="48">
        <f t="shared" ref="D20:D26" si="6">ROUND($D$3*E20/$E$3,2)</f>
        <v>11756.67</v>
      </c>
      <c r="E20" s="56">
        <f t="shared" si="1"/>
        <v>26286.010000000013</v>
      </c>
      <c r="F20" s="57">
        <f>'数据-基础表'!K5</f>
        <v>26286.010000000013</v>
      </c>
      <c r="G20" s="58"/>
      <c r="H20" s="722">
        <f t="shared" ref="H20:H26" si="7">ROUND($D$3*I20/$E$3,2)</f>
        <v>1719.66</v>
      </c>
      <c r="I20" s="51">
        <f t="shared" si="2"/>
        <v>3844.88</v>
      </c>
      <c r="J20" s="1394"/>
      <c r="K20" s="1393">
        <f t="shared" si="3"/>
        <v>3844.88</v>
      </c>
      <c r="L20" s="1249">
        <f t="shared" si="4"/>
        <v>0</v>
      </c>
      <c r="M20" s="1405">
        <f t="shared" ref="M20:M26" si="8">K20+L20</f>
        <v>3844.88</v>
      </c>
      <c r="N20" s="2259"/>
      <c r="O20" s="2260"/>
      <c r="P20" s="1405">
        <f t="shared" ref="P20:P26" si="9">N20+O20</f>
        <v>0</v>
      </c>
      <c r="R20" s="1249">
        <f t="shared" si="5"/>
        <v>13476.33</v>
      </c>
      <c r="S20" s="1250">
        <f t="shared" si="5"/>
        <v>30130.890000000014</v>
      </c>
    </row>
    <row r="21" spans="1:19">
      <c r="A21" s="2261"/>
      <c r="B21" s="50" t="s">
        <v>1960</v>
      </c>
      <c r="C21" s="2957"/>
      <c r="D21" s="48">
        <f t="shared" si="6"/>
        <v>0</v>
      </c>
      <c r="E21" s="56">
        <f t="shared" si="1"/>
        <v>0</v>
      </c>
      <c r="F21" s="57"/>
      <c r="G21" s="58">
        <f>'数据-基础表'!M5</f>
        <v>0</v>
      </c>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1961</v>
      </c>
      <c r="D27" s="1395">
        <f>SUM(D19:D26)</f>
        <v>25481.22</v>
      </c>
      <c r="E27" s="1396">
        <f>IF(SUM(E19:E26)='数据-基础表'!BA5,SUM(E19:E26),IF(F27="地上面积有误","面积有误","地下面积有误"))</f>
        <v>56971.88999999997</v>
      </c>
      <c r="F27" s="1395">
        <f>IF(SUM(F19:F26)=E8,SUM(F19:F26),"地上面积有误")</f>
        <v>56971.88999999997</v>
      </c>
      <c r="G27" s="1397">
        <f>SUM(G19:G26)</f>
        <v>0</v>
      </c>
      <c r="H27" s="1398">
        <f>SUM(H19:H26)</f>
        <v>3727.16</v>
      </c>
      <c r="I27" s="1399">
        <f>SUM(I19:I26)</f>
        <v>8333.33</v>
      </c>
      <c r="J27" s="1394"/>
      <c r="K27" s="1402">
        <f>SUM(K19:K26)</f>
        <v>8333.33</v>
      </c>
      <c r="L27" s="1403">
        <f>SUM(L19:L26)</f>
        <v>0</v>
      </c>
      <c r="M27" s="1406">
        <f>SUM(M19:M26)</f>
        <v>8333.33</v>
      </c>
      <c r="N27" s="1402">
        <f t="shared" ref="N27:O27" si="10">SUM(N19:N26)</f>
        <v>0</v>
      </c>
      <c r="O27" s="1403">
        <f t="shared" si="10"/>
        <v>0</v>
      </c>
      <c r="P27" s="1404">
        <f>SUM(P19:P26)</f>
        <v>0</v>
      </c>
      <c r="R27" s="1251">
        <f>IF(SUM(R19:R26)=$D$3,SUM(R19:R26),SUM(R19:R26)&amp;"误差"&amp;ROUND(SUM(R19:R26)-$D$3,2))</f>
        <v>29208.379999999997</v>
      </c>
      <c r="S27" s="1249">
        <f>IF(SUM(S19:S26)=$E$3,SUM(S19:S26),SUM(S19:S26)&amp;"误差"&amp;ROUND(SUM(S19:S26)-E3,2))</f>
        <v>65305.219999999972</v>
      </c>
    </row>
    <row r="28" spans="1:19">
      <c r="A28" s="2261"/>
      <c r="B28" s="50" t="s">
        <v>1962</v>
      </c>
      <c r="C28" s="1261" t="s">
        <v>1963</v>
      </c>
      <c r="D28" s="48">
        <f>ROUND($D$3*E28/$E$3,2)</f>
        <v>3727.16</v>
      </c>
      <c r="E28" s="56">
        <f>SUM(F28:G28)</f>
        <v>8333.33</v>
      </c>
      <c r="F28" s="64">
        <f>'数据-基础表'!BQ5+'数据-基础表'!BS5</f>
        <v>4960.54</v>
      </c>
      <c r="G28" s="65">
        <f>'数据-基础表'!BR5+'数据-基础表'!BT5</f>
        <v>3372.7900000000004</v>
      </c>
      <c r="H28" s="1394"/>
      <c r="I28" s="1394"/>
      <c r="J28" s="1394"/>
      <c r="K28" s="1394"/>
      <c r="L28" s="1394"/>
      <c r="M28" s="1394"/>
      <c r="N28" s="1394"/>
      <c r="O28" s="1394"/>
      <c r="P28" s="1394"/>
    </row>
    <row r="29" spans="1:19">
      <c r="A29" s="2261"/>
      <c r="B29" s="50" t="s">
        <v>1962</v>
      </c>
      <c r="C29" s="2265"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1961</v>
      </c>
      <c r="D30" s="1395">
        <f>SUM(D28:D29)</f>
        <v>3727.16</v>
      </c>
      <c r="E30" s="1395">
        <f>SUM(E28:E29)</f>
        <v>8333.33</v>
      </c>
      <c r="F30" s="1395">
        <f>SUM(F28:F29)</f>
        <v>4960.54</v>
      </c>
      <c r="G30" s="1397">
        <f>SUM(G28:G29)</f>
        <v>3372.7900000000004</v>
      </c>
      <c r="H30" s="1394"/>
      <c r="I30" s="1394"/>
      <c r="J30" s="1394"/>
      <c r="K30" s="1394"/>
      <c r="L30" s="1394"/>
      <c r="M30" s="1394"/>
      <c r="N30" s="1394"/>
      <c r="O30" s="1394"/>
      <c r="P30" s="1394"/>
    </row>
    <row r="31" spans="1:19" ht="15.75" thickBot="1">
      <c r="A31" s="2267"/>
      <c r="B31" s="2268"/>
      <c r="C31" s="1009" t="s">
        <v>1965</v>
      </c>
      <c r="D31" s="728">
        <f>D27+D30</f>
        <v>29208.38</v>
      </c>
      <c r="E31" s="728">
        <f>E27+E30</f>
        <v>65305.219999999972</v>
      </c>
      <c r="F31" s="729">
        <f>F27+F30</f>
        <v>61932.429999999971</v>
      </c>
      <c r="G31" s="730">
        <f>G27+G30</f>
        <v>3372.7900000000004</v>
      </c>
      <c r="H31" s="1394"/>
      <c r="I31" s="1394"/>
      <c r="J31" s="1394"/>
      <c r="K31" s="1394"/>
      <c r="L31" s="1394"/>
      <c r="M31" s="1394"/>
      <c r="N31" s="1394"/>
      <c r="O31" s="1394"/>
      <c r="P31" s="1394"/>
    </row>
    <row r="32" spans="1:19">
      <c r="A32" s="2232"/>
      <c r="B32" s="2232" t="s">
        <v>1966</v>
      </c>
      <c r="C32" s="2232"/>
      <c r="D32" s="2232"/>
      <c r="E32" s="1276">
        <f>SUMIF(C19:C26,"*住宅*",E19:E26)</f>
        <v>56971.88999999997</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N1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8">
        <f>项目基本情况!D3</f>
        <v>43424</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70" t="s">
        <v>1979</v>
      </c>
      <c r="F5" s="2291" t="s">
        <v>1980</v>
      </c>
      <c r="G5" s="1270" t="s">
        <v>1981</v>
      </c>
      <c r="H5" s="1270" t="s">
        <v>1982</v>
      </c>
      <c r="I5" s="1270" t="s">
        <v>1983</v>
      </c>
      <c r="J5" s="2292" t="s">
        <v>1984</v>
      </c>
      <c r="K5" s="2293" t="s">
        <v>1985</v>
      </c>
      <c r="L5" s="2294" t="s">
        <v>1986</v>
      </c>
      <c r="M5" s="2295" t="s">
        <v>1987</v>
      </c>
      <c r="N5" s="2296" t="s">
        <v>1988</v>
      </c>
      <c r="O5" s="2294" t="s">
        <v>1989</v>
      </c>
      <c r="P5" s="2297" t="s">
        <v>1990</v>
      </c>
      <c r="Q5" s="69" t="s">
        <v>1991</v>
      </c>
      <c r="R5" s="2298" t="s">
        <v>1992</v>
      </c>
      <c r="S5" s="2299" t="s">
        <v>1993</v>
      </c>
      <c r="T5" s="2300" t="s">
        <v>1994</v>
      </c>
      <c r="U5" s="1269" t="s">
        <v>1995</v>
      </c>
      <c r="V5" s="1270" t="s">
        <v>1996</v>
      </c>
      <c r="W5" s="1270" t="s">
        <v>1997</v>
      </c>
      <c r="X5" s="71"/>
      <c r="Y5" s="70" t="s">
        <v>1998</v>
      </c>
      <c r="Z5" s="2301" t="s">
        <v>1995</v>
      </c>
      <c r="AA5" s="1270" t="s">
        <v>1996</v>
      </c>
      <c r="AB5" s="1270" t="s">
        <v>1997</v>
      </c>
      <c r="AC5" s="71"/>
      <c r="AD5" s="71" t="s">
        <v>1998</v>
      </c>
      <c r="AE5" s="1269" t="s">
        <v>1999</v>
      </c>
      <c r="AF5" s="1270" t="s">
        <v>2000</v>
      </c>
      <c r="AG5" s="70" t="s">
        <v>2001</v>
      </c>
      <c r="AH5" s="1269" t="s">
        <v>2002</v>
      </c>
      <c r="AI5" s="2301" t="s">
        <v>2003</v>
      </c>
      <c r="AJ5" s="2301" t="s">
        <v>2004</v>
      </c>
      <c r="AK5" s="1270" t="s">
        <v>2005</v>
      </c>
      <c r="AL5" s="1270" t="s">
        <v>2006</v>
      </c>
      <c r="AM5" s="70" t="s">
        <v>2007</v>
      </c>
      <c r="AN5" s="2302" t="s">
        <v>2008</v>
      </c>
      <c r="AO5" s="2073" t="s">
        <v>2009</v>
      </c>
      <c r="AP5" s="1251" t="s">
        <v>2010</v>
      </c>
      <c r="AQ5" s="2303" t="s">
        <v>2011</v>
      </c>
      <c r="AR5" s="2303"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高层住宅</v>
      </c>
      <c r="B6" s="2305" t="str">
        <f>IF(A6=0,"","经营性")</f>
        <v>经营性</v>
      </c>
      <c r="C6" s="2306" t="s">
        <v>3079</v>
      </c>
      <c r="D6" s="1053">
        <f>SUMIF(项目基本情况!D$12:I$12,C6,项目基本情况!D$14:I$14)</f>
        <v>70</v>
      </c>
      <c r="E6" s="1050">
        <f>IF(B6="","",SUMIF(项目基本情况!D$12:I$12,C6,项目基本情况!D$13:I$13))</f>
        <v>68768</v>
      </c>
      <c r="F6" s="72">
        <f>SUMIF(项目基本情况!D$12:I$12,C6,项目基本情况!D$15:I$15)</f>
        <v>69.430000000000007</v>
      </c>
      <c r="G6" s="73">
        <f>IF(ISERROR(ROUND(POWER(1+H6,D6-F6)*(POWER(1+H6,F6)-1)/(POWER(1+H6,D6)-1),3)),0,ROUND(POWER(1+H6,D6-F6)*(POWER(1+H6,F6)-1)/(POWER(1+H6,D6)-1),3))</f>
        <v>0.998</v>
      </c>
      <c r="H6" s="801">
        <v>0.04</v>
      </c>
      <c r="I6" s="801">
        <v>4.4999999999999998E-2</v>
      </c>
      <c r="J6" s="74">
        <v>0.08</v>
      </c>
      <c r="K6" s="1253">
        <f>SUMIF('数据-汇总表'!C$19:C$33,A6,'数据-汇总表'!E$19:E$33)</f>
        <v>30685.879999999961</v>
      </c>
      <c r="L6" s="802">
        <v>2200</v>
      </c>
      <c r="M6" s="75">
        <f t="shared" ref="M6:M14" si="0">ROUND(K6*L6/10000,0)</f>
        <v>6751</v>
      </c>
      <c r="N6" s="800">
        <v>0.6</v>
      </c>
      <c r="O6" s="75">
        <f>IF($N$5="成新度","——",ROUND(M6*N6,0))</f>
        <v>4051</v>
      </c>
      <c r="P6" s="76">
        <f>IF($N$5="成新度","——",M6-O6)</f>
        <v>2700</v>
      </c>
      <c r="Q6" s="803">
        <v>0.1</v>
      </c>
      <c r="R6" s="77">
        <f ca="1">SUMIF('数据-汇总表'!C$19:C$33,A6,'数据-汇总表'!R$19:R$27)</f>
        <v>15732.05</v>
      </c>
      <c r="S6" s="54">
        <f>IF('数据-汇总表'!$I$17="按面积比例",SUMIF('数据-汇总表'!C$19:C$33,A6,'数据-汇总表'!K$19:K$33),SUMIF('数据-汇总表'!C$19:C$33,A6,'数据-汇总表'!N$19:N$33))</f>
        <v>4488.45</v>
      </c>
      <c r="T6" s="1445">
        <f>ROUND($L$14*S6/10000,0)</f>
        <v>987</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67508935.999999911</v>
      </c>
      <c r="AQ6" s="55">
        <f>ROUND($L$14*$N$14*S6/10000,0)</f>
        <v>592</v>
      </c>
      <c r="AR6" s="55">
        <f>ROUND($L$14*(1-$N$14)*S6/10000,0)</f>
        <v>395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小高层住宅</v>
      </c>
      <c r="B7" s="2305" t="str">
        <f t="shared" ref="B7:B13" si="1">IF(A7=0,"","经营性")</f>
        <v>经营性</v>
      </c>
      <c r="C7" s="2306" t="s">
        <v>3079</v>
      </c>
      <c r="D7" s="1053">
        <f>SUMIF(项目基本情况!D$12:I$12,C7,项目基本情况!D$14:I$14)</f>
        <v>70</v>
      </c>
      <c r="E7" s="1050">
        <f>IF(B7="","",SUMIF(项目基本情况!D$12:I$12,C7,项目基本情况!D$13:I$13))</f>
        <v>68768</v>
      </c>
      <c r="F7" s="72">
        <f>SUMIF(项目基本情况!D$12:I$12,C7,项目基本情况!D$15:I$15)</f>
        <v>69.430000000000007</v>
      </c>
      <c r="G7" s="73">
        <f t="shared" ref="G7:G11" si="2">IF(ISERROR(ROUND(POWER(1+H7,D7-F7)*(POWER(1+H7,F7)-1)/(POWER(1+H7,D7)-1),3)),0,ROUND(POWER(1+H7,D7-F7)*(POWER(1+H7,F7)-1)/(POWER(1+H7,D7)-1),3))</f>
        <v>0.998</v>
      </c>
      <c r="H7" s="801">
        <v>0.04</v>
      </c>
      <c r="I7" s="801">
        <v>4.4999999999999998E-2</v>
      </c>
      <c r="J7" s="74">
        <v>0.08</v>
      </c>
      <c r="K7" s="1253">
        <f>SUMIF('数据-汇总表'!C$19:C$33,A7,'数据-汇总表'!E$19:E$33)</f>
        <v>26286.010000000013</v>
      </c>
      <c r="L7" s="802">
        <f>L6</f>
        <v>2200</v>
      </c>
      <c r="M7" s="75">
        <f t="shared" si="0"/>
        <v>5783</v>
      </c>
      <c r="N7" s="800">
        <f>N6</f>
        <v>0.6</v>
      </c>
      <c r="O7" s="75">
        <f t="shared" ref="O7:O14" si="3">IF($N$5="成新度","——",ROUND(M7*N7,0))</f>
        <v>3470</v>
      </c>
      <c r="P7" s="76">
        <f t="shared" ref="P7:P14" si="4">IF($N$5="成新度","——",M7-O7)</f>
        <v>2313</v>
      </c>
      <c r="Q7" s="803">
        <f>Q6</f>
        <v>0.1</v>
      </c>
      <c r="R7" s="77">
        <f ca="1">SUMIF('数据-汇总表'!C$19:C$33,A7,'数据-汇总表'!R$19:R$27)</f>
        <v>13476.33</v>
      </c>
      <c r="S7" s="54">
        <f>IF('数据-汇总表'!$I$17="按面积比例",SUMIF('数据-汇总表'!C$19:C$33,A7,'数据-汇总表'!K$19:K$33),SUMIF('数据-汇总表'!C$19:C$33,A7,'数据-汇总表'!N$19:N$33))</f>
        <v>3844.88</v>
      </c>
      <c r="T7" s="1445">
        <f t="shared" ref="T7:T13" si="5">ROUND($L$14*S7/10000,0)</f>
        <v>846</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57829222.00000003</v>
      </c>
      <c r="AQ7" s="55">
        <f t="shared" ref="AQ7:AQ13" si="10">ROUND($L$14*$N$14*S7/10000,0)</f>
        <v>508</v>
      </c>
      <c r="AR7" s="55">
        <f t="shared" ref="AR7:AR13" si="11">ROUND($L$14*(1-$N$14)*S7/10000,0)</f>
        <v>338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t="s">
        <v>3120</v>
      </c>
      <c r="D8" s="1053">
        <f>SUMIF(项目基本情况!D$12:I$12,C8,项目基本情况!D$14:I$14)</f>
        <v>50</v>
      </c>
      <c r="E8" s="1050" t="str">
        <f>IF(B8="","",SUMIF(项目基本情况!D$12:I$12,C8,项目基本情况!D$13:I$13))</f>
        <v/>
      </c>
      <c r="F8" s="72">
        <f>SUMIF(项目基本情况!D$12:I$12,C8,项目基本情况!D$15:I$15)</f>
        <v>49.42</v>
      </c>
      <c r="G8" s="73">
        <f t="shared" si="2"/>
        <v>0.997</v>
      </c>
      <c r="H8" s="801">
        <v>4.4999999999999998E-2</v>
      </c>
      <c r="I8" s="801">
        <v>0.05</v>
      </c>
      <c r="J8" s="74">
        <v>0.08</v>
      </c>
      <c r="K8" s="1253">
        <f>SUMIF('数据-汇总表'!C$19:C$33,A8,'数据-汇总表'!E$19:E$33)</f>
        <v>0</v>
      </c>
      <c r="L8" s="802">
        <f>L6</f>
        <v>2200</v>
      </c>
      <c r="M8" s="75">
        <f>ROUND(K8*L8/10000,0)</f>
        <v>0</v>
      </c>
      <c r="N8" s="800">
        <f>N6</f>
        <v>0.6</v>
      </c>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2013</v>
      </c>
      <c r="B14" s="2305" t="s">
        <v>2014</v>
      </c>
      <c r="C14" s="2310" t="s">
        <v>2013</v>
      </c>
      <c r="D14" s="1053"/>
      <c r="E14" s="1050"/>
      <c r="F14" s="72"/>
      <c r="G14" s="73"/>
      <c r="H14" s="1252"/>
      <c r="I14" s="1252"/>
      <c r="J14" s="1252"/>
      <c r="K14" s="1253">
        <f>SUMIF('数据-汇总表'!C$19:C$33,A14,'数据-汇总表'!E$19:E$33)</f>
        <v>8333.33</v>
      </c>
      <c r="L14" s="91">
        <f>L6</f>
        <v>2200</v>
      </c>
      <c r="M14" s="75">
        <f t="shared" si="0"/>
        <v>1833</v>
      </c>
      <c r="N14" s="92">
        <f>N6</f>
        <v>0.6</v>
      </c>
      <c r="O14" s="75">
        <f t="shared" si="3"/>
        <v>1100</v>
      </c>
      <c r="P14" s="76">
        <f t="shared" si="4"/>
        <v>733</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2015</v>
      </c>
      <c r="B15" s="2305" t="s">
        <v>2014</v>
      </c>
      <c r="C15" s="2310"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2017</v>
      </c>
      <c r="B16" s="97"/>
      <c r="C16" s="1007"/>
      <c r="D16" s="2312"/>
      <c r="E16" s="97"/>
      <c r="F16" s="97"/>
      <c r="G16" s="98">
        <f>ROUND(SUMPRODUCT(G6:G13,K6:K13)/SUMPRODUCT((G6:G13&gt;0)*(K6:K13)),3)</f>
        <v>0.998</v>
      </c>
      <c r="H16" s="99">
        <f>ROUND(SUMPRODUCT(H6:H13,K6:K13)/SUMPRODUCT((H6:H13&gt;0)*(K6:K13)),3)</f>
        <v>0.04</v>
      </c>
      <c r="I16" s="100"/>
      <c r="J16" s="100"/>
      <c r="K16" s="101">
        <f>SUM(K6:K15)</f>
        <v>65305.219999999972</v>
      </c>
      <c r="L16" s="102">
        <f>ROUND(M16*10000/SUM(K6:K14),0)</f>
        <v>2200</v>
      </c>
      <c r="M16" s="102">
        <f>SUM(M6:M14)</f>
        <v>14367</v>
      </c>
      <c r="N16" s="103">
        <f>ROUND(SUMPRODUCT(M6:M14,N6:N14)/M16,3)</f>
        <v>0.6</v>
      </c>
      <c r="O16" s="102">
        <f>SUM(O6:O14)</f>
        <v>8621</v>
      </c>
      <c r="P16" s="102">
        <f>SUM(P6:P14)</f>
        <v>5746</v>
      </c>
      <c r="Q16" s="104">
        <f>ROUND(SUMPRODUCT(Q6:Q13,K6:K13)/SUMPRODUCT((Q6:Q13&gt;0)*(K6:K13)),2)</f>
        <v>0.1</v>
      </c>
      <c r="R16" s="1257">
        <f ca="1">SUM(R6:R13)</f>
        <v>29208.379999999997</v>
      </c>
      <c r="S16" s="105">
        <f>SUM(S6:S13)</f>
        <v>8333.33</v>
      </c>
      <c r="T16" s="106">
        <f>IF(SUMIF(T6:T13,"&lt;9E307")=M14,SUMIF(T6:T13,"&lt;9E307"),"有误，请检查")</f>
        <v>1833</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2019</v>
      </c>
      <c r="B19" s="112">
        <v>0</v>
      </c>
      <c r="C19" s="2275" t="s">
        <v>2020</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2021</v>
      </c>
      <c r="B20" s="113">
        <v>2</v>
      </c>
      <c r="C20" s="2275" t="s">
        <v>2022</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2023</v>
      </c>
      <c r="B21" s="113">
        <v>1.2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2024</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2025</v>
      </c>
      <c r="B23" s="114">
        <f>B19+B21</f>
        <v>1.2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2026</v>
      </c>
      <c r="B24" s="115">
        <f>B20-B21</f>
        <v>0.8</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2027</v>
      </c>
      <c r="B26" s="2318" t="s">
        <v>2028</v>
      </c>
      <c r="C26" s="2319" t="s">
        <v>2029</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2030</v>
      </c>
      <c r="B27" s="116">
        <v>100</v>
      </c>
      <c r="C27" s="1766" t="s">
        <v>2031</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2032</v>
      </c>
      <c r="B28" s="119">
        <v>100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2033</v>
      </c>
      <c r="B29" s="121"/>
      <c r="C29" s="1766" t="s">
        <v>2034</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2035</v>
      </c>
      <c r="B30" s="723">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2036</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2037</v>
      </c>
      <c r="B32" s="724">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2038</v>
      </c>
      <c r="B33" s="725">
        <v>0.03</v>
      </c>
      <c r="C33" s="1765" t="s">
        <v>2039</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2040</v>
      </c>
      <c r="B34" s="122">
        <v>0.03</v>
      </c>
      <c r="C34" s="1765" t="s">
        <v>2041</v>
      </c>
      <c r="D34" s="2276" t="s">
        <v>2042</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2043</v>
      </c>
      <c r="B35" s="119">
        <f>B30</f>
        <v>150</v>
      </c>
      <c r="C35" s="1765" t="s">
        <v>2044</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2045</v>
      </c>
      <c r="B36" s="123">
        <v>1.4999999999999999E-2</v>
      </c>
      <c r="C36" s="1765" t="s">
        <v>2046</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4">
        <v>0.02</v>
      </c>
      <c r="C37" s="1765" t="s">
        <v>2048</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2">
        <v>0.02</v>
      </c>
      <c r="C38" s="1765" t="s">
        <v>2048</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2">
        <f ca="1">存贷款利率!G1</f>
        <v>4.7500000000000001E-2</v>
      </c>
      <c r="C40" s="1765" t="s">
        <v>2052</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5">
        <f>B42+B43</f>
        <v>5.7000000000000002E-2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7">
        <f>B42*(B44+B45+B46)+B47</f>
        <v>7.000000000000001E-3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8">
        <v>7.0000000000000007E-2</v>
      </c>
      <c r="C44" s="1765" t="s">
        <v>2057</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6">
        <v>0.03</v>
      </c>
      <c r="C45" s="1766" t="s">
        <v>2059</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6">
        <v>0.04</v>
      </c>
      <c r="C46" s="1766" t="s">
        <v>2061</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9"/>
      <c r="C47" s="1766" t="s">
        <v>2063</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30">
        <v>0.03</v>
      </c>
      <c r="C48" s="1773" t="s">
        <v>2065</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6">
        <v>5.0000000000000001E-4</v>
      </c>
      <c r="C49" s="1773" t="s">
        <v>2067</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3">
        <f>SUMIF(A54:A63,B53,B54:B63)</f>
        <v>18</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442</v>
      </c>
      <c r="C53" s="1429" t="s">
        <v>2072</v>
      </c>
      <c r="D53" s="2335" t="s">
        <v>2073</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3" t="s">
        <v>2084</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5" t="s">
        <v>2087</v>
      </c>
      <c r="B3" s="1270" t="s">
        <v>2088</v>
      </c>
      <c r="C3" s="2368" t="s">
        <v>2089</v>
      </c>
      <c r="D3" s="2369"/>
      <c r="E3" s="430" t="s">
        <v>2087</v>
      </c>
      <c r="F3" s="2370" t="s">
        <v>2090</v>
      </c>
      <c r="G3" s="2371" t="s">
        <v>2091</v>
      </c>
      <c r="H3" s="2366"/>
      <c r="I3" s="2366"/>
      <c r="J3" s="2366"/>
      <c r="K3" s="2366"/>
      <c r="L3" s="2366"/>
      <c r="M3" s="2366"/>
      <c r="N3" s="2366"/>
      <c r="O3" s="2366"/>
      <c r="P3" s="2366"/>
      <c r="Q3" s="2366"/>
      <c r="R3" s="2366"/>
    </row>
    <row r="4" spans="1:29" ht="41.25">
      <c r="A4" s="430"/>
      <c r="B4" s="1797" t="s">
        <v>2092</v>
      </c>
      <c r="C4" s="2372" t="s">
        <v>2093</v>
      </c>
      <c r="D4" s="2369"/>
      <c r="E4" s="2373"/>
      <c r="F4" s="42" t="s">
        <v>2094</v>
      </c>
      <c r="G4" s="2374" t="s">
        <v>2095</v>
      </c>
      <c r="H4" s="2366"/>
      <c r="I4" s="2366"/>
      <c r="J4" s="2366"/>
      <c r="K4" s="2366"/>
      <c r="L4" s="2366"/>
      <c r="M4" s="2366"/>
      <c r="N4" s="2366"/>
      <c r="O4" s="2366"/>
      <c r="P4" s="2366"/>
      <c r="Q4" s="2366"/>
      <c r="R4" s="2366"/>
    </row>
    <row r="5" spans="1:29" ht="41.25">
      <c r="A5" s="430"/>
      <c r="B5" s="1797" t="s">
        <v>2096</v>
      </c>
      <c r="C5" s="2372" t="s">
        <v>2097</v>
      </c>
      <c r="D5" s="2369"/>
      <c r="E5" s="2373"/>
      <c r="F5" s="1797" t="s">
        <v>2098</v>
      </c>
      <c r="G5" s="2374" t="s">
        <v>2099</v>
      </c>
      <c r="H5" s="2366"/>
      <c r="I5" s="2366"/>
      <c r="J5" s="2366"/>
      <c r="K5" s="2366"/>
      <c r="L5" s="2366"/>
      <c r="M5" s="2366"/>
      <c r="N5" s="2366"/>
      <c r="O5" s="2366"/>
      <c r="P5" s="2366"/>
      <c r="Q5" s="2366"/>
      <c r="R5" s="2366"/>
    </row>
    <row r="6" spans="1:29" ht="54">
      <c r="A6" s="430"/>
      <c r="B6" s="1797" t="s">
        <v>2100</v>
      </c>
      <c r="C6" s="2374" t="s">
        <v>2095</v>
      </c>
      <c r="D6" s="2369"/>
      <c r="E6" s="2373"/>
      <c r="F6" s="1797" t="s">
        <v>2101</v>
      </c>
      <c r="G6" s="2374" t="s">
        <v>2102</v>
      </c>
      <c r="H6" s="2366"/>
      <c r="I6" s="2366"/>
      <c r="J6" s="2366"/>
      <c r="K6" s="2366"/>
      <c r="L6" s="2366"/>
      <c r="M6" s="2366"/>
      <c r="N6" s="2366"/>
      <c r="O6" s="2366"/>
      <c r="P6" s="2366"/>
      <c r="Q6" s="2366"/>
      <c r="R6" s="2366"/>
    </row>
    <row r="7" spans="1:29" ht="41.25" thickBot="1">
      <c r="A7" s="430"/>
      <c r="B7" s="1797" t="s">
        <v>2098</v>
      </c>
      <c r="C7" s="2374" t="s">
        <v>2099</v>
      </c>
      <c r="D7" s="2375"/>
      <c r="E7" s="2376"/>
      <c r="F7" s="2377" t="s">
        <v>2103</v>
      </c>
      <c r="G7" s="2378" t="s">
        <v>2104</v>
      </c>
      <c r="H7" s="2366"/>
      <c r="I7" s="2366"/>
      <c r="J7" s="2366"/>
      <c r="K7" s="2366"/>
      <c r="L7" s="2366"/>
      <c r="M7" s="2366"/>
      <c r="N7" s="2366"/>
      <c r="O7" s="2366"/>
      <c r="P7" s="2366"/>
      <c r="Q7" s="2366"/>
      <c r="R7" s="2366"/>
    </row>
    <row r="8" spans="1:29" ht="27">
      <c r="A8" s="430"/>
      <c r="B8" s="1797" t="s">
        <v>2101</v>
      </c>
      <c r="C8" s="2374" t="s">
        <v>2102</v>
      </c>
      <c r="D8" s="2375"/>
      <c r="E8" s="2375"/>
      <c r="F8" s="1135"/>
      <c r="G8" s="1135"/>
      <c r="H8" s="2366"/>
      <c r="I8" s="2366"/>
      <c r="J8" s="2366"/>
      <c r="K8" s="2366"/>
      <c r="L8" s="2366"/>
      <c r="M8" s="2366"/>
      <c r="N8" s="2366"/>
      <c r="O8" s="2366"/>
      <c r="P8" s="2366"/>
      <c r="Q8" s="2366"/>
      <c r="R8" s="2366"/>
    </row>
    <row r="9" spans="1:29" ht="27">
      <c r="A9" s="430"/>
      <c r="B9" s="1797" t="s">
        <v>2105</v>
      </c>
      <c r="C9" s="2372" t="s">
        <v>2106</v>
      </c>
      <c r="D9" s="2369"/>
      <c r="E9" s="2375"/>
      <c r="F9" s="1135"/>
      <c r="G9" s="1135"/>
      <c r="H9" s="2366"/>
      <c r="I9" s="2366"/>
      <c r="J9" s="2366"/>
      <c r="K9" s="2366"/>
      <c r="L9" s="2366"/>
      <c r="M9" s="2366"/>
      <c r="N9" s="2366"/>
      <c r="O9" s="2366"/>
      <c r="P9" s="2366"/>
      <c r="Q9" s="2366"/>
      <c r="R9" s="2366"/>
    </row>
    <row r="10" spans="1:29" s="117" customFormat="1" ht="15.75" thickBot="1">
      <c r="A10" s="2379"/>
      <c r="B10" s="2380" t="s">
        <v>2107</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8" t="s">
        <v>2111</v>
      </c>
      <c r="B15" s="1269" t="s">
        <v>2088</v>
      </c>
      <c r="C15" s="2401" t="str">
        <f>C3</f>
        <v>估价对象周边居住用地比例、居住小区规模和社区发展完善程度，综合评价居住社区成熟度一般</v>
      </c>
      <c r="D15" s="2369"/>
      <c r="E15" s="2402" t="s">
        <v>2112</v>
      </c>
      <c r="F15" s="1269" t="s">
        <v>2113</v>
      </c>
      <c r="G15" s="135" t="str">
        <f>G3</f>
        <v>估价对象位于XX开发区，园区建设成熟度XX，产业集聚程度XX</v>
      </c>
    </row>
    <row r="16" spans="1:29" ht="42.75">
      <c r="A16" s="644"/>
      <c r="B16" s="2403" t="s">
        <v>2092</v>
      </c>
      <c r="C16" s="2404" t="str">
        <f>C4</f>
        <v>估价对象位于XX商圈，周边商业氛围成熟，人流量大，商业繁华度好</v>
      </c>
      <c r="D16" s="2369"/>
      <c r="E16" s="2405"/>
      <c r="F16" s="2406" t="s">
        <v>2094</v>
      </c>
      <c r="G16" s="136" t="str">
        <f>G4</f>
        <v>估价对象周边道路状况、公共交通通达情况、停车便捷程度，综合评价交通便捷度较好</v>
      </c>
    </row>
    <row r="17" spans="1:18" ht="42.75">
      <c r="A17" s="644"/>
      <c r="B17" s="2403" t="s">
        <v>2096</v>
      </c>
      <c r="C17" s="2404" t="str">
        <f>C5</f>
        <v>估价对象位于XX商圈，周边办公楼项目较多，入驻率高，办公集聚程度较好</v>
      </c>
      <c r="D17" s="2375"/>
      <c r="E17" s="2405"/>
      <c r="F17" s="2406" t="s">
        <v>2114</v>
      </c>
      <c r="G17" s="1571"/>
    </row>
    <row r="18" spans="1:18" ht="57">
      <c r="A18" s="644"/>
      <c r="B18" s="2406" t="s">
        <v>2100</v>
      </c>
      <c r="C18" s="136" t="str">
        <f>C6</f>
        <v>估价对象周边道路状况、公共交通通达情况、停车便捷程度，综合评价交通便捷度较好</v>
      </c>
      <c r="D18" s="2375"/>
      <c r="E18" s="2405"/>
      <c r="F18" s="2406" t="s">
        <v>2103</v>
      </c>
      <c r="G18" s="136" t="str">
        <f>G7</f>
        <v>该园区内是否有污染型企业，绿化情况，卫生条件，整体环境状况判断</v>
      </c>
    </row>
    <row r="19" spans="1:18" ht="28.5">
      <c r="A19" s="644"/>
      <c r="B19" s="2406" t="s">
        <v>2115</v>
      </c>
      <c r="C19" s="1571"/>
      <c r="D19" s="2369"/>
      <c r="E19" s="2405"/>
      <c r="F19" s="1797" t="s">
        <v>2098</v>
      </c>
      <c r="G19" s="136" t="str">
        <f>G5</f>
        <v>估价对象所在区域公共配套设施齐备情况</v>
      </c>
    </row>
    <row r="20" spans="1:18" ht="28.5">
      <c r="A20" s="644"/>
      <c r="B20" s="2406" t="s">
        <v>2116</v>
      </c>
      <c r="C20" s="2404" t="str">
        <f>C9</f>
        <v>区域自然环境：；人文环境；综合评价环境状况一般</v>
      </c>
      <c r="D20" s="2375"/>
      <c r="E20" s="2405"/>
      <c r="F20" s="1797" t="s">
        <v>2117</v>
      </c>
      <c r="G20" s="136" t="str">
        <f>G6</f>
        <v>估价对象所在区域基础设施水平</v>
      </c>
    </row>
    <row r="21" spans="1:18" ht="28.5">
      <c r="A21" s="644"/>
      <c r="B21" s="1797" t="s">
        <v>2098</v>
      </c>
      <c r="C21" s="136" t="str">
        <f>C7</f>
        <v>估价对象所在区域公共配套设施齐备情况</v>
      </c>
      <c r="D21" s="2369"/>
      <c r="E21" s="2405"/>
      <c r="F21" s="2406" t="s">
        <v>2118</v>
      </c>
      <c r="G21" s="2407"/>
    </row>
    <row r="22" spans="1:18" ht="13.5" customHeight="1">
      <c r="A22" s="644"/>
      <c r="B22" s="1797" t="s">
        <v>2101</v>
      </c>
      <c r="C22" s="136" t="str">
        <f>C8</f>
        <v>估价对象所在区域基础设施水平</v>
      </c>
      <c r="D22" s="2369"/>
      <c r="E22" s="2405"/>
      <c r="F22" s="2406" t="s">
        <v>2107</v>
      </c>
      <c r="G22" s="1571"/>
    </row>
    <row r="23" spans="1:18" s="2366" customFormat="1" ht="15.75" thickBot="1">
      <c r="A23" s="644"/>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65305.219999999972</v>
      </c>
      <c r="C1" s="1744"/>
      <c r="D1" s="1744"/>
      <c r="E1" s="1744"/>
      <c r="F1" s="1744"/>
      <c r="G1" s="1742"/>
    </row>
    <row r="2" spans="1:10" ht="16.5">
      <c r="A2" s="1745" t="s">
        <v>1353</v>
      </c>
      <c r="B2" s="1745">
        <f>SUM(C14:C23)</f>
        <v>29208.38</v>
      </c>
      <c r="C2" s="1744"/>
      <c r="D2" s="1744"/>
      <c r="E2" s="1744"/>
      <c r="F2" s="1744"/>
      <c r="G2" s="1742"/>
    </row>
    <row r="3" spans="1:10" ht="16.5">
      <c r="A3" s="1745" t="s">
        <v>1362</v>
      </c>
      <c r="B3" s="1746">
        <f>项目基本情况!D3</f>
        <v>43424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49787</v>
      </c>
      <c r="C5" s="1745">
        <f ca="1">ROUND(B5*10000/$B$1,0)</f>
        <v>7624</v>
      </c>
      <c r="D5" s="1745">
        <f ca="1">ROUND(B5*10000/$B$2,0)</f>
        <v>17045</v>
      </c>
      <c r="E5" s="1744"/>
      <c r="F5" s="1742"/>
      <c r="G5" s="1742"/>
    </row>
    <row r="6" spans="1:10" ht="16.5">
      <c r="A6" s="1745" t="s">
        <v>1356</v>
      </c>
      <c r="B6" s="1745">
        <f ca="1">SUM(G14:G23)</f>
        <v>49787</v>
      </c>
      <c r="C6" s="1745">
        <f ca="1">ROUND(B6*10000/$B$1,0)</f>
        <v>7624</v>
      </c>
      <c r="D6" s="1745">
        <f ca="1">ROUND(B6*10000/$B$2,0)</f>
        <v>17045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65305.219999999972</v>
      </c>
      <c r="C14" s="1743">
        <f>结果表!C118</f>
        <v>29208.38</v>
      </c>
      <c r="D14" s="1743">
        <f ca="1">结果表!H118</f>
        <v>49787</v>
      </c>
      <c r="E14" s="1743">
        <f ca="1">ROUND(D14*10000/B14,0)</f>
        <v>7624</v>
      </c>
      <c r="F14" s="1743">
        <f ca="1">ROUND(D14*10000/C14,0)</f>
        <v>17045</v>
      </c>
      <c r="G14" s="1743">
        <f ca="1">结果表!D122</f>
        <v>49787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2121</v>
      </c>
      <c r="B1" s="2417"/>
      <c r="C1" s="2418"/>
      <c r="D1" s="2417"/>
      <c r="E1" s="2417"/>
      <c r="F1" s="2419" t="s">
        <v>2122</v>
      </c>
      <c r="G1" s="2069" t="s">
        <v>2123</v>
      </c>
      <c r="H1" s="2420" t="str">
        <f>IF(G1="现房","——","估价对象范围")</f>
        <v>估价对象范围</v>
      </c>
      <c r="I1" s="2421"/>
    </row>
    <row r="2" spans="1:12" ht="21.75" customHeight="1" thickBot="1">
      <c r="A2" s="3098" t="str">
        <f>项目基本情况!S2</f>
        <v>江苏省泰兴市根思路南侧、文江路西侧10号地块出让国有建设用地使用权及在建建筑物房地产</v>
      </c>
      <c r="B2" s="3099"/>
      <c r="C2" s="3099"/>
      <c r="D2" s="3099"/>
      <c r="E2" s="3099"/>
      <c r="F2" s="3099"/>
      <c r="G2" s="3099"/>
      <c r="H2" s="3099"/>
      <c r="I2" s="3100"/>
    </row>
    <row r="3" spans="1:12" ht="12.75">
      <c r="A3" s="3102" t="s">
        <v>2124</v>
      </c>
      <c r="B3" s="3103"/>
      <c r="C3" s="3103"/>
      <c r="D3" s="3103"/>
      <c r="E3" s="3103"/>
      <c r="F3" s="3103"/>
      <c r="G3" s="3103"/>
      <c r="H3" s="3103"/>
      <c r="I3" s="3103"/>
    </row>
    <row r="4" spans="1:12" ht="14.25">
      <c r="A4" s="2424" t="s">
        <v>2125</v>
      </c>
      <c r="B4" s="2425" t="s">
        <v>2126</v>
      </c>
      <c r="C4" s="2426" t="s">
        <v>3224</v>
      </c>
      <c r="D4" s="2426" t="s">
        <v>3225</v>
      </c>
      <c r="E4" s="3095" t="s">
        <v>2127</v>
      </c>
      <c r="F4" s="3096"/>
      <c r="G4" s="3096"/>
      <c r="H4" s="3096"/>
      <c r="I4" s="310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78" t="s">
        <v>2128</v>
      </c>
      <c r="B5" s="3016">
        <v>25</v>
      </c>
      <c r="C5" s="3081"/>
      <c r="D5" s="3101"/>
      <c r="E5" s="140" t="s">
        <v>2129</v>
      </c>
      <c r="F5" s="2428"/>
      <c r="G5" s="2428"/>
      <c r="H5" s="2428"/>
      <c r="I5" s="1833"/>
    </row>
    <row r="6" spans="1:12" ht="12.75">
      <c r="A6" s="3078"/>
      <c r="B6" s="3016"/>
      <c r="C6" s="3082"/>
      <c r="D6" s="3101"/>
      <c r="E6" s="140" t="s">
        <v>2130</v>
      </c>
      <c r="F6" s="2428"/>
      <c r="G6" s="2428"/>
      <c r="H6" s="2428"/>
      <c r="I6" s="1833"/>
    </row>
    <row r="7" spans="1:12" ht="12.75">
      <c r="A7" s="3078"/>
      <c r="B7" s="3016"/>
      <c r="C7" s="3083"/>
      <c r="D7" s="3101"/>
      <c r="E7" s="140" t="s">
        <v>2131</v>
      </c>
      <c r="F7" s="2428"/>
      <c r="G7" s="2428"/>
      <c r="H7" s="2428"/>
      <c r="I7" s="1833"/>
    </row>
    <row r="8" spans="1:12" ht="12.75">
      <c r="A8" s="3078" t="s">
        <v>2132</v>
      </c>
      <c r="B8" s="3016">
        <v>15</v>
      </c>
      <c r="C8" s="3081"/>
      <c r="D8" s="3101"/>
      <c r="E8" s="140" t="s">
        <v>2133</v>
      </c>
      <c r="F8" s="2428"/>
      <c r="G8" s="2428"/>
      <c r="H8" s="2428"/>
      <c r="I8" s="1833"/>
    </row>
    <row r="9" spans="1:12" ht="12.75">
      <c r="A9" s="3078"/>
      <c r="B9" s="3016"/>
      <c r="C9" s="3083"/>
      <c r="D9" s="3101"/>
      <c r="E9" s="140" t="s">
        <v>2134</v>
      </c>
      <c r="F9" s="2428"/>
      <c r="G9" s="2428"/>
      <c r="H9" s="2428"/>
      <c r="I9" s="1833"/>
    </row>
    <row r="10" spans="1:12" ht="12.75">
      <c r="A10" s="3078" t="s">
        <v>2135</v>
      </c>
      <c r="B10" s="3016">
        <v>15</v>
      </c>
      <c r="C10" s="3081"/>
      <c r="D10" s="3101"/>
      <c r="E10" s="140" t="s">
        <v>2136</v>
      </c>
      <c r="F10" s="2428"/>
      <c r="G10" s="2428"/>
      <c r="H10" s="2428"/>
      <c r="I10" s="1833"/>
    </row>
    <row r="11" spans="1:12" ht="12.75">
      <c r="A11" s="3078"/>
      <c r="B11" s="3016"/>
      <c r="C11" s="3083"/>
      <c r="D11" s="3101"/>
      <c r="E11" s="140" t="s">
        <v>2137</v>
      </c>
      <c r="F11" s="2428"/>
      <c r="G11" s="2428"/>
      <c r="H11" s="2428"/>
      <c r="I11" s="1833"/>
    </row>
    <row r="12" spans="1:12" ht="12.75">
      <c r="A12" s="3078" t="s">
        <v>2138</v>
      </c>
      <c r="B12" s="3016">
        <v>15</v>
      </c>
      <c r="C12" s="3081"/>
      <c r="D12" s="3101"/>
      <c r="E12" s="140" t="s">
        <v>2139</v>
      </c>
      <c r="F12" s="2428"/>
      <c r="G12" s="2428"/>
      <c r="H12" s="2428"/>
      <c r="I12" s="1833"/>
    </row>
    <row r="13" spans="1:12" ht="12.75">
      <c r="A13" s="3078"/>
      <c r="B13" s="3016"/>
      <c r="C13" s="3083"/>
      <c r="D13" s="3101"/>
      <c r="E13" s="140" t="s">
        <v>2140</v>
      </c>
      <c r="F13" s="2428"/>
      <c r="G13" s="2428"/>
      <c r="H13" s="2428"/>
      <c r="I13" s="1833"/>
    </row>
    <row r="14" spans="1:12" ht="12.75">
      <c r="A14" s="3078" t="s">
        <v>2141</v>
      </c>
      <c r="B14" s="3016">
        <v>30</v>
      </c>
      <c r="C14" s="3081">
        <v>5</v>
      </c>
      <c r="D14" s="3101">
        <v>5</v>
      </c>
      <c r="E14" s="140" t="s">
        <v>2142</v>
      </c>
      <c r="F14" s="2428"/>
      <c r="G14" s="2428"/>
      <c r="H14" s="2428"/>
      <c r="I14" s="1833"/>
    </row>
    <row r="15" spans="1:12" ht="12.75">
      <c r="A15" s="3078"/>
      <c r="B15" s="3016"/>
      <c r="C15" s="3082"/>
      <c r="D15" s="3101"/>
      <c r="E15" s="140" t="s">
        <v>2143</v>
      </c>
      <c r="F15" s="2428"/>
      <c r="G15" s="2428"/>
      <c r="H15" s="2428"/>
      <c r="I15" s="1833"/>
    </row>
    <row r="16" spans="1:12" ht="12.75">
      <c r="A16" s="3078"/>
      <c r="B16" s="3016"/>
      <c r="C16" s="3083"/>
      <c r="D16" s="3101"/>
      <c r="E16" s="140" t="s">
        <v>2144</v>
      </c>
      <c r="F16" s="2428"/>
      <c r="G16" s="2428"/>
      <c r="H16" s="2428"/>
      <c r="I16" s="1833"/>
    </row>
    <row r="17" spans="1:35" ht="15">
      <c r="A17" s="2429" t="s">
        <v>2145</v>
      </c>
      <c r="B17" s="64"/>
      <c r="C17" s="141">
        <f>SUM(C5:C16)</f>
        <v>5</v>
      </c>
      <c r="D17" s="141">
        <f>SUM(D5:D16)</f>
        <v>5</v>
      </c>
      <c r="E17" s="138"/>
      <c r="F17" s="138"/>
      <c r="G17" s="138"/>
      <c r="H17" s="138"/>
      <c r="I17" s="138"/>
      <c r="K17" s="2427"/>
      <c r="L17" s="2430" t="s">
        <v>2146</v>
      </c>
      <c r="M17" s="2430" t="s">
        <v>2147</v>
      </c>
    </row>
    <row r="18" spans="1:35" ht="15.75" thickBot="1">
      <c r="A18" s="2431" t="s">
        <v>2148</v>
      </c>
      <c r="B18" s="2432"/>
      <c r="C18" s="142">
        <f>ROUND(C17/SUM(C17:D17),2)</f>
        <v>0.5</v>
      </c>
      <c r="D18" s="142">
        <f>1-C18</f>
        <v>0.5</v>
      </c>
      <c r="E18" s="138"/>
      <c r="F18" s="138"/>
      <c r="G18" s="138"/>
      <c r="H18" s="138"/>
      <c r="I18" s="138"/>
      <c r="K18" s="2427" t="s">
        <v>2149</v>
      </c>
      <c r="L18" s="2427">
        <f>IF(C1="",'数据-汇总表'!E3,SUMIF(项目类型,C1,'数据-汇总表'!E17:E26)+SUMIF(项目类型,C1,'数据-汇总表'!I17:I26))</f>
        <v>65305.219999999972</v>
      </c>
      <c r="M18" s="2427">
        <f>IF(C1="",'数据-汇总表'!E3,SUMIF(项目类型,C1,'数据-汇总表'!E17:E26))</f>
        <v>65305.219999999972</v>
      </c>
    </row>
    <row r="19" spans="1:35" ht="15">
      <c r="A19" s="2433" t="s">
        <v>2150</v>
      </c>
      <c r="B19" s="2434" t="s">
        <v>2151</v>
      </c>
      <c r="C19" s="143">
        <f ca="1">SUMIF(INDIRECT("'"&amp;C4&amp;"'"&amp;"!A:A"),结果表!B19,INDIRECT("'"&amp;C4&amp;"'"&amp;"!B:B"))</f>
        <v>49238</v>
      </c>
      <c r="D19" s="144">
        <f ca="1">SUMIF(INDIRECT("'"&amp;D4&amp;"'"&amp;"!A:A"),结果表!B19,INDIRECT("'"&amp;D4&amp;"'"&amp;"!B:B"))</f>
        <v>50336</v>
      </c>
      <c r="E19" s="2433" t="s">
        <v>2152</v>
      </c>
      <c r="F19" s="2434" t="s">
        <v>2151</v>
      </c>
      <c r="G19" s="145">
        <f ca="1">ROUND(C19*$C$18+D19*$D$18,0)</f>
        <v>49787</v>
      </c>
      <c r="H19" s="2435" t="s">
        <v>2153</v>
      </c>
      <c r="I19" s="138"/>
      <c r="K19" s="2427" t="s">
        <v>2154</v>
      </c>
      <c r="L19" s="2427">
        <f>IF(C1="",'数据-汇总表'!D3,SUMIF(项目类型,C1,'数据-汇总表'!D17:D26)+SUMIF(项目类型,C1,'数据-汇总表'!H17:H27))</f>
        <v>29208.38</v>
      </c>
      <c r="M19" s="2427">
        <f>IF(C1="",'数据-汇总表'!D3,SUMIF(项目类型,C1,'数据-汇总表'!D17:D26))</f>
        <v>29208.38</v>
      </c>
    </row>
    <row r="20" spans="1:35" ht="15">
      <c r="A20" s="2436"/>
      <c r="B20" s="1249" t="s">
        <v>2155</v>
      </c>
      <c r="C20" s="146">
        <f ca="1">SUMIF(INDIRECT("'"&amp;C4&amp;"'"&amp;"!A:A"),结果表!B20,INDIRECT("'"&amp;C4&amp;"'"&amp;"!B:B"))</f>
        <v>7540</v>
      </c>
      <c r="D20" s="147">
        <f ca="1">SUMIF(INDIRECT("'"&amp;D4&amp;"'"&amp;"!A:A"),结果表!B20,INDIRECT("'"&amp;D4&amp;"'"&amp;"!B:B"))</f>
        <v>7708</v>
      </c>
      <c r="E20" s="2436"/>
      <c r="F20" s="1249" t="s">
        <v>2155</v>
      </c>
      <c r="G20" s="148">
        <f ca="1">ROUND(C20*$C$18+D20*$D$18,0)</f>
        <v>7624</v>
      </c>
      <c r="H20" s="982" t="s">
        <v>2156</v>
      </c>
      <c r="I20" s="138"/>
    </row>
    <row r="21" spans="1:35" ht="15" customHeight="1" thickBot="1">
      <c r="A21" s="1002"/>
      <c r="B21" s="2437" t="s">
        <v>2157</v>
      </c>
      <c r="C21" s="788">
        <f ca="1">ROUND(C19*10000/L19,0)</f>
        <v>16857</v>
      </c>
      <c r="D21" s="789">
        <f ca="1">ROUND(D19*10000/L19,0)</f>
        <v>17233</v>
      </c>
      <c r="E21" s="1002"/>
      <c r="F21" s="2437" t="s">
        <v>2157</v>
      </c>
      <c r="G21" s="149">
        <f ca="1">ROUND(G19*10000/L19,0)</f>
        <v>17045</v>
      </c>
      <c r="H21" s="2438" t="s">
        <v>2156</v>
      </c>
      <c r="I21" s="138"/>
    </row>
    <row r="22" spans="1:35" ht="15" thickBot="1">
      <c r="A22" s="2279" t="s">
        <v>2158</v>
      </c>
      <c r="B22" s="2439"/>
      <c r="C22" s="2440"/>
      <c r="D22" s="790">
        <f ca="1">IF(C19&lt;D19,D19/C19-1,C19/D19-1)</f>
        <v>2.2299849709573882E-2</v>
      </c>
      <c r="E22" s="138"/>
      <c r="F22" s="138"/>
      <c r="G22" s="138"/>
      <c r="H22" s="138"/>
      <c r="I22" s="138"/>
    </row>
    <row r="23" spans="1:35" ht="13.5" thickBot="1">
      <c r="A23" s="2417"/>
      <c r="B23" s="2417"/>
      <c r="C23" s="2417"/>
      <c r="D23" s="2417"/>
      <c r="E23" s="138"/>
      <c r="F23" s="138"/>
      <c r="G23" s="138"/>
      <c r="H23" s="138"/>
      <c r="I23" s="138"/>
    </row>
    <row r="24" spans="1:35" ht="14.25">
      <c r="A24" s="3072" t="s">
        <v>2159</v>
      </c>
      <c r="B24" s="2434" t="s">
        <v>2151</v>
      </c>
      <c r="C24" s="145">
        <f>IF(B30=0,0,D30)</f>
        <v>0</v>
      </c>
      <c r="D24" s="2441"/>
      <c r="E24" s="138"/>
      <c r="F24" s="138"/>
      <c r="G24" s="138"/>
      <c r="H24" s="138"/>
      <c r="I24" s="138"/>
    </row>
    <row r="25" spans="1:35" ht="14.25">
      <c r="A25" s="3073"/>
      <c r="B25" s="1249"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2164</v>
      </c>
      <c r="B30" s="151"/>
      <c r="C30" s="151"/>
      <c r="D30" s="151"/>
      <c r="E30" s="2926" t="s">
        <v>3041</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2165</v>
      </c>
      <c r="B32" s="2447"/>
      <c r="C32" s="153">
        <f ca="1">IF(D32="总价",G19-C24,G20-C25)</f>
        <v>49787</v>
      </c>
      <c r="D32" s="2448" t="s">
        <v>2166</v>
      </c>
      <c r="E32" s="138"/>
      <c r="F32" s="138"/>
      <c r="G32" s="138"/>
      <c r="H32" s="138"/>
      <c r="I32" s="138"/>
    </row>
    <row r="33" spans="1:15" ht="15">
      <c r="A33" s="959" t="s">
        <v>2167</v>
      </c>
      <c r="B33" s="2449"/>
      <c r="C33" s="2450"/>
      <c r="D33" s="2451"/>
      <c r="E33" s="2452" t="s">
        <v>2168</v>
      </c>
      <c r="F33" s="2453" t="str">
        <f>IF(D32="楼面单价","取值（单价）","取值（总价）")</f>
        <v>取值（总价）</v>
      </c>
      <c r="G33" s="138"/>
      <c r="H33" s="138"/>
      <c r="I33" s="138"/>
    </row>
    <row r="34" spans="1:15" ht="15">
      <c r="A34" s="2454"/>
      <c r="B34" s="2455"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2170</v>
      </c>
      <c r="F34" s="1738"/>
      <c r="G34" s="138"/>
      <c r="H34" s="138"/>
      <c r="I34" s="138"/>
    </row>
    <row r="35" spans="1:15" ht="15.75" thickBot="1">
      <c r="A35" s="2457"/>
      <c r="B35" s="2458"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2172</v>
      </c>
      <c r="F35" s="163"/>
      <c r="G35" s="138"/>
      <c r="H35" s="138"/>
      <c r="I35" s="138"/>
    </row>
    <row r="36" spans="1:15" ht="15.75" thickBot="1">
      <c r="A36" s="3090" t="s">
        <v>2173</v>
      </c>
      <c r="B36" s="2460" t="s">
        <v>2174</v>
      </c>
      <c r="C36" s="154"/>
      <c r="D36" s="2461"/>
      <c r="E36" s="2462"/>
      <c r="F36" s="2463"/>
      <c r="G36" s="138"/>
      <c r="H36" s="138"/>
      <c r="I36" s="138"/>
    </row>
    <row r="37" spans="1:15" ht="15.75" thickBot="1">
      <c r="A37" s="3091"/>
      <c r="B37" s="2265" t="s">
        <v>2175</v>
      </c>
      <c r="C37" s="156"/>
      <c r="D37" s="1394"/>
      <c r="E37" s="1394"/>
      <c r="F37" s="2463"/>
      <c r="G37" s="138"/>
      <c r="H37" s="138"/>
      <c r="I37" s="138"/>
    </row>
    <row r="38" spans="1:15" ht="15.75" thickBot="1">
      <c r="A38" s="3092"/>
      <c r="B38" s="2464" t="s">
        <v>2176</v>
      </c>
      <c r="C38" s="726"/>
      <c r="D38" s="2465" t="s">
        <v>2177</v>
      </c>
      <c r="E38" s="1394"/>
      <c r="F38" s="2463"/>
      <c r="G38" s="138"/>
      <c r="H38" s="138"/>
      <c r="I38" s="138"/>
    </row>
    <row r="39" spans="1:15" ht="15">
      <c r="A39" s="2436" t="s">
        <v>2178</v>
      </c>
      <c r="B39" s="2466" t="s">
        <v>2179</v>
      </c>
      <c r="C39" s="2467" t="s">
        <v>2180</v>
      </c>
      <c r="D39" s="2467" t="s">
        <v>2181</v>
      </c>
      <c r="E39" s="2468" t="s">
        <v>2182</v>
      </c>
      <c r="F39" s="2463"/>
      <c r="G39" s="138"/>
      <c r="H39" s="138"/>
      <c r="I39" s="138"/>
    </row>
    <row r="40" spans="1:15" ht="14.25">
      <c r="A40" s="2469" t="s">
        <v>2183</v>
      </c>
      <c r="B40" s="158"/>
      <c r="C40" s="159"/>
      <c r="D40" s="159"/>
      <c r="E40" s="160"/>
      <c r="F40" s="2463"/>
      <c r="G40" s="138"/>
      <c r="H40" s="138"/>
      <c r="I40" s="138"/>
    </row>
    <row r="41" spans="1:15" ht="14.25">
      <c r="A41" s="2469" t="s">
        <v>2184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069" t="s">
        <v>2187</v>
      </c>
      <c r="B45" s="3070"/>
      <c r="C45" s="3071"/>
      <c r="D45" s="164">
        <f ca="1">ROUND(H101*F45,0)</f>
        <v>49787</v>
      </c>
      <c r="E45" s="165" t="s">
        <v>2188</v>
      </c>
      <c r="F45" s="166">
        <v>1</v>
      </c>
      <c r="G45" s="167" t="s">
        <v>2189</v>
      </c>
      <c r="H45" s="138"/>
      <c r="I45" s="138"/>
      <c r="J45" s="3129" t="s">
        <v>2190</v>
      </c>
      <c r="K45" s="3129"/>
      <c r="L45" s="3129"/>
      <c r="M45" s="3129"/>
      <c r="N45" s="3129"/>
      <c r="O45" s="3129"/>
    </row>
    <row r="46" spans="1:15" ht="14.25" customHeight="1">
      <c r="A46" s="3066" t="s">
        <v>2191</v>
      </c>
      <c r="B46" s="3067"/>
      <c r="C46" s="3067"/>
      <c r="D46" s="3067"/>
      <c r="E46" s="3067"/>
      <c r="F46" s="3067"/>
      <c r="G46" s="3068"/>
      <c r="H46" s="2479"/>
      <c r="I46" s="168"/>
      <c r="J46" s="1811">
        <v>1</v>
      </c>
      <c r="K46" s="3129" t="s">
        <v>2192</v>
      </c>
      <c r="L46" s="3129"/>
      <c r="M46" s="3149"/>
      <c r="N46" s="3149"/>
      <c r="O46" s="3149"/>
    </row>
    <row r="47" spans="1:15" ht="12" customHeight="1">
      <c r="A47" s="169" t="s">
        <v>2193</v>
      </c>
      <c r="B47" s="170"/>
      <c r="C47" s="171"/>
      <c r="D47" s="172" t="s">
        <v>2194</v>
      </c>
      <c r="E47" s="24" t="s">
        <v>2195</v>
      </c>
      <c r="F47" s="173" t="s">
        <v>2196</v>
      </c>
      <c r="G47" s="174" t="s">
        <v>2197</v>
      </c>
      <c r="H47" s="2479"/>
      <c r="I47" s="168"/>
      <c r="J47" s="1811">
        <v>2</v>
      </c>
      <c r="K47" s="3129" t="s">
        <v>2198</v>
      </c>
      <c r="L47" s="3129"/>
      <c r="M47" s="3150">
        <f>'数据-取费表'!B2</f>
        <v>43424</v>
      </c>
      <c r="N47" s="3150"/>
      <c r="O47" s="3150"/>
    </row>
    <row r="48" spans="1:15" ht="25.5">
      <c r="A48" s="3097" t="s">
        <v>2199</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80" t="s">
        <v>2200</v>
      </c>
      <c r="H48" s="2481" t="s">
        <v>2201</v>
      </c>
      <c r="I48" s="2479"/>
      <c r="J48" s="1811">
        <v>3</v>
      </c>
      <c r="K48" s="3129" t="s">
        <v>2202</v>
      </c>
      <c r="L48" s="3129"/>
      <c r="M48" s="3151">
        <f ca="1">H101</f>
        <v>49787</v>
      </c>
      <c r="N48" s="3151"/>
      <c r="O48" s="3151"/>
    </row>
    <row r="49" spans="1:35" ht="25.5" customHeight="1">
      <c r="A49" s="176" t="s">
        <v>2203</v>
      </c>
      <c r="B49" s="3065" t="s">
        <v>2204</v>
      </c>
      <c r="C49" s="3065"/>
      <c r="D49" s="177">
        <v>0</v>
      </c>
      <c r="E49" s="23" t="s">
        <v>2205</v>
      </c>
      <c r="F49" s="28" t="s">
        <v>34</v>
      </c>
      <c r="G49" s="3135"/>
      <c r="H49" s="138"/>
      <c r="I49" s="2482"/>
      <c r="J49" s="1811">
        <v>4</v>
      </c>
      <c r="K49" s="3129" t="str">
        <f>IF(项目基本情况!E8="房地产抵押价值","房地产抵押价值","抵押担保权已注销时的房地产抵押价值")</f>
        <v>房地产抵押价值</v>
      </c>
      <c r="L49" s="3129"/>
      <c r="M49" s="3151">
        <f ca="1">IF(项目基本情况!E8="房地产抵押价值",H107,H109)</f>
        <v>49787</v>
      </c>
      <c r="N49" s="3151"/>
      <c r="O49" s="3151"/>
    </row>
    <row r="50" spans="1:35" ht="25.5" customHeight="1">
      <c r="A50" s="178"/>
      <c r="B50" s="3065" t="s">
        <v>2206</v>
      </c>
      <c r="C50" s="3065"/>
      <c r="D50" s="179"/>
      <c r="E50" s="31"/>
      <c r="F50" s="180"/>
      <c r="G50" s="3136"/>
      <c r="H50" s="138"/>
      <c r="I50" s="2482"/>
      <c r="J50" s="3129" t="s">
        <v>2207</v>
      </c>
      <c r="K50" s="3129"/>
      <c r="L50" s="3129"/>
      <c r="M50" s="3129"/>
      <c r="N50" s="3129"/>
      <c r="O50" s="3129"/>
    </row>
    <row r="51" spans="1:35" ht="12" customHeight="1">
      <c r="A51" s="181"/>
      <c r="B51" s="3065" t="s">
        <v>2208</v>
      </c>
      <c r="C51" s="3065"/>
      <c r="D51" s="182"/>
      <c r="E51" s="30"/>
      <c r="F51" s="180"/>
      <c r="G51" s="3137"/>
      <c r="H51" s="138"/>
      <c r="I51" s="2482"/>
      <c r="J51" s="2483" t="s">
        <v>2209</v>
      </c>
      <c r="K51" s="3129" t="s">
        <v>2210</v>
      </c>
      <c r="L51" s="3129"/>
      <c r="M51" s="2483" t="s">
        <v>2211</v>
      </c>
      <c r="N51" s="2483" t="s">
        <v>2212</v>
      </c>
      <c r="O51" s="2483" t="s">
        <v>2213</v>
      </c>
    </row>
    <row r="52" spans="1:35" ht="24" customHeight="1">
      <c r="A52" s="183" t="s">
        <v>2214</v>
      </c>
      <c r="B52" s="3065" t="s">
        <v>2215</v>
      </c>
      <c r="C52" s="3065"/>
      <c r="D52" s="182">
        <f ca="1">ROUND(D45*'数据-取费表'!B41/(1+'数据-取费表'!C42),0)</f>
        <v>2703</v>
      </c>
      <c r="E52" s="11" t="s">
        <v>2216</v>
      </c>
      <c r="F52" s="184">
        <f>'数据-取费表'!B41</f>
        <v>5.7000000000000002E-2</v>
      </c>
      <c r="G52" s="2484"/>
      <c r="H52" s="138"/>
      <c r="I52" s="2482"/>
      <c r="J52" s="1811">
        <v>1</v>
      </c>
      <c r="K52" s="3130" t="s">
        <v>2217</v>
      </c>
      <c r="L52" s="3130"/>
      <c r="M52" s="1753">
        <f>D48</f>
        <v>0</v>
      </c>
      <c r="N52" s="1811" t="str">
        <f>E48</f>
        <v>销售额×税（费）率</v>
      </c>
      <c r="O52" s="1754" t="str">
        <f>F48</f>
        <v>免征</v>
      </c>
    </row>
    <row r="53" spans="1:35" ht="12" customHeight="1">
      <c r="A53" s="183" t="s">
        <v>2218</v>
      </c>
      <c r="B53" s="3088" t="s">
        <v>2219</v>
      </c>
      <c r="C53" s="3089"/>
      <c r="D53" s="182">
        <f ca="1">ROUND(D45*'数据-取费表'!B41/(1+'数据-取费表'!C42),0)</f>
        <v>2703</v>
      </c>
      <c r="E53" s="11" t="s">
        <v>2216</v>
      </c>
      <c r="F53" s="184">
        <f>'数据-取费表'!B41</f>
        <v>5.7000000000000002E-2</v>
      </c>
      <c r="G53" s="2484"/>
      <c r="H53" s="138"/>
      <c r="I53" s="2482"/>
      <c r="J53" s="1811">
        <v>2</v>
      </c>
      <c r="K53" s="3130" t="s">
        <v>2220</v>
      </c>
      <c r="L53" s="3130"/>
      <c r="M53" s="1753">
        <f t="shared" ref="M53:O54" ca="1" si="0">D55</f>
        <v>25</v>
      </c>
      <c r="N53" s="1811" t="str">
        <f t="shared" si="0"/>
        <v>销售额×税（费）率</v>
      </c>
      <c r="O53" s="1754">
        <f t="shared" si="0"/>
        <v>5.0000000000000001E-4</v>
      </c>
    </row>
    <row r="54" spans="1:35" ht="12" customHeight="1">
      <c r="A54" s="183" t="s">
        <v>2221</v>
      </c>
      <c r="B54" s="3088" t="s">
        <v>2222</v>
      </c>
      <c r="C54" s="3089"/>
      <c r="D54" s="182">
        <f ca="1">C68</f>
        <v>2703</v>
      </c>
      <c r="E54" s="30" t="s">
        <v>2223</v>
      </c>
      <c r="F54" s="184">
        <f>'数据-取费表'!B41</f>
        <v>5.7000000000000002E-2</v>
      </c>
      <c r="G54" s="2484"/>
      <c r="H54" s="2485"/>
      <c r="I54" s="2482"/>
      <c r="J54" s="1811">
        <v>3</v>
      </c>
      <c r="K54" s="3130" t="s">
        <v>2224</v>
      </c>
      <c r="L54" s="3130"/>
      <c r="M54" s="1753">
        <f t="shared" ca="1" si="0"/>
        <v>28134</v>
      </c>
      <c r="N54" s="1811" t="str">
        <f t="shared" si="0"/>
        <v>增值额×税（费）率</v>
      </c>
      <c r="O54" s="1755" t="str">
        <f t="shared" si="0"/>
        <v>——</v>
      </c>
    </row>
    <row r="55" spans="1:35" ht="24" customHeight="1">
      <c r="A55" s="3079" t="s">
        <v>2225</v>
      </c>
      <c r="B55" s="3080"/>
      <c r="C55" s="3080"/>
      <c r="D55" s="185">
        <f ca="1">IF(H55="个人住宅",0,ROUND(D45*I55,0))</f>
        <v>25</v>
      </c>
      <c r="E55" s="11" t="s">
        <v>2226</v>
      </c>
      <c r="F55" s="184">
        <f>IF(H55="正常",I55,"免征")</f>
        <v>5.0000000000000001E-4</v>
      </c>
      <c r="G55" s="2484"/>
      <c r="H55" s="2481" t="s">
        <v>2227</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079" t="s">
        <v>2228</v>
      </c>
      <c r="B56" s="3080"/>
      <c r="C56" s="3080"/>
      <c r="D56" s="185">
        <f ca="1">IF(H56="个人住宅",D57,D58)</f>
        <v>28134</v>
      </c>
      <c r="E56" s="11" t="s">
        <v>2229</v>
      </c>
      <c r="F56" s="184" t="str">
        <f>IF(H56="正常",F58,"免征")</f>
        <v>——</v>
      </c>
      <c r="G56" s="2486" t="s">
        <v>2230</v>
      </c>
      <c r="H56" s="2487" t="s">
        <v>2227</v>
      </c>
      <c r="I56" s="2488"/>
      <c r="J56" s="1811" t="str">
        <f>IF(项目基本情况!K6="上海银行",IF(J55="",4,J55+1),"")</f>
        <v/>
      </c>
      <c r="K56" s="3153" t="str">
        <f>IF(项目基本情况!K6="上海银行","其他处置费用","")</f>
        <v/>
      </c>
      <c r="L56" s="3154"/>
      <c r="M56" s="1753" t="str">
        <f>IF(项目基本情况!K6="上海银行",M69,"")</f>
        <v/>
      </c>
      <c r="N56" s="3156" t="str">
        <f>IF(项目基本情况!K6="上海银行","包含处置中涉及的律师、诉讼、拍卖、评估等费用","")</f>
        <v/>
      </c>
      <c r="O56" s="3157"/>
    </row>
    <row r="57" spans="1:35" ht="12.75">
      <c r="A57" s="183" t="s">
        <v>2203</v>
      </c>
      <c r="B57" s="3095" t="s">
        <v>2231</v>
      </c>
      <c r="C57" s="3104"/>
      <c r="D57" s="187">
        <v>0</v>
      </c>
      <c r="E57" s="23" t="s">
        <v>2205</v>
      </c>
      <c r="F57" s="155"/>
      <c r="G57" s="2484"/>
      <c r="H57" s="2488"/>
      <c r="I57" s="2488"/>
      <c r="J57" s="3130">
        <f>IF(AND(J55="",J56=""),4,IF(项目基本情况!K6="上海银行",结果表!J56+1,结果表!J55+1))</f>
        <v>4</v>
      </c>
      <c r="K57" s="3130" t="s">
        <v>2232</v>
      </c>
      <c r="L57" s="2489" t="s">
        <v>2233</v>
      </c>
      <c r="M57" s="1758"/>
      <c r="N57" s="1759">
        <f ca="1">SUMIF(M52:M56,"&lt;9e307")</f>
        <v>28159</v>
      </c>
      <c r="O57" s="2490"/>
      <c r="P57" s="1752">
        <f ca="1">N57/M49</f>
        <v>0.56558941089039305</v>
      </c>
    </row>
    <row r="58" spans="1:35" ht="24.75">
      <c r="A58" s="183" t="s">
        <v>2214</v>
      </c>
      <c r="B58" s="3095" t="s">
        <v>2234</v>
      </c>
      <c r="C58" s="3096"/>
      <c r="D58" s="185">
        <f ca="1">IF(H58="转让取得",C81,C97)</f>
        <v>28134</v>
      </c>
      <c r="E58" s="11" t="s">
        <v>2229</v>
      </c>
      <c r="F58" s="24" t="s">
        <v>34</v>
      </c>
      <c r="G58" s="2484"/>
      <c r="H58" s="2487" t="s">
        <v>2235</v>
      </c>
      <c r="I58" s="2488"/>
      <c r="J58" s="3130"/>
      <c r="K58" s="3130"/>
      <c r="L58" s="2489" t="s">
        <v>2236</v>
      </c>
      <c r="M58" s="1760"/>
      <c r="N58" s="2491" t="str">
        <f ca="1">NUMBERSTRING(INT(N57*10000),2)&amp;"元整"</f>
        <v>贰亿捌仟壹佰伍拾玖万元整</v>
      </c>
      <c r="O58" s="2492"/>
    </row>
    <row r="59" spans="1:35" ht="24.75" thickBot="1">
      <c r="A59" s="3133" t="s">
        <v>2237</v>
      </c>
      <c r="B59" s="3134"/>
      <c r="C59" s="3134"/>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131">
        <f>J57+1</f>
        <v>5</v>
      </c>
      <c r="K59" s="3130" t="s">
        <v>2239</v>
      </c>
      <c r="L59" s="1811" t="s">
        <v>2233</v>
      </c>
      <c r="M59" s="1761"/>
      <c r="N59" s="1762">
        <f ca="1">M49-N57</f>
        <v>21628</v>
      </c>
      <c r="O59" s="2494"/>
    </row>
    <row r="60" spans="1:35" ht="12" customHeight="1">
      <c r="A60" s="2495"/>
      <c r="B60" s="2417"/>
      <c r="C60" s="2417"/>
      <c r="D60" s="2417"/>
      <c r="E60" s="2165"/>
      <c r="F60" s="2488"/>
      <c r="G60" s="2488"/>
      <c r="H60" s="2496"/>
      <c r="I60" s="138"/>
      <c r="J60" s="3132"/>
      <c r="K60" s="3130"/>
      <c r="L60" s="2489" t="s">
        <v>2236</v>
      </c>
      <c r="M60" s="1760"/>
      <c r="N60" s="2491" t="str">
        <f ca="1">NUMBERSTRING(INT(N59*10000),2)&amp;"元整"</f>
        <v>贰亿壹仟陆佰贰拾捌万元整</v>
      </c>
      <c r="O60" s="2492"/>
    </row>
    <row r="61" spans="1:35" ht="13.5" thickBot="1">
      <c r="A61" s="3077" t="s">
        <v>2240</v>
      </c>
      <c r="B61" s="3077"/>
      <c r="C61" s="3077"/>
      <c r="D61" s="3077"/>
      <c r="E61" s="3077"/>
      <c r="F61" s="2488"/>
      <c r="G61" s="2488"/>
      <c r="H61" s="2496"/>
      <c r="I61" s="138"/>
      <c r="J61" s="1811">
        <f>J59+1</f>
        <v>6</v>
      </c>
      <c r="K61" s="3130" t="s">
        <v>2241</v>
      </c>
      <c r="L61" s="3130"/>
      <c r="M61" s="1763"/>
      <c r="N61" s="1764">
        <f ca="1">ROUND(N59*10000/'数据-汇总表'!E3,0)</f>
        <v>3312</v>
      </c>
      <c r="O61" s="2497"/>
    </row>
    <row r="62" spans="1:35" ht="12.75">
      <c r="A62" s="3093" t="s">
        <v>2242</v>
      </c>
      <c r="B62" s="3094"/>
      <c r="C62" s="1803"/>
      <c r="D62" s="1803" t="s">
        <v>2243</v>
      </c>
      <c r="E62" s="192" t="s">
        <v>2244</v>
      </c>
      <c r="F62" s="2488"/>
      <c r="G62" s="2488"/>
      <c r="H62" s="2496"/>
      <c r="I62" s="138"/>
    </row>
    <row r="63" spans="1:35" ht="12.75">
      <c r="A63" s="203" t="s">
        <v>775</v>
      </c>
      <c r="B63" s="193" t="s">
        <v>2245</v>
      </c>
      <c r="C63" s="194">
        <f ca="1">ROUND((C64+C65)/(1+'数据-取费表'!C42),0)</f>
        <v>47416</v>
      </c>
      <c r="D63" s="195"/>
      <c r="E63" s="196"/>
      <c r="F63" s="2488"/>
      <c r="G63" s="2488"/>
      <c r="H63" s="2496"/>
      <c r="I63" s="138"/>
      <c r="J63" s="3155" t="s">
        <v>2246</v>
      </c>
      <c r="K63" s="2498" t="s">
        <v>2247</v>
      </c>
      <c r="L63" s="1751">
        <f ca="1">IF(M49&gt;10000,M49*0.5%,IF(AND(M49&gt;1000,M49&lt;=10000),M49*1%,IF(AND(M49&gt;100,M49&lt;=1000),M49*3%,IF(AND(M49&gt;10,M49&lt;=100),M49*5%,M49*8%))))</f>
        <v>248.935</v>
      </c>
      <c r="M63" s="24">
        <f ca="1">ROUND(L63,1)</f>
        <v>248.9</v>
      </c>
      <c r="Z63" s="2422"/>
      <c r="AI63" s="2423"/>
    </row>
    <row r="64" spans="1:35" ht="14.25" customHeight="1">
      <c r="A64" s="197" t="s">
        <v>770</v>
      </c>
      <c r="B64" s="198" t="s">
        <v>2248</v>
      </c>
      <c r="C64" s="199">
        <f ca="1">D45</f>
        <v>49787</v>
      </c>
      <c r="D64" s="200" t="s">
        <v>32</v>
      </c>
      <c r="E64" s="201"/>
      <c r="F64" s="2488"/>
      <c r="G64" s="2488"/>
      <c r="H64" s="2496"/>
      <c r="I64" s="138"/>
      <c r="J64" s="3155"/>
      <c r="K64" s="2498" t="s">
        <v>2249</v>
      </c>
      <c r="L64" s="1751">
        <f ca="1">IF(M49&gt;2000,M49*0.5%,IF(AND(M49&gt;1000,M49&lt;=2000),M49*0.6%,IF(AND(M49&gt;500,M49&lt;=1000),M49*0.7%,IF(AND(M49&gt;200,M49&lt;=500),M49*0.8%,IF(AND(M49&gt;100,M49&lt;=200),M49*0.9%,IF(AND(M49&gt;50,M49&lt;=100),M49*1%,IF(AND(M49&gt;20,M49&lt;=50),M49*1.5%,IF(AND(M49&gt;10,M49&lt;=20),M49*2%,IF(AND(M49&gt;1,M49&lt;=10),M49*2.5%)))))))))</f>
        <v>248.935</v>
      </c>
      <c r="M64" s="24">
        <f t="shared" ref="M64:M65" ca="1" si="1">ROUND(L64,1)</f>
        <v>248.9</v>
      </c>
      <c r="N64" s="138" t="s">
        <v>2250</v>
      </c>
      <c r="Z64" s="2422"/>
      <c r="AI64" s="2423"/>
    </row>
    <row r="65" spans="1:35" ht="14.25" customHeight="1">
      <c r="A65" s="197" t="s">
        <v>771</v>
      </c>
      <c r="B65" s="198" t="s">
        <v>2251</v>
      </c>
      <c r="C65" s="202"/>
      <c r="D65" s="200"/>
      <c r="E65" s="201"/>
      <c r="F65" s="2488"/>
      <c r="G65" s="2488"/>
      <c r="H65" s="2496"/>
      <c r="I65" s="138"/>
      <c r="J65" s="3155"/>
      <c r="K65" s="2498" t="s">
        <v>2252</v>
      </c>
      <c r="L65" s="1751">
        <f ca="1">IF(M49&gt;1000,M49*0.1%,IF(AND(M49&gt;500,M49&lt;=1000),M49*0.5%,IF(AND(M49&gt;50,M49&lt;=500),M49*1%,IF(AND(M49&gt;1,M49&lt;=50),M49*1.5%))))</f>
        <v>49.786999999999999</v>
      </c>
      <c r="M65" s="24">
        <f t="shared" ca="1" si="1"/>
        <v>49.8</v>
      </c>
      <c r="N65" s="138" t="s">
        <v>2250</v>
      </c>
      <c r="Z65" s="2422"/>
      <c r="AI65" s="2423"/>
    </row>
    <row r="66" spans="1:35" ht="14.25" customHeight="1">
      <c r="A66" s="203" t="s">
        <v>772</v>
      </c>
      <c r="B66" s="204" t="s">
        <v>2253</v>
      </c>
      <c r="C66" s="205"/>
      <c r="D66" s="206" t="s">
        <v>32</v>
      </c>
      <c r="E66" s="1775" t="s">
        <v>1371</v>
      </c>
      <c r="F66" s="2488"/>
      <c r="G66" s="2488"/>
      <c r="H66" s="2496"/>
      <c r="I66" s="138"/>
      <c r="J66" s="3155"/>
      <c r="K66" s="2498" t="s">
        <v>2254</v>
      </c>
      <c r="L66" s="1751">
        <f ca="1">M49*0.5%</f>
        <v>248.935</v>
      </c>
      <c r="M66" s="24">
        <f ca="1">IF(L66&gt;0.5,0.5,ROUND(L66,0))</f>
        <v>0.5</v>
      </c>
      <c r="N66" s="138" t="s">
        <v>2255</v>
      </c>
      <c r="Z66" s="2422"/>
      <c r="AI66" s="2423"/>
    </row>
    <row r="67" spans="1:35" ht="14.25" customHeight="1">
      <c r="A67" s="203" t="s">
        <v>773</v>
      </c>
      <c r="B67" s="204" t="s">
        <v>2256</v>
      </c>
      <c r="C67" s="207">
        <f ca="1">C63-C66</f>
        <v>47416</v>
      </c>
      <c r="D67" s="200" t="s">
        <v>32</v>
      </c>
      <c r="E67" s="201"/>
      <c r="F67" s="2488"/>
      <c r="G67" s="2488"/>
      <c r="H67" s="2496"/>
      <c r="I67" s="138"/>
      <c r="J67" s="3155"/>
      <c r="K67" s="2498" t="s">
        <v>2257</v>
      </c>
      <c r="L67" s="1751">
        <f ca="1">IF(M49&gt;=10000,(8.25+(M49-10000)*0.01%),IF(AND(M49&gt;=8000,M49&lt;10000),(7.85+(M49-8000)*0.02%),IF(AND(M49&gt;=5000,M49&lt;8000),(6.65+(M49-5000)*0.04%),IF(AND(M49&gt;=2000,M49&lt;5000),(4.25+(PM49-2000)*0.08%),IF(AND(M49&gt;=1000,M49&lt;2000),(2.75+(M49-1000)*0.15%),IF(AND(M49&gt;=100,M49&lt;1000),(0.5+(M49-100)*0.25%),IF(AND(M49&gt;0,M49&lt;100),M49*0.5%)))))))</f>
        <v>12.2287</v>
      </c>
      <c r="M67" s="24">
        <f ca="1">ROUND(L67*0.9,1)</f>
        <v>11</v>
      </c>
      <c r="Z67" s="2422"/>
      <c r="AI67" s="2423"/>
    </row>
    <row r="68" spans="1:35" ht="14.25" customHeight="1" thickBot="1">
      <c r="A68" s="208" t="s">
        <v>774</v>
      </c>
      <c r="B68" s="209" t="s">
        <v>2258</v>
      </c>
      <c r="C68" s="210">
        <f ca="1">IF(C67&lt;=0,0,ROUND(C67*D68,0))</f>
        <v>2703</v>
      </c>
      <c r="D68" s="211">
        <f>'数据-取费表'!B41</f>
        <v>5.7000000000000002E-2</v>
      </c>
      <c r="E68" s="212"/>
      <c r="F68" s="2488"/>
      <c r="G68" s="2488"/>
      <c r="H68" s="2496"/>
      <c r="I68" s="138"/>
      <c r="J68" s="3155"/>
      <c r="K68" s="2498" t="s">
        <v>2259</v>
      </c>
      <c r="L68" s="1751">
        <f ca="1">IF(M49&gt;10000,M49*0.5%,IF(AND(M49&gt;5000,M49&lt;=10000),M49*1%,IF(AND(M49&gt;1000,M49&lt;=5000),M49*2%,IF(AND(M49&gt;200,M49&lt;=1000),M49*3%,M49*5%))))</f>
        <v>248.935</v>
      </c>
      <c r="M68" s="24">
        <f ca="1">ROUND(L68,1)</f>
        <v>248.9</v>
      </c>
      <c r="Z68" s="2422"/>
      <c r="AI68" s="2423"/>
    </row>
    <row r="69" spans="1:35" s="2445" customFormat="1" ht="16.5" customHeight="1">
      <c r="A69" s="2499"/>
      <c r="B69" s="2500"/>
      <c r="C69" s="2501"/>
      <c r="D69" s="2502"/>
      <c r="E69" s="2503"/>
      <c r="F69" s="2165"/>
      <c r="G69" s="2165"/>
      <c r="H69" s="2164"/>
      <c r="I69" s="2417"/>
      <c r="J69" s="3155"/>
      <c r="K69" s="2498" t="s">
        <v>2260</v>
      </c>
      <c r="L69" s="2504"/>
      <c r="M69" s="24">
        <f ca="1">ROUND(SUM(M63:M68),0)</f>
        <v>808</v>
      </c>
      <c r="N69" s="1752">
        <f ca="1">M69/M49</f>
        <v>1.622913611987065E-2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4" t="s">
        <v>2261</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3" t="s">
        <v>2242</v>
      </c>
      <c r="B71" s="3094"/>
      <c r="C71" s="1803"/>
      <c r="D71" s="1803"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2262</v>
      </c>
      <c r="C72" s="207">
        <f ca="1">ROUND(D45/(1+'数据-取费表'!C42),0)</f>
        <v>47416</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2263</v>
      </c>
      <c r="C73" s="207">
        <f ca="1">C74+C78</f>
        <v>332</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088" t="s">
        <v>2270</v>
      </c>
      <c r="F76" s="3065"/>
      <c r="G76" s="3065"/>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332</v>
      </c>
      <c r="D78" s="226">
        <f>'数据-取费表'!B43</f>
        <v>7.000000000000001E-3</v>
      </c>
      <c r="E78" s="3074" t="s">
        <v>2275</v>
      </c>
      <c r="F78" s="3075"/>
      <c r="G78" s="3075"/>
      <c r="H78" s="308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2276</v>
      </c>
      <c r="C79" s="207">
        <f ca="1">C72-C73</f>
        <v>47084</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141.81927710843374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2278</v>
      </c>
      <c r="C81" s="228">
        <f ca="1">ROUND(IF(C79&lt;=0,0,IF(C80&gt;=200%,C79*60%-C73*35%,IF(C80&gt;=100%,C79*50%-C73*15%,IF(C80&gt;=50%,C79*40%-C73*5%,IF(C80&lt;50%,C79*30%,0))))),0)</f>
        <v>28134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2279</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3" t="s">
        <v>2242</v>
      </c>
      <c r="B84" s="3094"/>
      <c r="C84" s="1803"/>
      <c r="D84" s="1803"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2262</v>
      </c>
      <c r="C85" s="207">
        <f ca="1">ROUND(D45/(1+'数据-取费表'!C42),0)</f>
        <v>47416</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2263</v>
      </c>
      <c r="C86" s="207">
        <f ca="1">IF(H88="仅含出让金",C87+C90+C91+C92+C93+C94,C87+C91+C92+C93+C94)</f>
        <v>332</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2280</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2281</v>
      </c>
      <c r="C88" s="236"/>
      <c r="D88" s="226"/>
      <c r="E88" s="237" t="s">
        <v>2282</v>
      </c>
      <c r="F88" s="1799"/>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2271</v>
      </c>
      <c r="C89" s="225">
        <f>ROUND(C88*D89,0)</f>
        <v>0</v>
      </c>
      <c r="D89" s="226">
        <f>'数据-取费表'!B48+'数据-取费表'!B49</f>
        <v>3.0499999999999999E-2</v>
      </c>
      <c r="E89" s="237" t="s">
        <v>2284</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2285</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074" t="s">
        <v>2288</v>
      </c>
      <c r="F91" s="3075"/>
      <c r="G91" s="3075"/>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074" t="s">
        <v>2292</v>
      </c>
      <c r="F92" s="3075"/>
      <c r="G92" s="3075"/>
      <c r="H92" s="308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332</v>
      </c>
      <c r="D93" s="226">
        <f>'数据-取费表'!B43</f>
        <v>7.000000000000001E-3</v>
      </c>
      <c r="E93" s="3074" t="s">
        <v>2275</v>
      </c>
      <c r="F93" s="3075"/>
      <c r="G93" s="3075"/>
      <c r="H93" s="308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085" t="s">
        <v>2296</v>
      </c>
      <c r="F94" s="3086"/>
      <c r="G94" s="3086"/>
      <c r="H94" s="308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2276</v>
      </c>
      <c r="C95" s="207">
        <f ca="1">ROUND(C85-C86,0)</f>
        <v>47084</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141.81927710843374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2278</v>
      </c>
      <c r="C97" s="228">
        <f ca="1">ROUND(IF(C95&lt;=0,0,IF(C96&gt;=200%,C95*60%-C86*35%,IF(C96&gt;=100%,C95*50%-C86*15%,IF(C96&gt;=50%,C95*40%-C86*5%,IF(C96&lt;50%,C95*30%,0))))),0)</f>
        <v>28134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2297</v>
      </c>
      <c r="B99" s="2417"/>
      <c r="C99" s="2417"/>
      <c r="D99" s="2417"/>
      <c r="E99" s="2165"/>
      <c r="F99" s="2165"/>
      <c r="G99" s="2165"/>
      <c r="H99" s="2164"/>
      <c r="I99" s="138"/>
    </row>
    <row r="100" spans="1:35" ht="18.75" customHeight="1">
      <c r="A100" s="3059" t="s">
        <v>2298</v>
      </c>
      <c r="B100" s="3060"/>
      <c r="C100" s="3060"/>
      <c r="D100" s="3076"/>
      <c r="E100" s="3060" t="s">
        <v>2299</v>
      </c>
      <c r="F100" s="3060"/>
      <c r="G100" s="3060"/>
      <c r="H100" s="3076"/>
      <c r="I100" s="138"/>
    </row>
    <row r="101" spans="1:35" ht="18.75" customHeight="1">
      <c r="A101" s="3138" t="s">
        <v>2300</v>
      </c>
      <c r="B101" s="3139"/>
      <c r="C101" s="735" t="str">
        <f>C4</f>
        <v>成本法</v>
      </c>
      <c r="D101" s="736" t="str">
        <f>D4</f>
        <v>假设开发法</v>
      </c>
      <c r="E101" s="3152" t="s">
        <v>2301</v>
      </c>
      <c r="F101" s="3106"/>
      <c r="G101" s="2519" t="s">
        <v>2302</v>
      </c>
      <c r="H101" s="1047">
        <f ca="1">H118</f>
        <v>49787</v>
      </c>
      <c r="I101" s="138"/>
    </row>
    <row r="102" spans="1:35" ht="18.75" customHeight="1">
      <c r="A102" s="3108" t="s">
        <v>2303</v>
      </c>
      <c r="B102" s="2519" t="s">
        <v>2302</v>
      </c>
      <c r="C102" s="735">
        <f ca="1">C19</f>
        <v>49238</v>
      </c>
      <c r="D102" s="736">
        <f ca="1">D19</f>
        <v>50336</v>
      </c>
      <c r="E102" s="3152"/>
      <c r="F102" s="3106"/>
      <c r="G102" s="2519" t="s">
        <v>2304</v>
      </c>
      <c r="H102" s="371">
        <f ca="1">I118</f>
        <v>7624</v>
      </c>
      <c r="I102" s="138"/>
    </row>
    <row r="103" spans="1:35" ht="42.75" customHeight="1">
      <c r="A103" s="3108"/>
      <c r="B103" s="2519" t="s">
        <v>2304</v>
      </c>
      <c r="C103" s="737">
        <f ca="1">C20</f>
        <v>7540</v>
      </c>
      <c r="D103" s="738">
        <f ca="1">D20</f>
        <v>7708</v>
      </c>
      <c r="E103" s="3147" t="s">
        <v>2305</v>
      </c>
      <c r="F103" s="3148"/>
      <c r="G103" s="2520" t="s">
        <v>2306</v>
      </c>
      <c r="H103" s="1047">
        <f>IF(D36="正常操作",H104+H105+H106,H105+H106)</f>
        <v>0</v>
      </c>
      <c r="I103" s="138"/>
    </row>
    <row r="104" spans="1:35" ht="18.75" customHeight="1">
      <c r="A104" s="3108" t="s">
        <v>2307</v>
      </c>
      <c r="B104" s="2521" t="s">
        <v>2302</v>
      </c>
      <c r="C104" s="739">
        <f ca="1">H118</f>
        <v>49787</v>
      </c>
      <c r="D104" s="740"/>
      <c r="E104" s="2265" t="s">
        <v>2308</v>
      </c>
      <c r="F104" s="2257"/>
      <c r="G104" s="2520" t="s">
        <v>2306</v>
      </c>
      <c r="H104" s="1048">
        <f>IF(D36="同一抵押权人同一抵押物续贷",C36&amp;"（未扣减，详见特别提示）",C36)</f>
        <v>0</v>
      </c>
      <c r="I104" s="138"/>
    </row>
    <row r="105" spans="1:35" ht="18.75" customHeight="1" thickBot="1">
      <c r="A105" s="3109"/>
      <c r="B105" s="2522" t="s">
        <v>2304</v>
      </c>
      <c r="C105" s="741">
        <f ca="1">I118</f>
        <v>7624</v>
      </c>
      <c r="D105" s="742"/>
      <c r="E105" s="2265" t="s">
        <v>2309</v>
      </c>
      <c r="F105" s="2257"/>
      <c r="G105" s="2520" t="s">
        <v>2306</v>
      </c>
      <c r="H105" s="1048">
        <f>C37</f>
        <v>0</v>
      </c>
      <c r="I105" s="138"/>
    </row>
    <row r="106" spans="1:35" ht="18.75" customHeight="1">
      <c r="A106" s="2417" t="s">
        <v>2310</v>
      </c>
      <c r="B106" s="2417"/>
      <c r="C106" s="2417"/>
      <c r="D106" s="2417"/>
      <c r="E106" s="2523" t="s">
        <v>2311</v>
      </c>
      <c r="F106" s="2257"/>
      <c r="G106" s="2520" t="s">
        <v>2306</v>
      </c>
      <c r="H106" s="1048">
        <f>C38</f>
        <v>0</v>
      </c>
      <c r="I106" s="138"/>
    </row>
    <row r="107" spans="1:35" ht="18.75" customHeight="1">
      <c r="A107" s="138"/>
      <c r="B107" s="138"/>
      <c r="C107" s="138"/>
      <c r="D107" s="138"/>
      <c r="E107" s="3105" t="str">
        <f>IF(项目基本情况!E8="已注销","——","3.房地产抵押价值")</f>
        <v>3.房地产抵押价值</v>
      </c>
      <c r="F107" s="3106"/>
      <c r="G107" s="2519" t="s">
        <v>2302</v>
      </c>
      <c r="H107" s="1047">
        <f ca="1">IF(E107="——","——",H101-H103)</f>
        <v>49787</v>
      </c>
      <c r="I107" s="138"/>
    </row>
    <row r="108" spans="1:35" ht="18.75" customHeight="1">
      <c r="A108" s="138"/>
      <c r="B108" s="138"/>
      <c r="C108" s="138"/>
      <c r="D108" s="138"/>
      <c r="E108" s="3105"/>
      <c r="F108" s="3106"/>
      <c r="G108" s="2519" t="s">
        <v>2304</v>
      </c>
      <c r="H108" s="371">
        <f ca="1">ROUND(H107*10000/'数据-汇总表'!E3,0)</f>
        <v>7624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9" t="s">
        <v>2302</v>
      </c>
      <c r="H109" s="348" t="str">
        <f>IF(E109="——","——",H101-H105-H106)</f>
        <v>——</v>
      </c>
      <c r="I109" s="138"/>
    </row>
    <row r="110" spans="1:35" ht="18.75" customHeight="1">
      <c r="A110" s="138"/>
      <c r="B110" s="138"/>
      <c r="C110" s="138"/>
      <c r="D110" s="138"/>
      <c r="E110" s="3105"/>
      <c r="F110" s="3106"/>
      <c r="G110" s="2519" t="s">
        <v>2304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9" t="s">
        <v>2302</v>
      </c>
      <c r="H111" s="1047" t="str">
        <f>IF(E111="——","——",N59)</f>
        <v>——</v>
      </c>
      <c r="I111" s="138"/>
    </row>
    <row r="112" spans="1:35" ht="18.75" customHeight="1" thickBot="1">
      <c r="A112" s="138"/>
      <c r="B112" s="138"/>
      <c r="C112" s="138"/>
      <c r="D112" s="138"/>
      <c r="E112" s="3142"/>
      <c r="F112" s="3143"/>
      <c r="G112" s="2524" t="s">
        <v>2304</v>
      </c>
      <c r="H112" s="789" t="str">
        <f>IF(E111="——","——",N61)</f>
        <v>——</v>
      </c>
      <c r="I112" s="138"/>
    </row>
    <row r="113" spans="1:11" ht="18.75" customHeight="1">
      <c r="A113" s="138"/>
      <c r="B113" s="138"/>
      <c r="C113" s="138"/>
      <c r="D113" s="138"/>
      <c r="E113" s="3110" t="s">
        <v>2310</v>
      </c>
      <c r="F113" s="3110"/>
      <c r="G113" s="3110"/>
      <c r="H113" s="3110"/>
      <c r="I113" s="138"/>
    </row>
    <row r="114" spans="1:11" ht="3.75" customHeight="1">
      <c r="A114" s="2417"/>
      <c r="B114" s="2417"/>
      <c r="C114" s="2417"/>
      <c r="D114" s="2417"/>
      <c r="E114" s="2495"/>
      <c r="F114" s="2495"/>
      <c r="G114" s="2495"/>
      <c r="H114" s="2495"/>
      <c r="I114" s="2417"/>
    </row>
    <row r="115" spans="1:11" ht="18.75" customHeight="1">
      <c r="A115" s="3123" t="s">
        <v>2312</v>
      </c>
      <c r="B115" s="3124"/>
      <c r="C115" s="3124"/>
      <c r="D115" s="3124"/>
      <c r="E115" s="3124"/>
      <c r="F115" s="3124"/>
      <c r="G115" s="3124"/>
      <c r="H115" s="3124"/>
      <c r="I115" s="3125"/>
    </row>
    <row r="116" spans="1:11" ht="27" customHeight="1">
      <c r="A116" s="3016" t="s">
        <v>2313</v>
      </c>
      <c r="B116" s="3111" t="s">
        <v>2314</v>
      </c>
      <c r="C116" s="3111" t="s">
        <v>2315</v>
      </c>
      <c r="D116" s="3127" t="s">
        <v>2316</v>
      </c>
      <c r="E116" s="3128"/>
      <c r="F116" s="3119" t="s">
        <v>2317</v>
      </c>
      <c r="G116" s="3119"/>
      <c r="H116" s="3016" t="s">
        <v>2318</v>
      </c>
      <c r="I116" s="3016"/>
    </row>
    <row r="117" spans="1:11" ht="18.75" customHeight="1">
      <c r="A117" s="3016"/>
      <c r="B117" s="3112"/>
      <c r="C117" s="3112"/>
      <c r="D117" s="1797" t="s">
        <v>2319</v>
      </c>
      <c r="E117" s="1797" t="s">
        <v>2320</v>
      </c>
      <c r="F117" s="1797" t="s">
        <v>2319</v>
      </c>
      <c r="G117" s="1797" t="s">
        <v>2321</v>
      </c>
      <c r="H117" s="1797" t="s">
        <v>2319</v>
      </c>
      <c r="I117" s="1797" t="s">
        <v>2321</v>
      </c>
    </row>
    <row r="118" spans="1:11" ht="24.75" customHeight="1">
      <c r="A118" s="2525" t="str">
        <f>项目基本情况!S2</f>
        <v>江苏省泰兴市根思路南侧、文江路西侧10号地块出让国有建设用地使用权及在建建筑物房地产</v>
      </c>
      <c r="B118" s="1797">
        <f>M18</f>
        <v>65305.219999999972</v>
      </c>
      <c r="C118" s="1797">
        <f>M19</f>
        <v>29208.38</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49787</v>
      </c>
      <c r="I118" s="1797">
        <f ca="1">ROUND(IF(D32="楼面单价",C32,H118*10000/B118),0)</f>
        <v>7624</v>
      </c>
    </row>
    <row r="119" spans="1:11" ht="18.75" customHeight="1">
      <c r="A119" s="3016" t="s">
        <v>2322</v>
      </c>
      <c r="B119" s="3016"/>
      <c r="C119" s="3016"/>
      <c r="D119" s="3116" t="e">
        <f ca="1">NUMBERSTRING(INT(D118*10000),2)&amp;"元整"</f>
        <v>#REF!</v>
      </c>
      <c r="E119" s="3118"/>
      <c r="F119" s="3116" t="e">
        <f ca="1">NUMBERSTRING(INT(F118*10000),2)&amp;"元整"</f>
        <v>#REF!</v>
      </c>
      <c r="G119" s="3118"/>
      <c r="H119" s="3116" t="str">
        <f ca="1">NUMBERSTRING(INT(H118*10000),2)&amp;"元整"</f>
        <v>肆亿玖仟柒佰捌拾柒万元整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2" t="str">
        <f>IF(D120=0,"故，本次评估不存在"&amp;A120,"故，本次评估"&amp;A120&amp;"为人民币"&amp;D120&amp;"万元整。")</f>
        <v>故，本次评估不存在估价师知悉的法定优先受偿款</v>
      </c>
    </row>
    <row r="121" spans="1:11" ht="18.75" customHeight="1">
      <c r="A121" s="3120" t="s">
        <v>2322</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49787</v>
      </c>
      <c r="E122" s="3145"/>
      <c r="F122" s="3145"/>
      <c r="G122" s="3145"/>
      <c r="H122" s="3145"/>
      <c r="I122" s="3146"/>
    </row>
    <row r="123" spans="1:11" ht="18.75" customHeight="1">
      <c r="A123" s="3016" t="s">
        <v>2322</v>
      </c>
      <c r="B123" s="3016"/>
      <c r="C123" s="3016"/>
      <c r="D123" s="3116" t="str">
        <f ca="1">NUMBERSTRING(INT(D122*10000),2)&amp;"元整"</f>
        <v>肆亿玖仟柒佰捌拾柒万元整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2322</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2322</v>
      </c>
      <c r="B127" s="3016"/>
      <c r="C127" s="3016"/>
      <c r="D127" s="3116" t="e">
        <f>NUMBERSTRING(INT(D126*10000),2)&amp;"元整"</f>
        <v>#VALUE!</v>
      </c>
      <c r="E127" s="3117"/>
      <c r="F127" s="3117"/>
      <c r="G127" s="3117"/>
      <c r="H127" s="3117"/>
      <c r="I127" s="3118"/>
    </row>
    <row r="128" spans="1:11" ht="21.75" customHeight="1">
      <c r="A128" s="3126" t="s">
        <v>2323</v>
      </c>
      <c r="B128" s="3126"/>
      <c r="C128" s="3126"/>
      <c r="D128" s="3126"/>
      <c r="E128" s="3126"/>
      <c r="F128" s="3126"/>
      <c r="G128" s="3126"/>
      <c r="H128" s="3126"/>
      <c r="I128" s="3126"/>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2326</v>
      </c>
      <c r="G135" s="2543"/>
      <c r="H135" s="2543"/>
      <c r="I135" s="2544" t="s">
        <v>2327</v>
      </c>
    </row>
    <row r="136" spans="1:35" ht="21.75" customHeight="1">
      <c r="A136" s="794"/>
      <c r="B136" s="2545"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2329</v>
      </c>
    </row>
    <row r="139" spans="1:35" ht="21.75" customHeight="1">
      <c r="A139" s="794"/>
      <c r="B139" s="2545" t="s">
        <v>2330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2329</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I69" sqref="I69"/>
    </sheetView>
  </sheetViews>
  <sheetFormatPr defaultRowHeight="14.25"/>
  <cols>
    <col min="1" max="1" width="14.375" style="403" customWidth="1"/>
    <col min="2" max="2" width="15.75" style="403" customWidth="1"/>
    <col min="3" max="3" width="17.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0">
        <f>F66</f>
        <v>28167</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2334</v>
      </c>
      <c r="B3" s="608">
        <f>ROUND(IF(D3="",B2*10000/'数据-汇总表'!E3,B2*10000/D3),0)</f>
        <v>4313</v>
      </c>
      <c r="C3" s="247"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3" t="s">
        <v>2651</v>
      </c>
      <c r="AC4" s="3172" t="s">
        <v>2652</v>
      </c>
    </row>
    <row r="5" spans="1:30" ht="28.5" customHeight="1">
      <c r="A5" s="404"/>
      <c r="B5" s="405"/>
      <c r="C5" s="3192" t="s">
        <v>2545</v>
      </c>
      <c r="D5" s="3193"/>
      <c r="E5" s="3199" t="str">
        <f>Sheet2!A2</f>
        <v>根思路南侧、文江路西侧8号地块</v>
      </c>
      <c r="F5" s="3200"/>
      <c r="G5" s="3192" t="str">
        <f>Sheet2!A3</f>
        <v>市区根思路北侧、长征路西侧</v>
      </c>
      <c r="H5" s="3193"/>
      <c r="I5" s="3192" t="str">
        <f>Sheet2!A4</f>
        <v>市区根思路南侧、张陈路东侧7号</v>
      </c>
      <c r="J5" s="3193"/>
      <c r="K5" s="609"/>
      <c r="L5" s="1132"/>
      <c r="M5" s="1133"/>
      <c r="N5" s="1133"/>
      <c r="O5" s="1133"/>
      <c r="P5" s="3180"/>
      <c r="Q5" s="3181"/>
      <c r="R5" s="3186"/>
      <c r="S5" s="3187"/>
      <c r="T5" s="3186"/>
      <c r="U5" s="3187"/>
      <c r="V5" s="3171"/>
      <c r="W5" s="3171"/>
      <c r="X5" s="1815"/>
      <c r="Y5" s="3186"/>
      <c r="Z5" s="3187"/>
      <c r="AA5" s="3173"/>
      <c r="AB5" s="3173"/>
      <c r="AC5" s="3173"/>
    </row>
    <row r="6" spans="1:30" ht="15.75" thickBot="1">
      <c r="A6" s="406"/>
      <c r="B6" s="407"/>
      <c r="C6" s="3190" t="s">
        <v>2549</v>
      </c>
      <c r="D6" s="3191"/>
      <c r="E6" s="3197" t="s">
        <v>2549</v>
      </c>
      <c r="F6" s="3198"/>
      <c r="G6" s="3190" t="s">
        <v>2549</v>
      </c>
      <c r="H6" s="3191"/>
      <c r="I6" s="3190" t="s">
        <v>2549</v>
      </c>
      <c r="J6" s="3191"/>
      <c r="K6" s="609" t="s">
        <v>2550</v>
      </c>
      <c r="L6" s="1132"/>
      <c r="M6" s="1133"/>
      <c r="N6" s="1133"/>
      <c r="O6" s="1133"/>
      <c r="P6" s="3182"/>
      <c r="Q6" s="3183"/>
      <c r="R6" s="3186"/>
      <c r="S6" s="3187"/>
      <c r="T6" s="3188"/>
      <c r="U6" s="3189"/>
      <c r="V6" s="3171"/>
      <c r="W6" s="3171"/>
      <c r="X6" s="1815"/>
      <c r="Y6" s="3188"/>
      <c r="Z6" s="3189"/>
      <c r="AA6" s="3174"/>
      <c r="AB6" s="3174"/>
      <c r="AC6" s="3174"/>
    </row>
    <row r="7" spans="1:30" s="117" customFormat="1" ht="15.75" thickBot="1">
      <c r="A7" s="408" t="s">
        <v>2551</v>
      </c>
      <c r="B7" s="409"/>
      <c r="C7" s="410">
        <f>'数据-取费表'!B2</f>
        <v>43424</v>
      </c>
      <c r="D7" s="411">
        <v>100</v>
      </c>
      <c r="E7" s="412" t="str">
        <f>Sheet2!AA2</f>
        <v>2018-01-24</v>
      </c>
      <c r="F7" s="413">
        <f>SUMIF(70:70,YEAR(E7)&amp;"-"&amp;INT((MONTH(E7)+2)/3),71:71)</f>
        <v>99.399999999999991</v>
      </c>
      <c r="G7" s="2697" t="str">
        <f>Sheet2!AA3</f>
        <v>2017-05-05</v>
      </c>
      <c r="H7" s="411">
        <f>SUMIF(70:70,YEAR(G7)&amp;"-"&amp;INT((MONTH(G7)+2)/3),71:71)</f>
        <v>98.799999999999983</v>
      </c>
      <c r="I7" s="2697" t="str">
        <f>Sheet2!AA4</f>
        <v>2017-07-28</v>
      </c>
      <c r="J7" s="411">
        <f>SUMIF(70:70,YEAR(I7)&amp;"-"&amp;INT((MONTH(I7)+2)/3),71:71)</f>
        <v>98.999999999999986</v>
      </c>
      <c r="K7" s="610"/>
      <c r="L7" s="1134"/>
      <c r="M7" s="1135"/>
      <c r="N7" s="1135"/>
      <c r="O7" s="1135"/>
      <c r="P7" s="3194" t="s">
        <v>2552</v>
      </c>
      <c r="Q7" s="3196"/>
      <c r="R7" s="769" t="s">
        <v>17</v>
      </c>
      <c r="S7" s="770">
        <f t="shared" ref="S7:S15" si="0">F7</f>
        <v>99.399999999999991</v>
      </c>
      <c r="T7" s="769" t="s">
        <v>17</v>
      </c>
      <c r="U7" s="770">
        <f t="shared" ref="U7:U15" si="1">H7</f>
        <v>98.799999999999983</v>
      </c>
      <c r="V7" s="769" t="s">
        <v>17</v>
      </c>
      <c r="W7" s="770">
        <f t="shared" ref="W7:W15" si="2">J7</f>
        <v>98.999999999999986</v>
      </c>
      <c r="X7" s="771"/>
      <c r="Y7" s="3194" t="s">
        <v>2552</v>
      </c>
      <c r="Z7" s="3195"/>
      <c r="AA7" s="772">
        <f>D7/F7</f>
        <v>1.0060362173038231</v>
      </c>
      <c r="AB7" s="772">
        <f>D7/H7</f>
        <v>1.0121457489878545</v>
      </c>
      <c r="AC7" s="772">
        <f>D7/J7</f>
        <v>1.0101010101010102</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0"/>
      <c r="L8" s="1134"/>
      <c r="M8" s="1135"/>
      <c r="N8" s="1135"/>
      <c r="O8" s="1135"/>
      <c r="P8" s="3194" t="s">
        <v>2555</v>
      </c>
      <c r="Q8" s="3195"/>
      <c r="R8" s="769" t="s">
        <v>17</v>
      </c>
      <c r="S8" s="770">
        <f t="shared" si="0"/>
        <v>100</v>
      </c>
      <c r="T8" s="769" t="s">
        <v>17</v>
      </c>
      <c r="U8" s="770">
        <f t="shared" si="1"/>
        <v>100</v>
      </c>
      <c r="V8" s="769" t="s">
        <v>17</v>
      </c>
      <c r="W8" s="770">
        <f t="shared" si="2"/>
        <v>100</v>
      </c>
      <c r="X8" s="771"/>
      <c r="Y8" s="3194" t="s">
        <v>2555</v>
      </c>
      <c r="Z8" s="3195"/>
      <c r="AA8" s="772">
        <f t="shared" ref="AA8:AA45" si="3">D8/F8</f>
        <v>1</v>
      </c>
      <c r="AB8" s="772">
        <f t="shared" ref="AB8:AB45" si="4">D8/H8</f>
        <v>1</v>
      </c>
      <c r="AC8" s="772">
        <f t="shared" ref="AC8:AC45" si="5">D8/J8</f>
        <v>1</v>
      </c>
    </row>
    <row r="9" spans="1:30" s="117" customFormat="1">
      <c r="A9" s="415" t="s">
        <v>2556</v>
      </c>
      <c r="B9" s="71" t="s">
        <v>2557</v>
      </c>
      <c r="C9" s="2700"/>
      <c r="D9" s="135">
        <v>100</v>
      </c>
      <c r="E9" s="2700"/>
      <c r="F9" s="135">
        <f>SUMIF(75:75,E9,76:76)-SUMIF(75:75,C9,76:76)+100</f>
        <v>100</v>
      </c>
      <c r="G9" s="2700"/>
      <c r="H9" s="135">
        <f>SUMIF(75:75,G9,76:76)-SUMIF(75:75,C9,76:76)+100</f>
        <v>100</v>
      </c>
      <c r="I9" s="2700"/>
      <c r="J9" s="135">
        <f>SUMIF(75:75,I9,76:76)-SUMIF(75:75,C9,76:76)+100</f>
        <v>100</v>
      </c>
      <c r="K9" s="610"/>
      <c r="L9" s="1134"/>
      <c r="M9" s="1135"/>
      <c r="N9" s="1135"/>
      <c r="O9" s="1136"/>
      <c r="P9" s="3165"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30" s="426" customFormat="1" ht="27">
      <c r="A10" s="420"/>
      <c r="B10" s="421" t="s">
        <v>2560</v>
      </c>
      <c r="C10" s="431"/>
      <c r="D10" s="136">
        <v>100</v>
      </c>
      <c r="E10" s="464"/>
      <c r="F10" s="136">
        <f>ROUND(100/'数据-取费表'!G16,0)</f>
        <v>100</v>
      </c>
      <c r="G10" s="462"/>
      <c r="H10" s="136">
        <f>ROUND(100/'数据-取费表'!G16,0)</f>
        <v>100</v>
      </c>
      <c r="I10" s="462"/>
      <c r="J10" s="136">
        <f>ROUND(100/'数据-取费表'!G16,0)</f>
        <v>100</v>
      </c>
      <c r="K10" s="671"/>
      <c r="L10" s="1137"/>
      <c r="M10" s="1138"/>
      <c r="N10" s="1138"/>
      <c r="O10" s="1139"/>
      <c r="P10" s="3165"/>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30" ht="15">
      <c r="A11" s="427"/>
      <c r="B11" s="421" t="s">
        <v>2561</v>
      </c>
      <c r="C11" s="2969">
        <f>'数据-汇总表'!I7</f>
        <v>1.7997629536865174</v>
      </c>
      <c r="D11" s="136">
        <v>100</v>
      </c>
      <c r="E11" s="428">
        <v>1.8</v>
      </c>
      <c r="F11" s="136">
        <f>LOOKUP(E11,80:80,81:81)-LOOKUP(C11,80:80,81:81)+100</f>
        <v>100</v>
      </c>
      <c r="G11" s="429">
        <v>1.8</v>
      </c>
      <c r="H11" s="136">
        <f>LOOKUP(G11,80:80,81:81)-LOOKUP(C11,80:80,81:81)+100</f>
        <v>100</v>
      </c>
      <c r="I11" s="428">
        <v>2.2000000000000002</v>
      </c>
      <c r="J11" s="136">
        <f>LOOKUP(I11,80:80,81:81)-LOOKUP(C11,80:80,81:81)+100</f>
        <v>99</v>
      </c>
      <c r="K11" s="672">
        <v>1</v>
      </c>
      <c r="L11" s="1140"/>
      <c r="M11" s="1133"/>
      <c r="N11" s="1133"/>
      <c r="O11" s="1141"/>
      <c r="P11" s="3165"/>
      <c r="Q11" s="1797" t="str">
        <f t="shared" si="6"/>
        <v>容积率</v>
      </c>
      <c r="R11" s="769" t="s">
        <v>17</v>
      </c>
      <c r="S11" s="770">
        <f t="shared" si="0"/>
        <v>100</v>
      </c>
      <c r="T11" s="769" t="s">
        <v>17</v>
      </c>
      <c r="U11" s="770">
        <f t="shared" si="1"/>
        <v>100</v>
      </c>
      <c r="V11" s="769" t="s">
        <v>17</v>
      </c>
      <c r="W11" s="770">
        <f t="shared" si="2"/>
        <v>99</v>
      </c>
      <c r="X11" s="771"/>
      <c r="Y11" s="3016"/>
      <c r="Z11" s="55" t="str">
        <f t="shared" si="7"/>
        <v>容积率</v>
      </c>
      <c r="AA11" s="772">
        <f t="shared" si="3"/>
        <v>1</v>
      </c>
      <c r="AB11" s="772">
        <f t="shared" si="4"/>
        <v>1</v>
      </c>
      <c r="AC11" s="772">
        <f t="shared" si="5"/>
        <v>1.0101010101010102</v>
      </c>
    </row>
    <row r="12" spans="1:30" s="117" customFormat="1" ht="15">
      <c r="A12" s="430"/>
      <c r="B12" s="2601" t="s">
        <v>2750</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65"/>
      <c r="Q12" s="1797" t="str">
        <f t="shared" si="6"/>
        <v>配建</v>
      </c>
      <c r="R12" s="769" t="s">
        <v>17</v>
      </c>
      <c r="S12" s="770">
        <f t="shared" si="0"/>
        <v>100</v>
      </c>
      <c r="T12" s="769" t="s">
        <v>17</v>
      </c>
      <c r="U12" s="770">
        <f t="shared" si="1"/>
        <v>100</v>
      </c>
      <c r="V12" s="769" t="s">
        <v>17</v>
      </c>
      <c r="W12" s="770">
        <f t="shared" si="2"/>
        <v>100</v>
      </c>
      <c r="X12" s="771"/>
      <c r="Y12" s="3016"/>
      <c r="Z12" s="55" t="str">
        <f t="shared" si="7"/>
        <v>配建</v>
      </c>
      <c r="AA12" s="772">
        <f>D12/F12</f>
        <v>1</v>
      </c>
      <c r="AB12" s="772">
        <f>D12/H12</f>
        <v>1</v>
      </c>
      <c r="AC12" s="772">
        <f>D12/J12</f>
        <v>1</v>
      </c>
    </row>
    <row r="13" spans="1:30" ht="15">
      <c r="A13" s="427"/>
      <c r="B13" s="2601">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65"/>
      <c r="Q13" s="1797">
        <f t="shared" si="6"/>
        <v>111</v>
      </c>
      <c r="R13" s="769" t="s">
        <v>17</v>
      </c>
      <c r="S13" s="770">
        <f t="shared" si="0"/>
        <v>100</v>
      </c>
      <c r="T13" s="769" t="s">
        <v>17</v>
      </c>
      <c r="U13" s="770">
        <f t="shared" si="1"/>
        <v>100</v>
      </c>
      <c r="V13" s="769" t="s">
        <v>17</v>
      </c>
      <c r="W13" s="770">
        <f t="shared" si="2"/>
        <v>100</v>
      </c>
      <c r="X13" s="771"/>
      <c r="Y13" s="3016"/>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5"/>
      <c r="Q14" s="1797">
        <f t="shared" si="6"/>
        <v>111</v>
      </c>
      <c r="R14" s="769" t="s">
        <v>17</v>
      </c>
      <c r="S14" s="770">
        <f t="shared" si="0"/>
        <v>100</v>
      </c>
      <c r="T14" s="769" t="s">
        <v>17</v>
      </c>
      <c r="U14" s="770">
        <f t="shared" si="1"/>
        <v>100</v>
      </c>
      <c r="V14" s="769" t="s">
        <v>17</v>
      </c>
      <c r="W14" s="770">
        <f t="shared" si="2"/>
        <v>100</v>
      </c>
      <c r="X14" s="771"/>
      <c r="Y14" s="3016"/>
      <c r="Z14" s="55">
        <f t="shared" si="7"/>
        <v>111</v>
      </c>
      <c r="AA14" s="772">
        <f>D14/F14</f>
        <v>1</v>
      </c>
      <c r="AB14" s="772">
        <f>D14/H14</f>
        <v>1</v>
      </c>
      <c r="AC14" s="772">
        <f>D14/J14</f>
        <v>1</v>
      </c>
    </row>
    <row r="15" spans="1:30" ht="85.5">
      <c r="A15" s="439" t="s">
        <v>2562</v>
      </c>
      <c r="B15" s="69" t="s">
        <v>2088</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7" t="s">
        <v>2563</v>
      </c>
      <c r="Q15" s="1812" t="str">
        <f t="shared" si="6"/>
        <v>居住社区成熟度</v>
      </c>
      <c r="R15" s="773" t="s">
        <v>17</v>
      </c>
      <c r="S15" s="774">
        <f t="shared" si="0"/>
        <v>100</v>
      </c>
      <c r="T15" s="773" t="s">
        <v>17</v>
      </c>
      <c r="U15" s="774">
        <f t="shared" si="1"/>
        <v>100</v>
      </c>
      <c r="V15" s="773" t="s">
        <v>17</v>
      </c>
      <c r="W15" s="774">
        <f t="shared" si="2"/>
        <v>100</v>
      </c>
      <c r="X15" s="1815"/>
      <c r="Y15" s="3167" t="s">
        <v>2563</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168"/>
      <c r="Q16" s="1812"/>
      <c r="R16" s="773"/>
      <c r="S16" s="774"/>
      <c r="T16" s="773"/>
      <c r="U16" s="774"/>
      <c r="V16" s="773"/>
      <c r="W16" s="774"/>
      <c r="X16" s="1815"/>
      <c r="Y16" s="3168"/>
      <c r="Z16" s="1816"/>
      <c r="AA16" s="1813">
        <v>1</v>
      </c>
      <c r="AB16" s="1813">
        <v>1</v>
      </c>
      <c r="AC16" s="1813">
        <v>1</v>
      </c>
    </row>
    <row r="17" spans="1:29" ht="57">
      <c r="A17" s="427"/>
      <c r="B17" s="450" t="s">
        <v>2656</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68"/>
      <c r="Q17" s="1812" t="str">
        <f>B17</f>
        <v>商业繁华度</v>
      </c>
      <c r="R17" s="773" t="s">
        <v>17</v>
      </c>
      <c r="S17" s="774">
        <f>F17</f>
        <v>100</v>
      </c>
      <c r="T17" s="773" t="s">
        <v>17</v>
      </c>
      <c r="U17" s="774">
        <f>H17</f>
        <v>100</v>
      </c>
      <c r="V17" s="773" t="s">
        <v>17</v>
      </c>
      <c r="W17" s="774">
        <f>J17</f>
        <v>100</v>
      </c>
      <c r="X17" s="1815"/>
      <c r="Y17" s="3168"/>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168"/>
      <c r="Q18" s="1812"/>
      <c r="R18" s="773"/>
      <c r="S18" s="774"/>
      <c r="T18" s="773"/>
      <c r="U18" s="774"/>
      <c r="V18" s="773"/>
      <c r="W18" s="774"/>
      <c r="X18" s="1815"/>
      <c r="Y18" s="3168"/>
      <c r="Z18" s="1816"/>
      <c r="AA18" s="1813">
        <v>1</v>
      </c>
      <c r="AB18" s="1813">
        <v>1</v>
      </c>
      <c r="AC18" s="1813">
        <v>1</v>
      </c>
    </row>
    <row r="19" spans="1:29" ht="71.25">
      <c r="A19" s="427"/>
      <c r="B19" s="450" t="s">
        <v>2690</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68"/>
      <c r="Q19" s="1812" t="str">
        <f>B19</f>
        <v>办公集聚程度</v>
      </c>
      <c r="R19" s="773" t="s">
        <v>17</v>
      </c>
      <c r="S19" s="774">
        <f>F19</f>
        <v>100</v>
      </c>
      <c r="T19" s="773" t="s">
        <v>17</v>
      </c>
      <c r="U19" s="774">
        <f>H19</f>
        <v>100</v>
      </c>
      <c r="V19" s="773" t="s">
        <v>17</v>
      </c>
      <c r="W19" s="774">
        <f>J19</f>
        <v>100</v>
      </c>
      <c r="X19" s="1815"/>
      <c r="Y19" s="3168"/>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168"/>
      <c r="Q20" s="1812"/>
      <c r="R20" s="773"/>
      <c r="S20" s="774"/>
      <c r="T20" s="773"/>
      <c r="U20" s="774"/>
      <c r="V20" s="773"/>
      <c r="W20" s="774"/>
      <c r="X20" s="1815"/>
      <c r="Y20" s="3168"/>
      <c r="Z20" s="1816"/>
      <c r="AA20" s="1813">
        <v>1</v>
      </c>
      <c r="AB20" s="1813">
        <v>1</v>
      </c>
      <c r="AC20" s="1813">
        <v>1</v>
      </c>
    </row>
    <row r="21" spans="1:29" ht="71.25">
      <c r="A21" s="427"/>
      <c r="B21" s="450" t="s">
        <v>2712</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68"/>
      <c r="Q21" s="1812" t="str">
        <f>B21</f>
        <v>交通便捷度</v>
      </c>
      <c r="R21" s="773" t="s">
        <v>17</v>
      </c>
      <c r="S21" s="774">
        <f>F21</f>
        <v>100</v>
      </c>
      <c r="T21" s="773" t="s">
        <v>17</v>
      </c>
      <c r="U21" s="774">
        <f>H21</f>
        <v>100</v>
      </c>
      <c r="V21" s="773" t="s">
        <v>17</v>
      </c>
      <c r="W21" s="774">
        <f>J21</f>
        <v>100</v>
      </c>
      <c r="X21" s="1815"/>
      <c r="Y21" s="3168"/>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168"/>
      <c r="Q22" s="1812"/>
      <c r="R22" s="773"/>
      <c r="S22" s="774"/>
      <c r="T22" s="773"/>
      <c r="U22" s="774"/>
      <c r="V22" s="773"/>
      <c r="W22" s="774"/>
      <c r="X22" s="1815"/>
      <c r="Y22" s="3168"/>
      <c r="Z22" s="1816"/>
      <c r="AA22" s="1813">
        <v>1</v>
      </c>
      <c r="AB22" s="1813">
        <v>1</v>
      </c>
      <c r="AC22" s="1813">
        <v>1</v>
      </c>
    </row>
    <row r="23" spans="1:29" ht="15">
      <c r="A23" s="404"/>
      <c r="B23" s="450" t="s">
        <v>2751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68"/>
      <c r="Q23" s="1812" t="str">
        <f t="shared" ref="Q23:Q37" si="8">B23</f>
        <v>区域土地利用方向</v>
      </c>
      <c r="R23" s="773" t="s">
        <v>17</v>
      </c>
      <c r="S23" s="774">
        <f>F23</f>
        <v>100</v>
      </c>
      <c r="T23" s="773" t="s">
        <v>17</v>
      </c>
      <c r="U23" s="774">
        <f>H23</f>
        <v>100</v>
      </c>
      <c r="V23" s="773" t="s">
        <v>17</v>
      </c>
      <c r="W23" s="774">
        <f>J23</f>
        <v>100</v>
      </c>
      <c r="X23" s="1815"/>
      <c r="Y23" s="3168"/>
      <c r="Z23" s="1816" t="str">
        <f>Q23</f>
        <v>区域土地利用方向</v>
      </c>
      <c r="AA23" s="1813">
        <f t="shared" si="3"/>
        <v>1</v>
      </c>
      <c r="AB23" s="1813">
        <f t="shared" si="4"/>
        <v>1</v>
      </c>
      <c r="AC23" s="1813">
        <f t="shared" si="5"/>
        <v>1</v>
      </c>
    </row>
    <row r="24" spans="1:29" ht="15">
      <c r="A24" s="404"/>
      <c r="B24" s="455"/>
      <c r="C24" s="615"/>
      <c r="D24" s="447"/>
      <c r="E24" s="2606"/>
      <c r="F24" s="447"/>
      <c r="G24" s="2605"/>
      <c r="H24" s="447"/>
      <c r="I24" s="2605"/>
      <c r="J24" s="447"/>
      <c r="K24" s="811"/>
      <c r="L24" s="1142"/>
      <c r="M24" s="1133"/>
      <c r="N24" s="1133"/>
      <c r="O24" s="1141"/>
      <c r="P24" s="3168"/>
      <c r="Q24" s="1812"/>
      <c r="R24" s="773"/>
      <c r="S24" s="774"/>
      <c r="T24" s="773"/>
      <c r="U24" s="774"/>
      <c r="V24" s="773"/>
      <c r="W24" s="774"/>
      <c r="X24" s="1815"/>
      <c r="Y24" s="3168"/>
      <c r="Z24" s="1816"/>
      <c r="AA24" s="1813"/>
      <c r="AB24" s="1813"/>
      <c r="AC24" s="1813"/>
    </row>
    <row r="25" spans="1:29" ht="42.75">
      <c r="A25" s="404"/>
      <c r="B25" s="1386" t="s">
        <v>2752</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68"/>
      <c r="Q25" s="1812" t="str">
        <f t="shared" si="8"/>
        <v>自然及人文环境状况</v>
      </c>
      <c r="R25" s="773" t="s">
        <v>17</v>
      </c>
      <c r="S25" s="774">
        <f>F25</f>
        <v>100</v>
      </c>
      <c r="T25" s="773" t="s">
        <v>17</v>
      </c>
      <c r="U25" s="774">
        <f>H25</f>
        <v>100</v>
      </c>
      <c r="V25" s="773" t="s">
        <v>17</v>
      </c>
      <c r="W25" s="774">
        <f>J25</f>
        <v>100</v>
      </c>
      <c r="X25" s="1815"/>
      <c r="Y25" s="3168"/>
      <c r="Z25" s="1816" t="str">
        <f>Q25</f>
        <v>自然及人文环境状况</v>
      </c>
      <c r="AA25" s="1813">
        <f t="shared" si="3"/>
        <v>1</v>
      </c>
      <c r="AB25" s="1813">
        <f t="shared" si="4"/>
        <v>1</v>
      </c>
      <c r="AC25" s="1813">
        <f t="shared" si="5"/>
        <v>1</v>
      </c>
    </row>
    <row r="26" spans="1:29" ht="15">
      <c r="A26" s="404"/>
      <c r="B26" s="455"/>
      <c r="C26" s="446"/>
      <c r="D26" s="447"/>
      <c r="E26" s="2612"/>
      <c r="F26" s="447"/>
      <c r="G26" s="2612"/>
      <c r="H26" s="447"/>
      <c r="I26" s="446"/>
      <c r="J26" s="447"/>
      <c r="K26" s="671"/>
      <c r="L26" s="1142"/>
      <c r="M26" s="1133"/>
      <c r="N26" s="1133"/>
      <c r="O26" s="1141"/>
      <c r="P26" s="3168"/>
      <c r="Q26" s="1812"/>
      <c r="R26" s="773"/>
      <c r="S26" s="774"/>
      <c r="T26" s="773"/>
      <c r="U26" s="774"/>
      <c r="V26" s="773"/>
      <c r="W26" s="774"/>
      <c r="X26" s="1815"/>
      <c r="Y26" s="3168"/>
      <c r="Z26" s="1816"/>
      <c r="AA26" s="1813">
        <v>1</v>
      </c>
      <c r="AB26" s="1813">
        <v>1</v>
      </c>
      <c r="AC26" s="1813">
        <v>1</v>
      </c>
    </row>
    <row r="27" spans="1:29" s="117" customFormat="1" ht="42.75">
      <c r="A27" s="648"/>
      <c r="B27" s="1386" t="s">
        <v>2657</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68"/>
      <c r="Q27" s="1797" t="str">
        <f t="shared" si="8"/>
        <v>公共配套设施</v>
      </c>
      <c r="R27" s="769" t="s">
        <v>17</v>
      </c>
      <c r="S27" s="770">
        <f>F27</f>
        <v>100</v>
      </c>
      <c r="T27" s="769" t="s">
        <v>17</v>
      </c>
      <c r="U27" s="770">
        <f>H27</f>
        <v>100</v>
      </c>
      <c r="V27" s="769" t="s">
        <v>17</v>
      </c>
      <c r="W27" s="770">
        <f>J27</f>
        <v>100</v>
      </c>
      <c r="X27" s="771"/>
      <c r="Y27" s="3168"/>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168"/>
      <c r="Q28" s="1797"/>
      <c r="R28" s="769"/>
      <c r="S28" s="770"/>
      <c r="T28" s="769"/>
      <c r="U28" s="770"/>
      <c r="V28" s="769"/>
      <c r="W28" s="770"/>
      <c r="X28" s="771"/>
      <c r="Y28" s="3168"/>
      <c r="Z28" s="55"/>
      <c r="AA28" s="1813">
        <v>1</v>
      </c>
      <c r="AB28" s="1813">
        <v>1</v>
      </c>
      <c r="AC28" s="1813">
        <v>1</v>
      </c>
    </row>
    <row r="29" spans="1:29" s="117" customFormat="1" ht="28.5">
      <c r="A29" s="648"/>
      <c r="B29" s="1386" t="s">
        <v>2658</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68"/>
      <c r="Q29" s="1797" t="str">
        <f t="shared" ref="Q29" si="9">B29</f>
        <v>基础设施水平</v>
      </c>
      <c r="R29" s="769" t="s">
        <v>17</v>
      </c>
      <c r="S29" s="770">
        <f>F29</f>
        <v>100</v>
      </c>
      <c r="T29" s="769" t="s">
        <v>17</v>
      </c>
      <c r="U29" s="770">
        <f>H29</f>
        <v>100</v>
      </c>
      <c r="V29" s="769" t="s">
        <v>17</v>
      </c>
      <c r="W29" s="770">
        <f>J29</f>
        <v>100</v>
      </c>
      <c r="X29" s="771"/>
      <c r="Y29" s="3168"/>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168"/>
      <c r="Q30" s="1797"/>
      <c r="R30" s="769"/>
      <c r="S30" s="770"/>
      <c r="T30" s="769"/>
      <c r="U30" s="770"/>
      <c r="V30" s="769"/>
      <c r="W30" s="770"/>
      <c r="X30" s="771"/>
      <c r="Y30" s="3168"/>
      <c r="Z30" s="55"/>
      <c r="AA30" s="1813">
        <v>1</v>
      </c>
      <c r="AB30" s="1813">
        <v>1</v>
      </c>
      <c r="AC30" s="1813">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68"/>
      <c r="Z31" s="1816" t="str">
        <f t="shared" ref="Z31:Z45" si="13">Q31</f>
        <v>临街状况</v>
      </c>
      <c r="AA31" s="1813">
        <f t="shared" si="3"/>
        <v>1</v>
      </c>
      <c r="AB31" s="1813">
        <f t="shared" si="4"/>
        <v>1</v>
      </c>
      <c r="AC31" s="1813">
        <f t="shared" si="5"/>
        <v>1</v>
      </c>
    </row>
    <row r="32" spans="1:29" ht="27">
      <c r="A32" s="427"/>
      <c r="B32" s="1386"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8"/>
      <c r="Q32" s="1812" t="str">
        <f t="shared" si="8"/>
        <v>毗邻道路的类型与等级</v>
      </c>
      <c r="R32" s="773" t="s">
        <v>17</v>
      </c>
      <c r="S32" s="774">
        <f t="shared" si="10"/>
        <v>100</v>
      </c>
      <c r="T32" s="773" t="s">
        <v>17</v>
      </c>
      <c r="U32" s="774">
        <f t="shared" si="11"/>
        <v>100</v>
      </c>
      <c r="V32" s="773" t="s">
        <v>17</v>
      </c>
      <c r="W32" s="774">
        <f t="shared" si="12"/>
        <v>100</v>
      </c>
      <c r="X32" s="1815"/>
      <c r="Y32" s="3168"/>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168"/>
      <c r="Q33" s="1812"/>
      <c r="R33" s="773"/>
      <c r="S33" s="774"/>
      <c r="T33" s="773"/>
      <c r="U33" s="774"/>
      <c r="V33" s="773"/>
      <c r="W33" s="774"/>
      <c r="X33" s="1815"/>
      <c r="Y33" s="3168"/>
      <c r="Z33" s="1816"/>
      <c r="AA33" s="1813">
        <v>1</v>
      </c>
      <c r="AB33" s="1813">
        <v>1</v>
      </c>
      <c r="AC33" s="1813">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8"/>
      <c r="Q34" s="1812" t="str">
        <f t="shared" si="8"/>
        <v>土地级别</v>
      </c>
      <c r="R34" s="773" t="s">
        <v>17</v>
      </c>
      <c r="S34" s="774">
        <f t="shared" si="10"/>
        <v>100</v>
      </c>
      <c r="T34" s="773" t="s">
        <v>17</v>
      </c>
      <c r="U34" s="774">
        <f t="shared" si="11"/>
        <v>100</v>
      </c>
      <c r="V34" s="773" t="s">
        <v>17</v>
      </c>
      <c r="W34" s="774">
        <f t="shared" si="12"/>
        <v>100</v>
      </c>
      <c r="X34" s="1815"/>
      <c r="Y34" s="3168"/>
      <c r="Z34" s="1816" t="str">
        <f t="shared" si="13"/>
        <v>土地级别</v>
      </c>
      <c r="AA34" s="1813">
        <f t="shared" si="3"/>
        <v>1</v>
      </c>
      <c r="AB34" s="1813">
        <f t="shared" si="4"/>
        <v>1</v>
      </c>
      <c r="AC34" s="1813">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8"/>
      <c r="Q35" s="1812">
        <f t="shared" si="8"/>
        <v>111</v>
      </c>
      <c r="R35" s="773" t="s">
        <v>17</v>
      </c>
      <c r="S35" s="774">
        <f t="shared" si="10"/>
        <v>100</v>
      </c>
      <c r="T35" s="773" t="s">
        <v>17</v>
      </c>
      <c r="U35" s="774">
        <f t="shared" si="11"/>
        <v>100</v>
      </c>
      <c r="V35" s="773" t="s">
        <v>17</v>
      </c>
      <c r="W35" s="774">
        <f t="shared" si="12"/>
        <v>100</v>
      </c>
      <c r="X35" s="1815"/>
      <c r="Y35" s="316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69" t="s">
        <v>2568</v>
      </c>
      <c r="Q36" s="1812">
        <f t="shared" si="8"/>
        <v>111</v>
      </c>
      <c r="R36" s="773" t="s">
        <v>17</v>
      </c>
      <c r="S36" s="774">
        <f t="shared" si="10"/>
        <v>100</v>
      </c>
      <c r="T36" s="773" t="s">
        <v>17</v>
      </c>
      <c r="U36" s="774">
        <f t="shared" si="11"/>
        <v>100</v>
      </c>
      <c r="V36" s="773" t="s">
        <v>17</v>
      </c>
      <c r="W36" s="774">
        <f t="shared" si="12"/>
        <v>100</v>
      </c>
      <c r="X36" s="1815"/>
      <c r="Y36" s="3170" t="s">
        <v>2568</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0"/>
      <c r="Q37" s="1812">
        <f t="shared" si="8"/>
        <v>111</v>
      </c>
      <c r="R37" s="776" t="s">
        <v>17</v>
      </c>
      <c r="S37" s="777">
        <f t="shared" si="10"/>
        <v>100</v>
      </c>
      <c r="T37" s="776" t="s">
        <v>17</v>
      </c>
      <c r="U37" s="777">
        <f t="shared" si="11"/>
        <v>100</v>
      </c>
      <c r="V37" s="776" t="s">
        <v>17</v>
      </c>
      <c r="W37" s="777">
        <f t="shared" si="12"/>
        <v>100</v>
      </c>
      <c r="X37" s="778"/>
      <c r="Y37" s="3170"/>
      <c r="Z37" s="779">
        <f t="shared" si="13"/>
        <v>111</v>
      </c>
      <c r="AA37" s="1813">
        <f t="shared" si="3"/>
        <v>1</v>
      </c>
      <c r="AB37" s="1813">
        <f t="shared" si="4"/>
        <v>1</v>
      </c>
      <c r="AC37" s="1813">
        <f t="shared" si="5"/>
        <v>1</v>
      </c>
    </row>
    <row r="38" spans="1:29" ht="15">
      <c r="A38" s="471" t="s">
        <v>2566</v>
      </c>
      <c r="B38" s="455" t="s">
        <v>2754</v>
      </c>
      <c r="C38" s="678">
        <f>'数据-基础表'!A3</f>
        <v>44717</v>
      </c>
      <c r="D38" s="466">
        <v>100</v>
      </c>
      <c r="E38" s="678">
        <f>Sheet2!J2</f>
        <v>50868</v>
      </c>
      <c r="F38" s="466">
        <f>LOOKUP(E38,117:117,118:118)-LOOKUP(C38,117:117,118:118)+100</f>
        <v>100</v>
      </c>
      <c r="G38" s="678">
        <f>Sheet2!J3</f>
        <v>23748</v>
      </c>
      <c r="H38" s="466">
        <f>LOOKUP(G38,117:117,118:118)-LOOKUP(C38,117:117,118:118)+100</f>
        <v>98</v>
      </c>
      <c r="I38" s="529">
        <f>Sheet2!J4</f>
        <v>57534</v>
      </c>
      <c r="J38" s="466">
        <f>LOOKUP(I38,117:117,118:118)-LOOKUP(C38,117:117,118:118)+100</f>
        <v>100</v>
      </c>
      <c r="K38" s="612"/>
      <c r="L38" s="1142"/>
      <c r="M38" s="1133"/>
      <c r="N38" s="1133"/>
      <c r="O38" s="1141"/>
      <c r="P38" s="3170"/>
      <c r="Q38" s="1812" t="str">
        <f>B38</f>
        <v>宗地面积</v>
      </c>
      <c r="R38" s="773" t="s">
        <v>17</v>
      </c>
      <c r="S38" s="774">
        <f t="shared" si="10"/>
        <v>100</v>
      </c>
      <c r="T38" s="773" t="s">
        <v>17</v>
      </c>
      <c r="U38" s="774">
        <f t="shared" si="11"/>
        <v>98</v>
      </c>
      <c r="V38" s="773" t="s">
        <v>17</v>
      </c>
      <c r="W38" s="774">
        <f t="shared" si="12"/>
        <v>100</v>
      </c>
      <c r="X38" s="1815"/>
      <c r="Y38" s="3170"/>
      <c r="Z38" s="1816" t="str">
        <f t="shared" si="13"/>
        <v>宗地面积</v>
      </c>
      <c r="AA38" s="1813">
        <f t="shared" si="3"/>
        <v>1</v>
      </c>
      <c r="AB38" s="1813">
        <f t="shared" si="4"/>
        <v>1.0204081632653061</v>
      </c>
      <c r="AC38" s="1813">
        <f t="shared" si="5"/>
        <v>1</v>
      </c>
    </row>
    <row r="39" spans="1:29" ht="15">
      <c r="A39" s="471"/>
      <c r="B39" s="421" t="s">
        <v>2755</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170"/>
      <c r="Q39" s="1812" t="str">
        <f t="shared" ref="Q39:Q45" si="14">B39</f>
        <v>宗地形状</v>
      </c>
      <c r="R39" s="773" t="s">
        <v>17</v>
      </c>
      <c r="S39" s="774">
        <f t="shared" si="10"/>
        <v>100</v>
      </c>
      <c r="T39" s="773" t="s">
        <v>17</v>
      </c>
      <c r="U39" s="774">
        <f t="shared" si="11"/>
        <v>100</v>
      </c>
      <c r="V39" s="773" t="s">
        <v>17</v>
      </c>
      <c r="W39" s="774">
        <f t="shared" si="12"/>
        <v>100</v>
      </c>
      <c r="X39" s="1815"/>
      <c r="Y39" s="3170"/>
      <c r="Z39" s="1816" t="str">
        <f t="shared" si="13"/>
        <v>宗地形状</v>
      </c>
      <c r="AA39" s="1813">
        <f t="shared" si="3"/>
        <v>1</v>
      </c>
      <c r="AB39" s="1813">
        <f t="shared" si="4"/>
        <v>1</v>
      </c>
      <c r="AC39" s="1813">
        <f t="shared" si="5"/>
        <v>1</v>
      </c>
    </row>
    <row r="40" spans="1:29" ht="15">
      <c r="A40" s="471"/>
      <c r="B40" s="421" t="s">
        <v>2756</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170"/>
      <c r="Q40" s="1812" t="str">
        <f t="shared" si="14"/>
        <v>临街宽度及深度</v>
      </c>
      <c r="R40" s="773" t="s">
        <v>17</v>
      </c>
      <c r="S40" s="774">
        <f t="shared" si="10"/>
        <v>100</v>
      </c>
      <c r="T40" s="773" t="s">
        <v>17</v>
      </c>
      <c r="U40" s="774">
        <f t="shared" si="11"/>
        <v>100</v>
      </c>
      <c r="V40" s="773" t="s">
        <v>17</v>
      </c>
      <c r="W40" s="774">
        <f t="shared" si="12"/>
        <v>100</v>
      </c>
      <c r="X40" s="1815"/>
      <c r="Y40" s="3170"/>
      <c r="Z40" s="1816" t="str">
        <f t="shared" si="13"/>
        <v>临街宽度及深度</v>
      </c>
      <c r="AA40" s="1813">
        <f t="shared" si="3"/>
        <v>1</v>
      </c>
      <c r="AB40" s="1813">
        <f t="shared" si="4"/>
        <v>1</v>
      </c>
      <c r="AC40" s="1813">
        <f t="shared" si="5"/>
        <v>1</v>
      </c>
    </row>
    <row r="41" spans="1:29" s="117" customFormat="1" ht="15">
      <c r="A41" s="472"/>
      <c r="B41" s="421" t="s">
        <v>2757</v>
      </c>
      <c r="C41" s="2703"/>
      <c r="D41" s="136">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170"/>
      <c r="Q41" s="1812" t="str">
        <f t="shared" si="14"/>
        <v>宗地开发程度</v>
      </c>
      <c r="R41" s="769" t="s">
        <v>17</v>
      </c>
      <c r="S41" s="770">
        <f t="shared" si="10"/>
        <v>100</v>
      </c>
      <c r="T41" s="769" t="s">
        <v>17</v>
      </c>
      <c r="U41" s="770">
        <f t="shared" si="11"/>
        <v>100</v>
      </c>
      <c r="V41" s="769" t="s">
        <v>17</v>
      </c>
      <c r="W41" s="770">
        <f t="shared" si="12"/>
        <v>100</v>
      </c>
      <c r="X41" s="771"/>
      <c r="Y41" s="3170"/>
      <c r="Z41" s="55" t="str">
        <f t="shared" si="13"/>
        <v>宗地开发程度</v>
      </c>
      <c r="AA41" s="772">
        <f t="shared" si="3"/>
        <v>1</v>
      </c>
      <c r="AB41" s="772">
        <f t="shared" si="4"/>
        <v>1</v>
      </c>
      <c r="AC41" s="772">
        <f t="shared" si="5"/>
        <v>1</v>
      </c>
    </row>
    <row r="42" spans="1:29" ht="15">
      <c r="A42" s="471"/>
      <c r="B42" s="421" t="s">
        <v>2758</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170" t="s">
        <v>2568</v>
      </c>
      <c r="Q42" s="1812" t="str">
        <f t="shared" si="14"/>
        <v>工程地质条件</v>
      </c>
      <c r="R42" s="773" t="s">
        <v>17</v>
      </c>
      <c r="S42" s="774">
        <f t="shared" si="10"/>
        <v>100</v>
      </c>
      <c r="T42" s="773" t="s">
        <v>17</v>
      </c>
      <c r="U42" s="774">
        <f t="shared" si="11"/>
        <v>100</v>
      </c>
      <c r="V42" s="773" t="s">
        <v>17</v>
      </c>
      <c r="W42" s="774">
        <f t="shared" si="12"/>
        <v>100</v>
      </c>
      <c r="X42" s="1815"/>
      <c r="Y42" s="3170" t="s">
        <v>2568</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0"/>
      <c r="Q43" s="1812">
        <f t="shared" si="14"/>
        <v>111</v>
      </c>
      <c r="R43" s="773" t="s">
        <v>17</v>
      </c>
      <c r="S43" s="774">
        <f t="shared" si="10"/>
        <v>100</v>
      </c>
      <c r="T43" s="773" t="s">
        <v>17</v>
      </c>
      <c r="U43" s="774">
        <f t="shared" si="11"/>
        <v>100</v>
      </c>
      <c r="V43" s="773" t="s">
        <v>17</v>
      </c>
      <c r="W43" s="774">
        <f t="shared" si="12"/>
        <v>100</v>
      </c>
      <c r="X43" s="1815"/>
      <c r="Y43" s="317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0"/>
      <c r="Q44" s="1812">
        <f t="shared" si="14"/>
        <v>111</v>
      </c>
      <c r="R44" s="773" t="s">
        <v>17</v>
      </c>
      <c r="S44" s="774">
        <f t="shared" si="10"/>
        <v>100</v>
      </c>
      <c r="T44" s="773" t="s">
        <v>17</v>
      </c>
      <c r="U44" s="774">
        <f t="shared" si="11"/>
        <v>100</v>
      </c>
      <c r="V44" s="773" t="s">
        <v>17</v>
      </c>
      <c r="W44" s="774">
        <f t="shared" si="12"/>
        <v>100</v>
      </c>
      <c r="X44" s="1815"/>
      <c r="Y44" s="3170"/>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0"/>
      <c r="Q45" s="1812">
        <f t="shared" si="14"/>
        <v>111</v>
      </c>
      <c r="R45" s="776" t="s">
        <v>17</v>
      </c>
      <c r="S45" s="777">
        <f t="shared" si="10"/>
        <v>100</v>
      </c>
      <c r="T45" s="776" t="s">
        <v>17</v>
      </c>
      <c r="U45" s="777">
        <f t="shared" si="11"/>
        <v>100</v>
      </c>
      <c r="V45" s="776" t="s">
        <v>17</v>
      </c>
      <c r="W45" s="777">
        <f t="shared" si="12"/>
        <v>100</v>
      </c>
      <c r="X45" s="778"/>
      <c r="Y45" s="3170"/>
      <c r="Z45" s="779">
        <f t="shared" si="13"/>
        <v>111</v>
      </c>
      <c r="AA45" s="1813">
        <f t="shared" si="3"/>
        <v>1</v>
      </c>
      <c r="AB45" s="1813">
        <f t="shared" si="4"/>
        <v>1</v>
      </c>
      <c r="AC45" s="1813">
        <f t="shared" si="5"/>
        <v>1</v>
      </c>
    </row>
    <row r="46" spans="1:29" ht="15">
      <c r="A46" s="478" t="s">
        <v>2723</v>
      </c>
      <c r="B46" s="2705" t="s">
        <v>2759</v>
      </c>
      <c r="C46" s="681" t="s">
        <v>1</v>
      </c>
      <c r="D46" s="480"/>
      <c r="E46" s="481">
        <f>Sheet2!AK2</f>
        <v>5176.57</v>
      </c>
      <c r="F46" s="482"/>
      <c r="G46" s="483">
        <f>Sheet2!AK3</f>
        <v>4797.6000000000004</v>
      </c>
      <c r="H46" s="484"/>
      <c r="I46" s="481">
        <f>Sheet2!AK4</f>
        <v>4575.78</v>
      </c>
      <c r="J46" s="484"/>
      <c r="K46" s="782"/>
      <c r="L46" s="1145"/>
      <c r="M46" s="1146"/>
      <c r="N46" s="1133"/>
      <c r="O46" s="1146"/>
      <c r="P46" s="3165" t="str">
        <f>A46</f>
        <v>成交单价</v>
      </c>
      <c r="Q46" s="3165"/>
      <c r="R46" s="3171">
        <f>E46</f>
        <v>5176.57</v>
      </c>
      <c r="S46" s="3171"/>
      <c r="T46" s="3171">
        <f>G46</f>
        <v>4797.6000000000004</v>
      </c>
      <c r="U46" s="3171"/>
      <c r="V46" s="3171">
        <f>I46</f>
        <v>4575.78</v>
      </c>
      <c r="W46" s="3171"/>
      <c r="X46" s="758"/>
      <c r="Y46" s="780"/>
      <c r="Z46" s="758"/>
      <c r="AA46" s="758"/>
      <c r="AB46" s="758"/>
      <c r="AC46" s="758"/>
    </row>
    <row r="47" spans="1:29" ht="15.75" thickBot="1">
      <c r="A47" s="485" t="s">
        <v>2672</v>
      </c>
      <c r="B47" s="682"/>
      <c r="C47" s="489">
        <f>R48</f>
        <v>4944</v>
      </c>
      <c r="D47" s="488"/>
      <c r="E47" s="489">
        <f>R47</f>
        <v>5208</v>
      </c>
      <c r="F47" s="490"/>
      <c r="G47" s="487">
        <f>T47</f>
        <v>4955</v>
      </c>
      <c r="H47" s="488"/>
      <c r="I47" s="489">
        <f>V47</f>
        <v>4669</v>
      </c>
      <c r="J47" s="488"/>
      <c r="K47" s="783"/>
      <c r="L47" s="1145"/>
      <c r="M47" s="1146"/>
      <c r="N47" s="1146"/>
      <c r="O47" s="1146"/>
      <c r="P47" s="3165" t="str">
        <f>A47</f>
        <v>比较价值（元/平方米）</v>
      </c>
      <c r="Q47" s="3165"/>
      <c r="R47" s="3158">
        <f>ROUND(PRODUCT(R46,AA7:AA45),0)</f>
        <v>5208</v>
      </c>
      <c r="S47" s="3158"/>
      <c r="T47" s="3158">
        <f>ROUND(PRODUCT(T46,AB7:AB45),0)</f>
        <v>4955</v>
      </c>
      <c r="U47" s="3158"/>
      <c r="V47" s="3158">
        <f>ROUND(PRODUCT(V46,AC7:AC45),0)</f>
        <v>4669</v>
      </c>
      <c r="W47" s="3158"/>
      <c r="X47" s="758"/>
      <c r="Y47" s="758"/>
      <c r="Z47" s="758"/>
      <c r="AA47" s="758"/>
      <c r="AB47" s="758"/>
      <c r="AC47" s="758"/>
    </row>
    <row r="48" spans="1:29" ht="15.75" thickBot="1">
      <c r="A48" s="491" t="s">
        <v>2760</v>
      </c>
      <c r="B48" s="492"/>
      <c r="C48" s="493">
        <f>R48</f>
        <v>4944</v>
      </c>
      <c r="D48" s="493"/>
      <c r="E48" s="493"/>
      <c r="F48" s="493"/>
      <c r="G48" s="493"/>
      <c r="H48" s="493"/>
      <c r="I48" s="493"/>
      <c r="J48" s="493"/>
      <c r="K48" s="784"/>
      <c r="L48" s="1145"/>
      <c r="M48" s="1146"/>
      <c r="N48" s="1146"/>
      <c r="O48" s="1146"/>
      <c r="P48" s="3159" t="str">
        <f>A48</f>
        <v>估价对象XX用房的比较价值（楼面单价，元/平方米）</v>
      </c>
      <c r="Q48" s="3160"/>
      <c r="R48" s="3161">
        <f>ROUND(AVERAGE(R47:V47),0)</f>
        <v>4944</v>
      </c>
      <c r="S48" s="3161"/>
      <c r="T48" s="3161"/>
      <c r="U48" s="3161"/>
      <c r="V48" s="3161"/>
      <c r="W48" s="316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2674</v>
      </c>
      <c r="D51" s="497"/>
      <c r="E51" s="498">
        <f>IF(E46&lt;E47,E47/E46-1,E46/E47-1)</f>
        <v>6.0715879433679287E-3</v>
      </c>
      <c r="F51" s="499" t="str">
        <f>IF(OR(E51&gt;=0.3,E51&lt;=-0.3),"超过30%","")</f>
        <v/>
      </c>
      <c r="G51" s="498">
        <f>IF(G46&lt;G47,G47/G46-1,G46/G47-1)</f>
        <v>3.2808070702017522E-2</v>
      </c>
      <c r="H51" s="499" t="str">
        <f>IF(OR(G51&gt;=0.3,G51&lt;=-0.3),"超过30%","")</f>
        <v/>
      </c>
      <c r="I51" s="498">
        <f>IF(I46&lt;I47,I47/I46-1,I46/I47-1)</f>
        <v>2.037248294279892E-2</v>
      </c>
      <c r="J51" s="499" t="str">
        <f>IF(OR(I51&gt;=0.3,I51&lt;=-0.3),"超过30%","")</f>
        <v/>
      </c>
      <c r="K51" s="1107"/>
      <c r="L51" s="1108"/>
      <c r="M51" s="1146"/>
      <c r="N51" s="1146"/>
      <c r="O51" s="1146"/>
    </row>
    <row r="52" spans="1:15" ht="13.5" customHeight="1">
      <c r="A52" s="1146"/>
      <c r="B52" s="1146"/>
      <c r="C52" s="496" t="s">
        <v>2675</v>
      </c>
      <c r="D52" s="500"/>
      <c r="E52" s="498">
        <f>IF(E47&lt;G47,G47/E47-1,E47/G47-1)</f>
        <v>5.1059535822401525E-2</v>
      </c>
      <c r="F52" s="499" t="str">
        <f>IF(OR(E52&gt;=0.2,E52&lt;=-0.2),"超过20%","")</f>
        <v/>
      </c>
      <c r="G52" s="498">
        <f>IF(G47&lt;I47,I47/G47-1,G47/I47-1)</f>
        <v>6.1255086742343146E-2</v>
      </c>
      <c r="H52" s="499" t="str">
        <f>IF(OR(G52&gt;=0.2,G52&lt;=-0.2),"超过20%","")</f>
        <v/>
      </c>
      <c r="I52" s="498">
        <f>IF(I47&lt;E47,E47/I47-1,I47/E47-1)</f>
        <v>0.11544227886056979</v>
      </c>
      <c r="J52" s="499" t="str">
        <f>IF(OR(I52&gt;=0.2,I52&lt;=-0.2),"超过20%","")</f>
        <v/>
      </c>
      <c r="K52" s="1107"/>
      <c r="L52" s="1108"/>
      <c r="M52" s="1146"/>
      <c r="N52" s="1146"/>
      <c r="O52" s="1146"/>
    </row>
    <row r="53" spans="1:15" s="501" customFormat="1" ht="13.5" customHeight="1">
      <c r="A53" s="1147"/>
      <c r="B53" s="1147"/>
      <c r="C53" s="496" t="s">
        <v>2676</v>
      </c>
      <c r="D53" s="500"/>
      <c r="E53" s="498">
        <f>IF(E46&lt;G46,G46/E46-1,E46/G46-1)</f>
        <v>7.8991579122894562E-2</v>
      </c>
      <c r="F53" s="499" t="str">
        <f>IF(OR(E53&gt;=0.3,E53&lt;=-0.3),"超过30%","")</f>
        <v/>
      </c>
      <c r="G53" s="498">
        <f>IF(G46&lt;I46,I46/G46-1,G46/I46-1)</f>
        <v>4.8476980973735762E-2</v>
      </c>
      <c r="H53" s="499" t="str">
        <f>IF(OR(G53&gt;=0.3,G53&lt;=-0.3),"超过30%","")</f>
        <v/>
      </c>
      <c r="I53" s="498">
        <f>IF(I46&lt;E46,E46/I46-1,I46/E46-1)</f>
        <v>0.13129783337485623</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2761</v>
      </c>
      <c r="B55" s="684" t="s">
        <v>2762</v>
      </c>
      <c r="C55" s="2706" t="s">
        <v>2763</v>
      </c>
      <c r="D55" s="2707" t="s">
        <v>2764</v>
      </c>
      <c r="E55" s="685" t="s">
        <v>2765</v>
      </c>
      <c r="F55" s="1109" t="s">
        <v>2766</v>
      </c>
      <c r="G55" s="3162" t="s">
        <v>2767</v>
      </c>
      <c r="H55" s="3163"/>
      <c r="I55" s="144" t="s">
        <v>2768</v>
      </c>
      <c r="J55" s="2708" t="str">
        <f>项目基本情况!F35</f>
        <v>江苏省</v>
      </c>
      <c r="K55" s="2709" t="s">
        <v>2769</v>
      </c>
      <c r="L55" s="1108"/>
      <c r="M55" s="1146"/>
      <c r="N55" s="1146"/>
      <c r="O55" s="1146"/>
    </row>
    <row r="56" spans="1:15" s="691" customFormat="1">
      <c r="A56" s="687" t="s">
        <v>2770</v>
      </c>
      <c r="B56" s="688">
        <f>C48</f>
        <v>4944</v>
      </c>
      <c r="C56" s="689">
        <v>1</v>
      </c>
      <c r="D56" s="1165">
        <v>1</v>
      </c>
      <c r="E56" s="689">
        <f>'数据-汇总表'!E8+'数据-汇总表'!E9</f>
        <v>56971.88999999997</v>
      </c>
      <c r="F56" s="1105">
        <f t="shared" ref="F56:F65" si="15">ROUND(B56*E56/10000,0)</f>
        <v>28167</v>
      </c>
      <c r="G56" s="3164"/>
      <c r="H56" s="3165"/>
      <c r="I56" s="1110">
        <v>1</v>
      </c>
      <c r="J56" s="1113">
        <v>1</v>
      </c>
      <c r="K56" s="1147"/>
      <c r="L56" s="943"/>
      <c r="M56" s="943"/>
      <c r="N56" s="943"/>
      <c r="O56" s="943"/>
    </row>
    <row r="57" spans="1:15" s="691" customFormat="1">
      <c r="A57" s="692" t="s">
        <v>2771</v>
      </c>
      <c r="B57" s="262">
        <f>ROUND($C$48*C57*D57,0)</f>
        <v>0</v>
      </c>
      <c r="C57" s="200">
        <f t="shared" ref="C57:C65" si="16">IF($C$55="北京市系数",I57,J57)</f>
        <v>0</v>
      </c>
      <c r="D57" s="1166">
        <v>0.25</v>
      </c>
      <c r="E57" s="693"/>
      <c r="F57" s="1105">
        <f t="shared" si="15"/>
        <v>0</v>
      </c>
      <c r="G57" s="3166" t="s">
        <v>2772</v>
      </c>
      <c r="H57" s="1106">
        <f>项目基本情况!B37</f>
        <v>0</v>
      </c>
      <c r="I57" s="1110">
        <f>SUMIF(修正!A45:A56,H57,修正!B45:B56)</f>
        <v>0</v>
      </c>
      <c r="J57" s="1114"/>
      <c r="K57" s="1146"/>
      <c r="L57" s="943"/>
      <c r="M57" s="943"/>
      <c r="N57" s="943"/>
      <c r="O57" s="943"/>
    </row>
    <row r="58" spans="1:15" s="691" customFormat="1">
      <c r="A58" s="692" t="s">
        <v>2773</v>
      </c>
      <c r="B58" s="262">
        <f t="shared" ref="B58:B65" si="17">ROUND($C$48*C58*D58,0)</f>
        <v>0</v>
      </c>
      <c r="C58" s="200">
        <f t="shared" si="16"/>
        <v>0</v>
      </c>
      <c r="D58" s="1166">
        <v>0.25</v>
      </c>
      <c r="E58" s="693"/>
      <c r="F58" s="1105">
        <f t="shared" si="15"/>
        <v>0</v>
      </c>
      <c r="G58" s="3166"/>
      <c r="H58" s="1106">
        <f>项目基本情况!B37</f>
        <v>0</v>
      </c>
      <c r="I58" s="1110">
        <f>SUMIF(修正!A45:A56,H58,修正!C45:C56)</f>
        <v>0</v>
      </c>
      <c r="J58" s="1114"/>
      <c r="K58" s="1147"/>
      <c r="L58" s="943"/>
      <c r="M58" s="943"/>
      <c r="N58" s="943"/>
      <c r="O58" s="943"/>
    </row>
    <row r="59" spans="1:15" s="691" customFormat="1">
      <c r="A59" s="692" t="s">
        <v>2774</v>
      </c>
      <c r="B59" s="262">
        <f t="shared" si="17"/>
        <v>0</v>
      </c>
      <c r="C59" s="200">
        <f t="shared" si="16"/>
        <v>0</v>
      </c>
      <c r="D59" s="1166">
        <v>0.25</v>
      </c>
      <c r="E59" s="693"/>
      <c r="F59" s="1105">
        <f t="shared" si="15"/>
        <v>0</v>
      </c>
      <c r="G59" s="3166"/>
      <c r="H59" s="1106">
        <f>项目基本情况!B37</f>
        <v>0</v>
      </c>
      <c r="I59" s="1110">
        <f>SUMIF(修正!A45:A56,H59,修正!D45:D56)</f>
        <v>0</v>
      </c>
      <c r="J59" s="1114"/>
      <c r="K59" s="1146"/>
      <c r="L59" s="943"/>
      <c r="M59" s="943"/>
      <c r="N59" s="943"/>
      <c r="O59" s="943"/>
    </row>
    <row r="60" spans="1:15" s="691" customFormat="1">
      <c r="A60" s="692" t="s">
        <v>2775</v>
      </c>
      <c r="B60" s="262">
        <f t="shared" si="17"/>
        <v>0</v>
      </c>
      <c r="C60" s="200">
        <f t="shared" si="16"/>
        <v>0</v>
      </c>
      <c r="D60" s="1166">
        <v>0.25</v>
      </c>
      <c r="E60" s="693"/>
      <c r="F60" s="1105">
        <f t="shared" si="15"/>
        <v>0</v>
      </c>
      <c r="G60" s="3166"/>
      <c r="H60" s="1106">
        <f>项目基本情况!B37</f>
        <v>0</v>
      </c>
      <c r="I60" s="1110">
        <f>SUMIF(修正!A45:A56,H60,修正!E45:E56)</f>
        <v>0</v>
      </c>
      <c r="J60" s="1114"/>
      <c r="K60" s="1147"/>
      <c r="L60" s="943"/>
      <c r="M60" s="943"/>
      <c r="N60" s="943"/>
      <c r="O60" s="943"/>
    </row>
    <row r="61" spans="1:15" s="691" customFormat="1">
      <c r="A61" s="692" t="s">
        <v>2776</v>
      </c>
      <c r="B61" s="262">
        <f t="shared" si="17"/>
        <v>0</v>
      </c>
      <c r="C61" s="200">
        <f t="shared" si="16"/>
        <v>0</v>
      </c>
      <c r="D61" s="1166">
        <v>0.25</v>
      </c>
      <c r="E61" s="261">
        <f>'数据-汇总表'!E11</f>
        <v>0</v>
      </c>
      <c r="F61" s="1105">
        <f t="shared" si="15"/>
        <v>0</v>
      </c>
      <c r="G61" s="2710" t="s">
        <v>2777</v>
      </c>
      <c r="H61" s="1106">
        <f>项目基本情况!C37</f>
        <v>0</v>
      </c>
      <c r="I61" s="1110">
        <f>SUMIF(修正!A45:A56,H61,修正!F45:F56)</f>
        <v>0</v>
      </c>
      <c r="J61" s="1114"/>
      <c r="K61" s="1146"/>
      <c r="L61" s="943"/>
      <c r="M61" s="943"/>
      <c r="N61" s="943"/>
      <c r="O61" s="943"/>
    </row>
    <row r="62" spans="1:15" s="691" customFormat="1">
      <c r="A62" s="692" t="s">
        <v>2778</v>
      </c>
      <c r="B62" s="262">
        <f t="shared" si="17"/>
        <v>0</v>
      </c>
      <c r="C62" s="200">
        <f t="shared" si="16"/>
        <v>0</v>
      </c>
      <c r="D62" s="1166">
        <v>0.25</v>
      </c>
      <c r="E62" s="261">
        <f>'数据-汇总表'!E12</f>
        <v>0</v>
      </c>
      <c r="F62" s="1105">
        <f t="shared" si="15"/>
        <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2780</v>
      </c>
      <c r="B63" s="262">
        <f t="shared" si="17"/>
        <v>0</v>
      </c>
      <c r="C63" s="200">
        <f t="shared" si="16"/>
        <v>0</v>
      </c>
      <c r="D63" s="1166">
        <v>0.25</v>
      </c>
      <c r="E63" s="261">
        <f>'数据-汇总表'!E13</f>
        <v>0</v>
      </c>
      <c r="F63" s="1105">
        <f t="shared" si="15"/>
        <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2782</v>
      </c>
      <c r="B64" s="262">
        <f t="shared" si="17"/>
        <v>0</v>
      </c>
      <c r="C64" s="200">
        <f t="shared" si="16"/>
        <v>0</v>
      </c>
      <c r="D64" s="1166">
        <v>0.25</v>
      </c>
      <c r="E64" s="261">
        <f>'数据-汇总表'!E14</f>
        <v>0</v>
      </c>
      <c r="F64" s="1105">
        <f t="shared" si="15"/>
        <v>0</v>
      </c>
      <c r="G64" s="2710" t="s">
        <v>2772</v>
      </c>
      <c r="H64" s="1106">
        <f>项目基本情况!B37</f>
        <v>0</v>
      </c>
      <c r="I64" s="1110">
        <f>SUMIF(修正!A45:A56,H64,修正!H45:H56)</f>
        <v>0</v>
      </c>
      <c r="J64" s="1114"/>
      <c r="K64" s="1147"/>
      <c r="L64" s="943"/>
      <c r="M64" s="943"/>
      <c r="N64" s="943"/>
      <c r="O64" s="943"/>
    </row>
    <row r="65" spans="1:17" s="691" customFormat="1" ht="15" thickBot="1">
      <c r="A65" s="692" t="s">
        <v>2783</v>
      </c>
      <c r="B65" s="262">
        <f t="shared" si="17"/>
        <v>0</v>
      </c>
      <c r="C65" s="200">
        <f t="shared" si="16"/>
        <v>0</v>
      </c>
      <c r="D65" s="1166">
        <v>0.25</v>
      </c>
      <c r="E65" s="261">
        <f>'数据-汇总表'!E15</f>
        <v>0</v>
      </c>
      <c r="F65" s="1105">
        <f t="shared" si="15"/>
        <v>0</v>
      </c>
      <c r="G65" s="2711" t="s">
        <v>2777</v>
      </c>
      <c r="H65" s="1116">
        <f>项目基本情况!C37</f>
        <v>0</v>
      </c>
      <c r="I65" s="1112">
        <f>SUMIF(修正!A45:A56,H65,修正!H45:H56)</f>
        <v>0</v>
      </c>
      <c r="J65" s="1115"/>
      <c r="K65" s="1146"/>
      <c r="L65" s="943"/>
      <c r="M65" s="943"/>
      <c r="N65" s="943"/>
      <c r="O65" s="943"/>
    </row>
    <row r="66" spans="1:17" s="691" customFormat="1" ht="13.5" thickBot="1">
      <c r="A66" s="694" t="s">
        <v>2784</v>
      </c>
      <c r="B66" s="695" t="s">
        <v>28</v>
      </c>
      <c r="C66" s="695" t="s">
        <v>29</v>
      </c>
      <c r="D66" s="695" t="s">
        <v>1029</v>
      </c>
      <c r="E66" s="695">
        <f>IF(B46="楼面地价",SUM(E56:E65),'数据-汇总表'!D3)</f>
        <v>56971.88999999997</v>
      </c>
      <c r="F66" s="696">
        <f>IF(B46="楼面地价",SUM(F56:F65),ROUND(C48*E66/10000,0))</f>
        <v>28167</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2677</v>
      </c>
      <c r="B69" s="758"/>
      <c r="C69" s="763"/>
      <c r="D69" s="763"/>
      <c r="E69" s="763"/>
      <c r="F69" s="764"/>
      <c r="G69" s="764"/>
      <c r="H69" s="763"/>
      <c r="I69" s="763"/>
      <c r="J69" s="1161"/>
      <c r="K69" s="1162"/>
      <c r="L69" s="1163"/>
      <c r="M69" s="1161"/>
      <c r="N69" s="1161"/>
      <c r="O69" s="1161"/>
      <c r="P69" s="502"/>
      <c r="Q69" s="503"/>
    </row>
    <row r="70" spans="1:17" s="507" customFormat="1" ht="15">
      <c r="A70" s="2712" t="s">
        <v>2785</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3" t="s">
        <v>2786</v>
      </c>
      <c r="B71" s="332" t="str">
        <f>"北京市平均增长率"&amp;TEXT(SUMIF(基准地价修正!N21:N25,A71,基准地价修正!P21:P25),"0.00%")</f>
        <v>北京市平均增长率2.41%</v>
      </c>
      <c r="C71" s="602">
        <v>100</v>
      </c>
      <c r="D71" s="594">
        <f>C71-0.2</f>
        <v>99.8</v>
      </c>
      <c r="E71" s="594">
        <f t="shared" ref="E71:J71" si="20">D71-0.2</f>
        <v>99.6</v>
      </c>
      <c r="F71" s="594">
        <f t="shared" si="20"/>
        <v>99.399999999999991</v>
      </c>
      <c r="G71" s="594">
        <f t="shared" si="20"/>
        <v>99.199999999999989</v>
      </c>
      <c r="H71" s="594">
        <f t="shared" si="20"/>
        <v>98.999999999999986</v>
      </c>
      <c r="I71" s="594">
        <f t="shared" si="20"/>
        <v>98.799999999999983</v>
      </c>
      <c r="J71" s="594">
        <f t="shared" si="20"/>
        <v>98.59999999999998</v>
      </c>
      <c r="K71" s="594"/>
      <c r="L71" s="594"/>
      <c r="M71" s="1569"/>
      <c r="N71" s="594"/>
      <c r="O71" s="1570"/>
      <c r="P71" s="503"/>
    </row>
    <row r="72" spans="1:17" s="117" customFormat="1" ht="15.75" thickBot="1">
      <c r="A72" s="514" t="s">
        <v>2588</v>
      </c>
      <c r="B72" s="515"/>
      <c r="C72" s="516"/>
      <c r="D72" s="517"/>
      <c r="E72" s="517"/>
      <c r="F72" s="517"/>
      <c r="G72" s="517"/>
      <c r="H72" s="517"/>
      <c r="I72" s="517"/>
      <c r="J72" s="517"/>
      <c r="K72" s="517"/>
      <c r="L72" s="517"/>
      <c r="M72" s="518"/>
      <c r="N72" s="517"/>
      <c r="O72" s="1164"/>
      <c r="P72" s="503"/>
      <c r="Q72" s="503"/>
    </row>
    <row r="73" spans="1:17" s="117" customFormat="1" ht="15">
      <c r="A73" s="520" t="s">
        <v>2553</v>
      </c>
      <c r="B73" s="509"/>
      <c r="C73" s="521" t="s">
        <v>2655</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2591</v>
      </c>
      <c r="B75" s="527" t="s">
        <v>2557</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2561</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2788</v>
      </c>
      <c r="C96" s="577" t="s">
        <v>2600</v>
      </c>
      <c r="D96" s="577" t="s">
        <v>2601</v>
      </c>
      <c r="E96" s="577" t="s">
        <v>2602</v>
      </c>
      <c r="F96" s="577" t="s">
        <v>2603</v>
      </c>
      <c r="G96" s="577" t="s">
        <v>2604</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2789</v>
      </c>
      <c r="C98" s="572" t="s">
        <v>2600</v>
      </c>
      <c r="D98" s="572" t="s">
        <v>2601</v>
      </c>
      <c r="E98" s="572" t="s">
        <v>2602</v>
      </c>
      <c r="F98" s="572" t="s">
        <v>2603</v>
      </c>
      <c r="G98" s="572" t="s">
        <v>2604</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7.75" thickTop="1">
      <c r="A106" s="533"/>
      <c r="B106" s="537" t="s">
        <v>2694</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75" thickTop="1">
      <c r="A108" s="533"/>
      <c r="B108" s="537" t="s">
        <v>2753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2566</v>
      </c>
      <c r="B116" s="527" t="s">
        <v>2794</v>
      </c>
      <c r="C116" s="528" t="str">
        <f>C117&amp;"(含)"&amp;"-"&amp;D117</f>
        <v>0(含)-30000</v>
      </c>
      <c r="D116" s="528" t="str">
        <f t="shared" ref="D116:M116" si="26">D117&amp;"(含)"&amp;"-"&amp;E117</f>
        <v>30000(含)-60000</v>
      </c>
      <c r="E116" s="528" t="str">
        <f t="shared" si="26"/>
        <v>60000(含)-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4"/>
      <c r="O116" s="1154"/>
      <c r="P116" s="45"/>
      <c r="Q116" s="503"/>
    </row>
    <row r="117" spans="1:17" ht="15">
      <c r="A117" s="533"/>
      <c r="B117" s="545"/>
      <c r="C117" s="594">
        <v>0</v>
      </c>
      <c r="D117" s="594">
        <v>30000</v>
      </c>
      <c r="E117" s="594">
        <v>60000</v>
      </c>
      <c r="F117" s="594"/>
      <c r="G117" s="594"/>
      <c r="H117" s="594"/>
      <c r="I117" s="594"/>
      <c r="J117" s="595"/>
      <c r="K117" s="595"/>
      <c r="L117" s="596"/>
      <c r="M117" s="597"/>
      <c r="N117" s="1154"/>
      <c r="O117" s="1154"/>
      <c r="P117" s="45"/>
      <c r="Q117" s="503"/>
    </row>
    <row r="118" spans="1:17" ht="15.75" thickBot="1">
      <c r="A118" s="533"/>
      <c r="B118" s="542"/>
      <c r="C118" s="569">
        <v>100</v>
      </c>
      <c r="D118" s="590">
        <v>102</v>
      </c>
      <c r="E118" s="590">
        <v>104</v>
      </c>
      <c r="F118" s="590"/>
      <c r="G118" s="590"/>
      <c r="H118" s="590"/>
      <c r="I118" s="590"/>
      <c r="J118" s="590"/>
      <c r="K118" s="590"/>
      <c r="L118" s="590"/>
      <c r="M118" s="591"/>
      <c r="N118" s="1155"/>
      <c r="O118" s="1155"/>
      <c r="P118" s="45"/>
      <c r="Q118" s="503"/>
    </row>
    <row r="119" spans="1:17" ht="15" thickTop="1">
      <c r="A119" s="598"/>
      <c r="B119" s="537" t="s">
        <v>2795</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55"/>
      <c r="O120" s="1155"/>
      <c r="P120" s="45"/>
      <c r="Q120" s="503"/>
    </row>
    <row r="121" spans="1:17" ht="15" thickTop="1">
      <c r="A121" s="598"/>
      <c r="B121" s="537" t="s">
        <v>2796</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5"/>
      <c r="O122" s="1155"/>
      <c r="P122" s="45"/>
      <c r="Q122" s="503"/>
    </row>
    <row r="123" spans="1:17" s="470" customFormat="1" ht="15" thickTop="1">
      <c r="A123" s="592"/>
      <c r="B123" s="537" t="s">
        <v>2797</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9">D124-$K41</f>
        <v>100</v>
      </c>
      <c r="F124" s="543">
        <f t="shared" si="29"/>
        <v>100</v>
      </c>
      <c r="G124" s="543">
        <f t="shared" si="29"/>
        <v>100</v>
      </c>
      <c r="H124" s="543">
        <f t="shared" si="29"/>
        <v>100</v>
      </c>
      <c r="I124" s="543">
        <f t="shared" si="29"/>
        <v>100</v>
      </c>
      <c r="J124" s="543">
        <f t="shared" si="29"/>
        <v>100</v>
      </c>
      <c r="K124" s="543">
        <f t="shared" si="29"/>
        <v>100</v>
      </c>
      <c r="L124" s="543">
        <f t="shared" si="29"/>
        <v>100</v>
      </c>
      <c r="M124" s="544">
        <f t="shared" si="29"/>
        <v>100</v>
      </c>
      <c r="N124" s="1156"/>
      <c r="O124" s="1156"/>
      <c r="P124" s="557"/>
      <c r="Q124" s="558"/>
    </row>
    <row r="125" spans="1:17" ht="15" thickTop="1">
      <c r="A125" s="598"/>
      <c r="B125" s="537" t="s">
        <v>2798</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2" t="str">
        <f>项目基本情况!B1</f>
        <v>江苏省泰兴市根思路南侧、文江路西侧10号地块出让国有建设用地使用权及在建建筑物房地产抵押价值预评估</v>
      </c>
      <c r="C37" s="2972"/>
      <c r="D37" s="2972"/>
      <c r="E37" s="2972"/>
      <c r="F37" s="2972"/>
      <c r="G37" s="2972"/>
      <c r="H37" s="2972"/>
      <c r="I37" s="2972"/>
    </row>
    <row r="38" spans="1:9">
      <c r="A38" s="1018"/>
      <c r="B38" s="1018"/>
    </row>
    <row r="39" spans="1:9">
      <c r="A39" s="1016" t="s">
        <v>818</v>
      </c>
      <c r="B39" s="1016" t="s">
        <v>820</v>
      </c>
    </row>
    <row r="40" spans="1:9">
      <c r="A40" s="1016"/>
      <c r="B40" s="1944" t="str">
        <f>项目基本情况!B5</f>
        <v>华澳信托</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G59" sqref="G5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1">
        <f>MATCH(B1,'数据-取费表'!A6:A16,0)+5</f>
        <v>8</v>
      </c>
    </row>
    <row r="2" spans="1:9" s="244" customFormat="1" ht="18" customHeight="1">
      <c r="A2" s="245" t="s">
        <v>2332</v>
      </c>
      <c r="B2" s="246">
        <f ca="1">IF(D2="——",C52,C52-E2)</f>
        <v>49238</v>
      </c>
      <c r="C2" s="243" t="s">
        <v>2333</v>
      </c>
      <c r="D2" s="2548" t="s">
        <v>70</v>
      </c>
      <c r="E2" s="1442"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7540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29026</v>
      </c>
      <c r="D5" s="255" t="s">
        <v>2339</v>
      </c>
      <c r="E5" s="256" t="s">
        <v>2340</v>
      </c>
      <c r="F5" s="256" t="s">
        <v>2341</v>
      </c>
      <c r="G5" s="257"/>
    </row>
    <row r="6" spans="1:9" s="258" customFormat="1" ht="13.5" customHeight="1">
      <c r="A6" s="951" t="s">
        <v>2342</v>
      </c>
      <c r="B6" s="259" t="s">
        <v>2343</v>
      </c>
      <c r="C6" s="260">
        <f>'土地比较法-住宅、综合'!F56</f>
        <v>28167</v>
      </c>
      <c r="D6" s="261"/>
      <c r="E6" s="262"/>
      <c r="F6" s="262"/>
      <c r="G6" s="263"/>
    </row>
    <row r="7" spans="1:9" s="258" customFormat="1" ht="13.5" customHeight="1">
      <c r="A7" s="951" t="s">
        <v>2344</v>
      </c>
      <c r="B7" s="259" t="s">
        <v>2345</v>
      </c>
      <c r="C7" s="264">
        <f>ROUND(C6*F7,0)</f>
        <v>859</v>
      </c>
      <c r="D7" s="264"/>
      <c r="E7" s="262"/>
      <c r="F7" s="265">
        <f>'数据-取费表'!B48+'数据-取费表'!B49</f>
        <v>3.0499999999999999E-2</v>
      </c>
      <c r="G7" s="263"/>
    </row>
    <row r="8" spans="1:9" s="267" customFormat="1">
      <c r="A8" s="951" t="s">
        <v>2346</v>
      </c>
      <c r="B8" s="259" t="s">
        <v>2347</v>
      </c>
      <c r="C8" s="264">
        <f>IF(G8="已包含在土地购买价格中","0",IF(B1="",'数据-取费表'!B29,IF(G9="全部缴纳",C9+C10,H9)))</f>
        <v>0</v>
      </c>
      <c r="D8" s="266"/>
      <c r="E8" s="264"/>
      <c r="F8" s="265"/>
      <c r="G8" s="2551"/>
    </row>
    <row r="9" spans="1:9" s="258" customFormat="1" ht="13.5" customHeight="1">
      <c r="A9" s="952" t="s">
        <v>800</v>
      </c>
      <c r="B9" s="268" t="s">
        <v>2348</v>
      </c>
      <c r="C9" s="269">
        <f ca="1">ROUND(D9*E9/10000,0)</f>
        <v>570</v>
      </c>
      <c r="D9" s="1034">
        <f ca="1">IF(B1="",'数据-汇总表'!E5,IF(INDIRECT("'数据-取费表'!c"&amp;$G$1)="住宅",INDIRECT("'数据-取费表'!k"&amp;$G$1),0))</f>
        <v>56971.88999999997</v>
      </c>
      <c r="E9" s="269">
        <f>'数据-取费表'!B27</f>
        <v>100</v>
      </c>
      <c r="F9" s="265"/>
      <c r="G9" s="2552"/>
      <c r="H9" s="1392"/>
      <c r="I9" s="2553" t="s">
        <v>2349</v>
      </c>
    </row>
    <row r="10" spans="1:9" s="258" customFormat="1" ht="13.5" customHeight="1">
      <c r="A10" s="952" t="s">
        <v>801</v>
      </c>
      <c r="B10" s="268" t="s">
        <v>2350</v>
      </c>
      <c r="C10" s="269">
        <f ca="1">ROUND(D10*E10/10000,0)</f>
        <v>83</v>
      </c>
      <c r="D10" s="1034">
        <f ca="1">IF(B1="",'数据-汇总表'!E6,IF(INDIRECT("'数据-取费表'!c"&amp;$G$1)="住宅",INDIRECT("'数据-取费表'!s"&amp;$G$1),INDIRECT("'数据-取费表'!k"&amp;$G$1)+INDIRECT("'数据-取费表'!s"&amp;$G$1)))</f>
        <v>8333.3300000000017</v>
      </c>
      <c r="E10" s="269">
        <f>'数据-取费表'!B28</f>
        <v>100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f ca="1">IF(G19="已包含在土地取得成本中","0",ROUND(D19*E19/10000,0))</f>
        <v>980</v>
      </c>
      <c r="D19" s="1038">
        <f ca="1">D9+D10</f>
        <v>65305.219999999972</v>
      </c>
      <c r="E19" s="255">
        <f>'数据-取费表'!B31</f>
        <v>150</v>
      </c>
      <c r="F19" s="275"/>
      <c r="G19" s="2551"/>
    </row>
    <row r="20" spans="1:7" s="258" customFormat="1" ht="13.5" customHeight="1">
      <c r="A20" s="299" t="s">
        <v>2363</v>
      </c>
      <c r="B20" s="254" t="s">
        <v>2364</v>
      </c>
      <c r="C20" s="276">
        <f ca="1">ROUND((C5+C19)*F20,0)</f>
        <v>600</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1735</v>
      </c>
      <c r="D22" s="279">
        <f ca="1">C26</f>
        <v>5.9999999999999995E-4</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1662</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56</v>
      </c>
      <c r="D24" s="282"/>
      <c r="E24" s="282"/>
      <c r="F24" s="283"/>
      <c r="G24" s="284" t="s">
        <v>2377</v>
      </c>
    </row>
    <row r="25" spans="1:7" s="258" customFormat="1" ht="24">
      <c r="A25" s="953" t="s">
        <v>2378</v>
      </c>
      <c r="B25" s="259" t="s">
        <v>2379</v>
      </c>
      <c r="C25" s="1357">
        <f ca="1">ROUND(IF('数据-取费表'!B22&lt;=1,C20*F22*'数据-取费表'!B23/2,C20*(POWER((1+F22),'数据-取费表'!B23/2)-1)),0)</f>
        <v>17</v>
      </c>
      <c r="D25" s="282"/>
      <c r="E25" s="285"/>
      <c r="F25" s="283"/>
      <c r="G25" s="286" t="s">
        <v>2380</v>
      </c>
    </row>
    <row r="26" spans="1:7" s="258" customFormat="1">
      <c r="A26" s="953" t="s">
        <v>795</v>
      </c>
      <c r="B26" s="259" t="s">
        <v>2381</v>
      </c>
      <c r="C26" s="282">
        <f ca="1">ROUND(IF('数据-取费表'!B22&lt;=1,F21*F22*'数据-取费表'!B23/2,F21*(POWER((1+F22),'数据-取费表'!B23/2)-1)),4)</f>
        <v>5.9999999999999995E-4</v>
      </c>
      <c r="D26" s="282"/>
      <c r="E26" s="285"/>
      <c r="F26" s="283"/>
      <c r="G26" s="287"/>
    </row>
    <row r="27" spans="1:7" s="258" customFormat="1" ht="24.75">
      <c r="A27" s="299" t="s">
        <v>2382</v>
      </c>
      <c r="B27" s="288" t="s">
        <v>2383</v>
      </c>
      <c r="C27" s="289">
        <f ca="1">C28</f>
        <v>1836</v>
      </c>
      <c r="D27" s="279">
        <f ca="1">C29</f>
        <v>1.1999999999999999E-3</v>
      </c>
      <c r="E27" s="280" t="s">
        <v>2384</v>
      </c>
      <c r="F27" s="290">
        <f ca="1">IF(B1="",'数据-取费表'!Q16,INDIRECT("'数据-取费表'!q"&amp;$G$1))</f>
        <v>0.1</v>
      </c>
      <c r="G27" s="291" t="s">
        <v>2385</v>
      </c>
    </row>
    <row r="28" spans="1:7" s="258" customFormat="1" ht="13.5" customHeight="1">
      <c r="A28" s="953" t="s">
        <v>791</v>
      </c>
      <c r="B28" s="292" t="s">
        <v>2386</v>
      </c>
      <c r="C28" s="293">
        <f ca="1">ROUND((C5+C19+C20)*F27*'数据-取费表'!B21/'数据-取费表'!B20,0)</f>
        <v>1836</v>
      </c>
      <c r="D28" s="279"/>
      <c r="E28" s="280"/>
      <c r="F28" s="290"/>
      <c r="G28" s="291"/>
    </row>
    <row r="29" spans="1:7" s="258" customFormat="1" ht="13.5" customHeight="1">
      <c r="A29" s="953" t="s">
        <v>792</v>
      </c>
      <c r="B29" s="292" t="s">
        <v>2387</v>
      </c>
      <c r="C29" s="282">
        <f ca="1">ROUND(C21*F27*'数据-取费表'!B21/'数据-取费表'!B20,4)</f>
        <v>1.1999999999999999E-3</v>
      </c>
      <c r="D29" s="279"/>
      <c r="E29" s="280"/>
      <c r="F29" s="290"/>
      <c r="G29" s="291"/>
    </row>
    <row r="30" spans="1:7" s="258" customFormat="1" ht="13.5" customHeight="1">
      <c r="A30" s="299" t="s">
        <v>2388</v>
      </c>
      <c r="B30" s="254" t="s">
        <v>2389</v>
      </c>
      <c r="C30" s="279">
        <f>ROUND(F30/(1+'数据-取费表'!C42),4)</f>
        <v>5.4300000000000001E-2</v>
      </c>
      <c r="D30" s="280" t="s">
        <v>2384</v>
      </c>
      <c r="E30" s="285"/>
      <c r="F30" s="281">
        <f>'数据-取费表'!B41</f>
        <v>5.7000000000000002E-2</v>
      </c>
      <c r="G30" s="278" t="s">
        <v>2390</v>
      </c>
    </row>
    <row r="31" spans="1:7" ht="16.5" customHeight="1">
      <c r="A31" s="253">
        <v>1</v>
      </c>
      <c r="B31" s="254" t="s">
        <v>2391</v>
      </c>
      <c r="C31" s="255">
        <f ca="1">ROUND((C5+C19+C20+C22+C27)/(1-C21-D22-D27-C30),0)</f>
        <v>36992</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9823</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8621</v>
      </c>
      <c r="D34" s="261"/>
      <c r="E34" s="264"/>
      <c r="F34" s="301">
        <f ca="1">IF('数据-取费表'!B24=0,1,IF(B1="",'数据-取费表'!N16,INDIRECT("'数据-取费表'!n"&amp;$G$1)))</f>
        <v>0.6</v>
      </c>
      <c r="G34" s="263" t="s">
        <v>2396</v>
      </c>
    </row>
    <row r="35" spans="1:7" ht="13.5" customHeight="1">
      <c r="A35" s="953" t="s">
        <v>796</v>
      </c>
      <c r="B35" s="259" t="s">
        <v>2397</v>
      </c>
      <c r="C35" s="264">
        <f ca="1">ROUND(C34*F35,0)</f>
        <v>259</v>
      </c>
      <c r="D35" s="264"/>
      <c r="E35" s="264"/>
      <c r="F35" s="303">
        <f>'数据-取费表'!B33</f>
        <v>0.03</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226</v>
      </c>
      <c r="D36" s="264"/>
      <c r="E36" s="264"/>
      <c r="F36" s="303">
        <f>'数据-取费表'!B34</f>
        <v>0.03</v>
      </c>
      <c r="G36" s="304" t="s">
        <v>2400</v>
      </c>
    </row>
    <row r="37" spans="1:7" s="302" customFormat="1" ht="13.5" customHeight="1">
      <c r="A37" s="953" t="s">
        <v>798</v>
      </c>
      <c r="B37" s="259" t="s">
        <v>2401</v>
      </c>
      <c r="C37" s="293">
        <f ca="1">ROUND(E37*D37*F34/10000,0)</f>
        <v>588</v>
      </c>
      <c r="D37" s="261">
        <f ca="1">D19</f>
        <v>65305.219999999972</v>
      </c>
      <c r="E37" s="293">
        <f>'数据-取费表'!B35</f>
        <v>150</v>
      </c>
      <c r="F37" s="303"/>
      <c r="G37" s="305" t="s">
        <v>2402</v>
      </c>
    </row>
    <row r="38" spans="1:7" ht="13.5" customHeight="1">
      <c r="A38" s="953" t="s">
        <v>799</v>
      </c>
      <c r="B38" s="259" t="s">
        <v>2403</v>
      </c>
      <c r="C38" s="264">
        <f ca="1">ROUND(C34*F38,0)</f>
        <v>129</v>
      </c>
      <c r="D38" s="264"/>
      <c r="E38" s="264"/>
      <c r="F38" s="303">
        <f>'数据-取费表'!B36</f>
        <v>1.4999999999999999E-2</v>
      </c>
      <c r="G38" s="263" t="s">
        <v>2398</v>
      </c>
    </row>
    <row r="39" spans="1:7" s="258" customFormat="1" ht="13.5" customHeight="1">
      <c r="A39" s="299" t="s">
        <v>2404</v>
      </c>
      <c r="B39" s="254" t="s">
        <v>2405</v>
      </c>
      <c r="C39" s="276">
        <f ca="1">ROUND(C33*F20,0)</f>
        <v>196</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283</v>
      </c>
      <c r="D41" s="279">
        <f ca="1">C44</f>
        <v>5.9999999999999995E-4</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277</v>
      </c>
      <c r="D42" s="282"/>
      <c r="E42" s="282"/>
      <c r="F42" s="283"/>
      <c r="G42" s="3201" t="s">
        <v>2414</v>
      </c>
    </row>
    <row r="43" spans="1:7" ht="13.5" customHeight="1">
      <c r="A43" s="953" t="s">
        <v>792</v>
      </c>
      <c r="B43" s="259" t="s">
        <v>2415</v>
      </c>
      <c r="C43" s="282">
        <f ca="1">ROUND(IF('数据-取费表'!B22&lt;=1,C39*F22*'数据-取费表'!B21/2,C39*(POWER((1+F22),'数据-取费表'!B21/2)-1)),0)</f>
        <v>6</v>
      </c>
      <c r="D43" s="282"/>
      <c r="E43" s="282"/>
      <c r="F43" s="283"/>
      <c r="G43" s="3202"/>
    </row>
    <row r="44" spans="1:7" ht="13.5" customHeight="1">
      <c r="A44" s="953" t="s">
        <v>793</v>
      </c>
      <c r="B44" s="259" t="s">
        <v>2416</v>
      </c>
      <c r="C44" s="282">
        <f ca="1">ROUND(IF('数据-取费表'!B22&lt;=1,C40*F22*'数据-取费表'!B21/2,C40*(POWER((1+F22),'数据-取费表'!B21/2)-1)),4)</f>
        <v>5.9999999999999995E-4</v>
      </c>
      <c r="D44" s="282"/>
      <c r="E44" s="282"/>
      <c r="F44" s="283"/>
      <c r="G44" s="3203"/>
    </row>
    <row r="45" spans="1:7" s="258" customFormat="1" ht="13.5" customHeight="1">
      <c r="A45" s="299" t="s">
        <v>2417</v>
      </c>
      <c r="B45" s="288" t="s">
        <v>2383</v>
      </c>
      <c r="C45" s="289">
        <f ca="1">C46</f>
        <v>1002</v>
      </c>
      <c r="D45" s="279">
        <f ca="1">C47</f>
        <v>2E-3</v>
      </c>
      <c r="E45" s="280" t="s">
        <v>2409</v>
      </c>
      <c r="F45" s="290"/>
      <c r="G45" s="291" t="s">
        <v>2418</v>
      </c>
    </row>
    <row r="46" spans="1:7" s="258" customFormat="1" ht="13.5" customHeight="1">
      <c r="A46" s="953" t="s">
        <v>791</v>
      </c>
      <c r="B46" s="292" t="s">
        <v>2419</v>
      </c>
      <c r="C46" s="293">
        <f ca="1">ROUND((C33+C39)*F27,0)</f>
        <v>1002</v>
      </c>
      <c r="D46" s="307"/>
      <c r="E46" s="280"/>
      <c r="F46" s="290"/>
      <c r="G46" s="291"/>
    </row>
    <row r="47" spans="1:7" s="258" customFormat="1" ht="13.5" customHeight="1">
      <c r="A47" s="953" t="s">
        <v>792</v>
      </c>
      <c r="B47" s="292" t="s">
        <v>2420</v>
      </c>
      <c r="C47" s="282">
        <f ca="1">ROUND(C40*F27,4)</f>
        <v>2E-3</v>
      </c>
      <c r="D47" s="307"/>
      <c r="E47" s="280"/>
      <c r="F47" s="290"/>
      <c r="G47" s="291"/>
    </row>
    <row r="48" spans="1:7" s="258" customFormat="1" ht="13.5" customHeight="1">
      <c r="A48" s="299" t="s">
        <v>2382</v>
      </c>
      <c r="B48" s="254" t="s">
        <v>2421</v>
      </c>
      <c r="C48" s="1730">
        <f>ROUND(F30/(1+'数据-取费表'!C42),4)</f>
        <v>5.4300000000000001E-2</v>
      </c>
      <c r="D48" s="280" t="s">
        <v>2409</v>
      </c>
      <c r="E48" s="276"/>
      <c r="F48" s="281"/>
      <c r="G48" s="278" t="s">
        <v>2422</v>
      </c>
    </row>
    <row r="49" spans="1:7" ht="16.5" customHeight="1">
      <c r="A49" s="299" t="s">
        <v>2388</v>
      </c>
      <c r="B49" s="254" t="s">
        <v>2423</v>
      </c>
      <c r="C49" s="276">
        <f ca="1">ROUND((C33+C39+C41+C45)/(1-C40-D41-D45-C48),0)</f>
        <v>12246</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12246</v>
      </c>
      <c r="D51" s="276"/>
      <c r="E51" s="276"/>
      <c r="F51" s="308"/>
      <c r="G51" s="278" t="s">
        <v>2430</v>
      </c>
    </row>
    <row r="52" spans="1:7" s="252" customFormat="1" ht="16.5" thickBot="1">
      <c r="A52" s="309" t="s">
        <v>2431</v>
      </c>
      <c r="B52" s="310"/>
      <c r="C52" s="311">
        <f ca="1">C31+C51</f>
        <v>49238</v>
      </c>
      <c r="D52" s="310"/>
      <c r="E52" s="310"/>
      <c r="F52" s="310"/>
      <c r="G52" s="312"/>
    </row>
    <row r="55" spans="1:7" ht="15">
      <c r="B55" s="314" t="s">
        <v>2432</v>
      </c>
      <c r="C55" s="315"/>
    </row>
    <row r="56" spans="1:7">
      <c r="B56" s="317" t="s">
        <v>1513</v>
      </c>
      <c r="C56" s="319">
        <f ca="1">1-C57</f>
        <v>0.751</v>
      </c>
    </row>
    <row r="57" spans="1:7">
      <c r="B57" s="317" t="s">
        <v>1514</v>
      </c>
      <c r="C57" s="318">
        <f ca="1">ROUND(C51/C52,3)</f>
        <v>0.249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4" t="s">
        <v>2433</v>
      </c>
      <c r="D1" s="242"/>
      <c r="E1" s="242"/>
      <c r="F1" s="242"/>
      <c r="G1" s="1381">
        <f>MATCH(B1,'数据-取费表'!A6:A16,0)+5</f>
        <v>8</v>
      </c>
      <c r="H1" s="1284" t="str">
        <f>IF(ISERROR(FIND("住宅",B1)),"非住宅","住宅")</f>
        <v>非住宅</v>
      </c>
    </row>
    <row r="2" spans="1:8" s="244" customFormat="1" ht="18" customHeight="1">
      <c r="A2" s="245" t="s">
        <v>2332</v>
      </c>
      <c r="B2" s="246">
        <f ca="1">ROUND(IF(D2="——",C52/10000,C52/10000-E2),0)</f>
        <v>22924</v>
      </c>
      <c r="C2" s="243" t="s">
        <v>2333</v>
      </c>
      <c r="D2" s="2548" t="s">
        <v>70</v>
      </c>
      <c r="E2" s="1442"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3510</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6530522</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6530522</v>
      </c>
      <c r="D8" s="266"/>
      <c r="E8" s="264"/>
      <c r="F8" s="265"/>
      <c r="G8" s="2551"/>
    </row>
    <row r="9" spans="1:8" s="258" customFormat="1" ht="13.5" customHeight="1">
      <c r="A9" s="952" t="s">
        <v>800</v>
      </c>
      <c r="B9" s="268" t="s">
        <v>2348</v>
      </c>
      <c r="C9" s="269">
        <f ca="1">ROUND(D9*E9,0)</f>
        <v>5697189</v>
      </c>
      <c r="D9" s="1034">
        <f ca="1">IF(B1="",'数据-汇总表'!E5,IF(INDIRECT("'数据-取费表'!c"&amp;$G$1)="住宅",INDIRECT("'数据-取费表'!k"&amp;$G$1),0))</f>
        <v>56971.88999999997</v>
      </c>
      <c r="E9" s="269">
        <f>'数据-取费表'!B27</f>
        <v>100</v>
      </c>
      <c r="F9" s="265"/>
      <c r="G9" s="270"/>
    </row>
    <row r="10" spans="1:8" s="258" customFormat="1" ht="13.5" customHeight="1">
      <c r="A10" s="952" t="s">
        <v>801</v>
      </c>
      <c r="B10" s="268" t="s">
        <v>2350</v>
      </c>
      <c r="C10" s="269">
        <f ca="1">ROUND(D10*E10,0)</f>
        <v>833333</v>
      </c>
      <c r="D10" s="1034">
        <f ca="1">IF(B1="",'数据-汇总表'!E6,IF(INDIRECT("'数据-取费表'!c"&amp;$G$1)="住宅",INDIRECT("'数据-取费表'!s"&amp;$G$1),INDIRECT("'数据-取费表'!k"&amp;$G$1)+INDIRECT("'数据-取费表'!s"&amp;$G$1)))</f>
        <v>8333.3300000000017</v>
      </c>
      <c r="E10" s="269">
        <f>'数据-取费表'!B28</f>
        <v>100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9795783</v>
      </c>
      <c r="D19" s="1038">
        <f ca="1">D9+D10</f>
        <v>65305.219999999972</v>
      </c>
      <c r="E19" s="255">
        <f>'数据-取费表'!B31</f>
        <v>150</v>
      </c>
      <c r="F19" s="275"/>
      <c r="G19" s="2551"/>
    </row>
    <row r="20" spans="1:7" s="258" customFormat="1" ht="13.5" customHeight="1">
      <c r="A20" s="299" t="s">
        <v>2444</v>
      </c>
      <c r="B20" s="254" t="s">
        <v>2445</v>
      </c>
      <c r="C20" s="276">
        <f ca="1">ROUND((C5+C19)*F20,0)</f>
        <v>326526</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1603345</v>
      </c>
      <c r="D22" s="279">
        <f ca="1">C26</f>
        <v>1E-3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635134</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952701</v>
      </c>
      <c r="D24" s="282"/>
      <c r="E24" s="282"/>
      <c r="F24" s="283"/>
      <c r="G24" s="284" t="s">
        <v>2456</v>
      </c>
    </row>
    <row r="25" spans="1:7" s="258" customFormat="1" ht="24">
      <c r="A25" s="953" t="s">
        <v>2346</v>
      </c>
      <c r="B25" s="259" t="s">
        <v>2457</v>
      </c>
      <c r="C25" s="1383">
        <f ca="1">ROUND(IF('数据-取费表'!B22&lt;=1,C20*F22*'数据-取费表'!B22/2,C20*(POWER((1+F22),'数据-取费表'!B22/2)-1)),0)</f>
        <v>15510</v>
      </c>
      <c r="D25" s="282"/>
      <c r="E25" s="285"/>
      <c r="F25" s="283"/>
      <c r="G25" s="286" t="s">
        <v>2458</v>
      </c>
    </row>
    <row r="26" spans="1:7" s="258" customFormat="1">
      <c r="A26" s="953"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1665283</v>
      </c>
      <c r="D27" s="279">
        <f ca="1">C29</f>
        <v>2E-3</v>
      </c>
      <c r="E27" s="280" t="s">
        <v>2384</v>
      </c>
      <c r="F27" s="290">
        <f ca="1">IF(B1="",'数据-取费表'!Q16,INDIRECT("'数据-取费表'!q"&amp;$G$1))</f>
        <v>0.1</v>
      </c>
      <c r="G27" s="291" t="s">
        <v>2385</v>
      </c>
    </row>
    <row r="28" spans="1:7" s="258" customFormat="1" ht="13.5" customHeight="1">
      <c r="A28" s="953" t="s">
        <v>791</v>
      </c>
      <c r="B28" s="292" t="s">
        <v>2386</v>
      </c>
      <c r="C28" s="293">
        <f ca="1">ROUND((C5+C19+C20)*F27,0)</f>
        <v>1665283</v>
      </c>
      <c r="D28" s="279"/>
      <c r="E28" s="280"/>
      <c r="F28" s="290"/>
      <c r="G28" s="291"/>
    </row>
    <row r="29" spans="1:7" s="258" customFormat="1" ht="13.5" customHeight="1">
      <c r="A29" s="953" t="s">
        <v>792</v>
      </c>
      <c r="B29" s="292" t="s">
        <v>2387</v>
      </c>
      <c r="C29" s="282">
        <f ca="1">ROUND(C21*F27,4)</f>
        <v>2E-3</v>
      </c>
      <c r="D29" s="279"/>
      <c r="E29" s="280"/>
      <c r="F29" s="290"/>
      <c r="G29" s="291"/>
    </row>
    <row r="30" spans="1:7" s="258" customFormat="1" ht="13.5" customHeight="1">
      <c r="A30" s="299" t="s">
        <v>2388</v>
      </c>
      <c r="B30" s="254" t="s">
        <v>2389</v>
      </c>
      <c r="C30" s="279">
        <f>ROUND(F30/(1+'数据-取费表'!C42),4)</f>
        <v>5.4300000000000001E-2</v>
      </c>
      <c r="D30" s="280" t="s">
        <v>2384</v>
      </c>
      <c r="E30" s="285"/>
      <c r="F30" s="281">
        <f>'数据-取费表'!B41</f>
        <v>5.7000000000000002E-2</v>
      </c>
      <c r="G30" s="278" t="s">
        <v>2390</v>
      </c>
    </row>
    <row r="31" spans="1:7" ht="16.5" customHeight="1">
      <c r="A31" s="253">
        <v>1</v>
      </c>
      <c r="B31" s="254" t="s">
        <v>2391</v>
      </c>
      <c r="C31" s="255">
        <f ca="1">ROUND((C5+C19+C20+C22+C27)/(1-C21-D22-D27-C30),0)</f>
        <v>21590397</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163692629</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143671484</v>
      </c>
      <c r="D34" s="261"/>
      <c r="E34" s="264"/>
      <c r="F34" s="301"/>
      <c r="G34" s="263"/>
    </row>
    <row r="35" spans="1:7" ht="13.5" customHeight="1">
      <c r="A35" s="953" t="s">
        <v>796</v>
      </c>
      <c r="B35" s="259" t="s">
        <v>2397</v>
      </c>
      <c r="C35" s="264">
        <f ca="1">ROUND(C34*F35,0)</f>
        <v>4310145</v>
      </c>
      <c r="D35" s="264"/>
      <c r="E35" s="264"/>
      <c r="F35" s="303">
        <f>'数据-取费表'!B33</f>
        <v>0.03</v>
      </c>
      <c r="G35" s="263" t="s">
        <v>2398</v>
      </c>
    </row>
    <row r="36" spans="1:7" ht="24">
      <c r="A36" s="953" t="s">
        <v>797</v>
      </c>
      <c r="B36" s="259" t="s">
        <v>2399</v>
      </c>
      <c r="C36" s="264">
        <f ca="1">ROUND(IF(B1="",SUM('数据-取费表'!AP6:AP13)*F36,IF(INDIRECT("'数据-取费表'!c"&amp;$G$1)="住宅",INDIRECT("'数据-取费表'!k"&amp;$G$1)*INDIRECT("'数据-取费表'!l"&amp;$G$1)*F36,0)),0)</f>
        <v>3760145</v>
      </c>
      <c r="D36" s="264"/>
      <c r="E36" s="264"/>
      <c r="F36" s="303">
        <f>'数据-取费表'!B34</f>
        <v>0.03</v>
      </c>
      <c r="G36" s="304" t="s">
        <v>2400</v>
      </c>
    </row>
    <row r="37" spans="1:7" s="302" customFormat="1" ht="13.5" customHeight="1">
      <c r="A37" s="953" t="s">
        <v>798</v>
      </c>
      <c r="B37" s="259" t="s">
        <v>2401</v>
      </c>
      <c r="C37" s="293">
        <f ca="1">ROUND(E37*D37,0)</f>
        <v>9795783</v>
      </c>
      <c r="D37" s="261">
        <f ca="1">D19</f>
        <v>65305.219999999972</v>
      </c>
      <c r="E37" s="293">
        <f>'数据-取费表'!B35</f>
        <v>150</v>
      </c>
      <c r="F37" s="303"/>
      <c r="G37" s="305"/>
    </row>
    <row r="38" spans="1:7" ht="13.5" customHeight="1">
      <c r="A38" s="953" t="s">
        <v>799</v>
      </c>
      <c r="B38" s="259" t="s">
        <v>2403</v>
      </c>
      <c r="C38" s="264">
        <f ca="1">ROUND(C34*F38,0)</f>
        <v>2155072</v>
      </c>
      <c r="D38" s="264"/>
      <c r="E38" s="264"/>
      <c r="F38" s="303">
        <f>'数据-取费表'!B36</f>
        <v>1.4999999999999999E-2</v>
      </c>
      <c r="G38" s="263" t="s">
        <v>2398</v>
      </c>
    </row>
    <row r="39" spans="1:7" s="258" customFormat="1" ht="13.5" customHeight="1">
      <c r="A39" s="299" t="s">
        <v>2404</v>
      </c>
      <c r="B39" s="254" t="s">
        <v>2405</v>
      </c>
      <c r="C39" s="276">
        <f ca="1">ROUND(C33*F20,0)</f>
        <v>3273853</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7930908</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7775400</v>
      </c>
      <c r="D42" s="282"/>
      <c r="E42" s="282"/>
      <c r="F42" s="283"/>
      <c r="G42" s="3201" t="s">
        <v>2461</v>
      </c>
    </row>
    <row r="43" spans="1:7" ht="13.5" customHeight="1">
      <c r="A43" s="953" t="s">
        <v>792</v>
      </c>
      <c r="B43" s="259" t="s">
        <v>2415</v>
      </c>
      <c r="C43" s="282">
        <f ca="1">ROUND(IF('数据-取费表'!B22&lt;=1,C39*F22*'数据-取费表'!B20/2,C39*(POWER((1+F22),'数据-取费表'!B20/2)-1)),0)</f>
        <v>155508</v>
      </c>
      <c r="D43" s="282"/>
      <c r="E43" s="282"/>
      <c r="F43" s="283"/>
      <c r="G43" s="3202"/>
    </row>
    <row r="44" spans="1:7" ht="13.5" customHeight="1">
      <c r="A44" s="953" t="s">
        <v>793</v>
      </c>
      <c r="B44" s="259" t="s">
        <v>2416</v>
      </c>
      <c r="C44" s="282">
        <f ca="1">ROUND(IF('数据-取费表'!B22&lt;=1,C40*F22*'数据-取费表'!B20/2,C40*(POWER((1+F22),'数据-取费表'!B20/2)-1)),4)</f>
        <v>1E-3</v>
      </c>
      <c r="D44" s="282"/>
      <c r="E44" s="282"/>
      <c r="F44" s="283"/>
      <c r="G44" s="3203"/>
    </row>
    <row r="45" spans="1:7" s="258" customFormat="1" ht="13.5" customHeight="1">
      <c r="A45" s="299" t="s">
        <v>2417</v>
      </c>
      <c r="B45" s="288" t="s">
        <v>2383</v>
      </c>
      <c r="C45" s="289">
        <f ca="1">C46</f>
        <v>16696648</v>
      </c>
      <c r="D45" s="279">
        <f ca="1">C47</f>
        <v>2E-3</v>
      </c>
      <c r="E45" s="280" t="s">
        <v>2409</v>
      </c>
      <c r="F45" s="290"/>
      <c r="G45" s="291" t="s">
        <v>2418</v>
      </c>
    </row>
    <row r="46" spans="1:7" s="258" customFormat="1" ht="13.5" customHeight="1">
      <c r="A46" s="953" t="s">
        <v>791</v>
      </c>
      <c r="B46" s="292" t="s">
        <v>2419</v>
      </c>
      <c r="C46" s="293">
        <f ca="1">ROUND((C33+C39)*F27,0)</f>
        <v>16696648</v>
      </c>
      <c r="D46" s="307"/>
      <c r="E46" s="280"/>
      <c r="F46" s="290"/>
      <c r="G46" s="291"/>
    </row>
    <row r="47" spans="1:7" s="258" customFormat="1" ht="13.5" customHeight="1">
      <c r="A47" s="953" t="s">
        <v>792</v>
      </c>
      <c r="B47" s="292" t="s">
        <v>2420</v>
      </c>
      <c r="C47" s="282">
        <f ca="1">ROUND(C40*F27,4)</f>
        <v>2E-3</v>
      </c>
      <c r="D47" s="307"/>
      <c r="E47" s="280"/>
      <c r="F47" s="290"/>
      <c r="G47" s="291"/>
    </row>
    <row r="48" spans="1:7" s="258" customFormat="1" ht="13.5" customHeight="1">
      <c r="A48" s="299" t="s">
        <v>2382</v>
      </c>
      <c r="B48" s="254" t="s">
        <v>2421</v>
      </c>
      <c r="C48" s="306">
        <f>ROUND(F30/(1+'数据-取费表'!C42),4)</f>
        <v>5.4300000000000001E-2</v>
      </c>
      <c r="D48" s="280" t="s">
        <v>2409</v>
      </c>
      <c r="E48" s="276"/>
      <c r="F48" s="281"/>
      <c r="G48" s="278" t="s">
        <v>2422</v>
      </c>
    </row>
    <row r="49" spans="1:7" ht="16.5" customHeight="1">
      <c r="A49" s="299" t="s">
        <v>2388</v>
      </c>
      <c r="B49" s="254" t="s">
        <v>2462</v>
      </c>
      <c r="C49" s="276">
        <f ca="1">ROUND((C33+C39+C41+C45)/(1-C40-D41-D45-C48),0)</f>
        <v>207644996</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207644996</v>
      </c>
      <c r="D51" s="276"/>
      <c r="E51" s="276"/>
      <c r="F51" s="308"/>
      <c r="G51" s="278" t="s">
        <v>2430</v>
      </c>
    </row>
    <row r="52" spans="1:7" s="252" customFormat="1" ht="16.5" thickBot="1">
      <c r="A52" s="309" t="s">
        <v>2431</v>
      </c>
      <c r="B52" s="310"/>
      <c r="C52" s="311">
        <f ca="1">C31+C51</f>
        <v>229235393</v>
      </c>
      <c r="D52" s="310"/>
      <c r="E52" s="310"/>
      <c r="F52" s="310"/>
      <c r="G52" s="312"/>
    </row>
    <row r="55" spans="1:7" ht="15">
      <c r="B55" s="314" t="s">
        <v>2432</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3"/>
      <c r="C1" s="1584"/>
      <c r="D1" s="1582"/>
      <c r="E1" s="320"/>
      <c r="F1" s="320"/>
      <c r="G1" s="1583"/>
      <c r="H1" s="320"/>
      <c r="I1" s="320"/>
      <c r="J1" s="320"/>
      <c r="K1" s="320">
        <f>MATCH(C1,'数据-取费表'!A6:A16,0)+5</f>
        <v>8</v>
      </c>
    </row>
    <row r="2" spans="1:33" ht="18" customHeight="1">
      <c r="A2" s="245" t="s">
        <v>2332</v>
      </c>
      <c r="B2" s="248">
        <f ca="1">C32</f>
        <v>50336</v>
      </c>
      <c r="C2" s="320" t="s">
        <v>2465</v>
      </c>
      <c r="D2" s="320"/>
      <c r="E2" s="320"/>
      <c r="F2" s="320"/>
      <c r="G2" s="320"/>
      <c r="H2" s="320"/>
      <c r="I2" s="320"/>
      <c r="J2" s="320"/>
      <c r="K2" s="320"/>
    </row>
    <row r="3" spans="1:33" ht="18" customHeight="1" thickBot="1">
      <c r="A3" s="247" t="s">
        <v>2334</v>
      </c>
      <c r="B3" s="248">
        <f ca="1">ROUND(B2*10000/IF(C1="",'数据-汇总表'!E3,INDIRECT("'数据-取费表'!K"&amp;$K$1)),0)</f>
        <v>7708</v>
      </c>
      <c r="C3" s="320" t="s">
        <v>2466</v>
      </c>
      <c r="D3" s="320"/>
      <c r="E3" s="320"/>
      <c r="F3" s="320"/>
      <c r="G3" s="320"/>
      <c r="H3" s="320"/>
      <c r="I3" s="320"/>
      <c r="J3" s="320"/>
      <c r="K3" s="320"/>
    </row>
    <row r="4" spans="1:33" s="958" customFormat="1" ht="16.5" customHeight="1">
      <c r="A4" s="955" t="s">
        <v>2467</v>
      </c>
      <c r="B4" s="956"/>
      <c r="C4" s="998">
        <f>SUM(C8:K8)</f>
        <v>68366</v>
      </c>
      <c r="D4" s="956"/>
      <c r="E4" s="956"/>
      <c r="F4" s="956"/>
      <c r="G4" s="956"/>
      <c r="H4" s="956"/>
      <c r="I4" s="956"/>
      <c r="J4" s="956"/>
      <c r="K4" s="957"/>
    </row>
    <row r="5" spans="1:33" s="962" customFormat="1" ht="15">
      <c r="A5" s="959" t="s">
        <v>2468</v>
      </c>
      <c r="B5" s="960" t="s">
        <v>2469</v>
      </c>
      <c r="C5" s="2555" t="s">
        <v>3121</v>
      </c>
      <c r="D5" s="2555" t="s">
        <v>3123</v>
      </c>
      <c r="E5" s="2555" t="s">
        <v>2470</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2471</v>
      </c>
      <c r="C6" s="964">
        <v>12000</v>
      </c>
      <c r="D6" s="964">
        <v>12000</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40" t="s">
        <v>2473</v>
      </c>
      <c r="C7" s="321">
        <f>SUMIF('数据-汇总表'!$C19:$C33,假设开发法!C5,'数据-汇总表'!$E19:$E33)</f>
        <v>30685.879999999961</v>
      </c>
      <c r="D7" s="321">
        <f>SUMIF('数据-汇总表'!$C19:$C33,假设开发法!D5,'数据-汇总表'!$E19:$E33)</f>
        <v>26286.010000000013</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2474</v>
      </c>
      <c r="B8" s="177" t="s">
        <v>2475</v>
      </c>
      <c r="C8" s="999">
        <f>ROUND(C6*C7/10000,0)</f>
        <v>36823</v>
      </c>
      <c r="D8" s="999">
        <f>ROUND(D6*D7/10000,0)</f>
        <v>31543</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1334</v>
      </c>
      <c r="B11" s="974" t="s">
        <v>2483</v>
      </c>
      <c r="C11" s="323">
        <f ca="1">IF(C1="",'数据-取费表'!P16,INDIRECT("'数据-取费表'!p"&amp;$K$1)+INDIRECT("'数据-取费表'!ar"&amp;$K$1))</f>
        <v>5746</v>
      </c>
      <c r="D11" s="975"/>
      <c r="E11" s="375"/>
      <c r="F11" s="976">
        <f ca="1">1-IF('数据-取费表'!B24=0,1,IF(C1="",'数据-取费表'!N16,INDIRECT("'数据-取费表'!n"&amp;$K$1)))</f>
        <v>0.4</v>
      </c>
      <c r="G11" s="8"/>
      <c r="H11" s="970"/>
      <c r="I11" s="970"/>
      <c r="J11" s="970"/>
      <c r="K11" s="971"/>
    </row>
    <row r="12" spans="1:33" s="977" customFormat="1" ht="13.5" customHeight="1">
      <c r="A12" s="973" t="s">
        <v>1335</v>
      </c>
      <c r="B12" s="974" t="s">
        <v>2484</v>
      </c>
      <c r="C12" s="24">
        <f ca="1">ROUND(C11*F12,0)</f>
        <v>172</v>
      </c>
      <c r="D12" s="975"/>
      <c r="E12" s="375"/>
      <c r="F12" s="978">
        <f>'数据-取费表'!B33</f>
        <v>0.03</v>
      </c>
      <c r="G12" s="8" t="s">
        <v>2485</v>
      </c>
      <c r="H12" s="970"/>
      <c r="I12" s="970"/>
      <c r="J12" s="970"/>
      <c r="K12" s="971"/>
    </row>
    <row r="13" spans="1:33" s="977" customFormat="1" ht="13.5" customHeight="1">
      <c r="A13" s="973" t="s">
        <v>1336</v>
      </c>
      <c r="B13" s="974" t="s">
        <v>2486</v>
      </c>
      <c r="C13" s="24">
        <f ca="1">ROUND(IF(C1="",SUMIF('数据-取费表'!C:C,"住宅",'数据-取费表'!P:P)*F13,IF(INDIRECT("'数据-取费表'!c"&amp;$K$1)="住宅",INDIRECT("'数据-取费表'!P"&amp;$K$1)*F13,0)),0)</f>
        <v>150</v>
      </c>
      <c r="D13" s="1035"/>
      <c r="E13" s="375"/>
      <c r="F13" s="978">
        <f>'数据-取费表'!B34</f>
        <v>0.03</v>
      </c>
      <c r="G13" s="8" t="s">
        <v>2487</v>
      </c>
      <c r="H13" s="970"/>
      <c r="I13" s="970"/>
      <c r="J13" s="970"/>
      <c r="K13" s="971"/>
    </row>
    <row r="14" spans="1:33" s="979" customFormat="1" ht="13.5" customHeight="1">
      <c r="A14" s="973" t="s">
        <v>1337</v>
      </c>
      <c r="B14" s="974" t="s">
        <v>2488</v>
      </c>
      <c r="C14" s="24">
        <f ca="1">ROUND(D14*E14*F11/10000,0)</f>
        <v>392</v>
      </c>
      <c r="D14" s="1035">
        <f ca="1">IF(C1="",'数据-汇总表'!E3,INDIRECT("'数据-取费表'!K"&amp;$K$1)+INDIRECT("'数据-取费表'!S"&amp;$K$1))</f>
        <v>65305.219999999972</v>
      </c>
      <c r="E14" s="24">
        <f>'数据-取费表'!B35</f>
        <v>150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2490</v>
      </c>
      <c r="C15" s="985">
        <f ca="1">ROUND(C11*F15,0)</f>
        <v>86</v>
      </c>
      <c r="D15" s="980"/>
      <c r="E15" s="985"/>
      <c r="F15" s="986">
        <f>'数据-取费表'!B36</f>
        <v>1.4999999999999999E-2</v>
      </c>
      <c r="G15" s="140"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6546</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65305.219999999972</v>
      </c>
      <c r="E17" s="24">
        <f>'数据-取费表'!B32</f>
        <v>0</v>
      </c>
      <c r="F17" s="980"/>
      <c r="G17" s="140"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2495</v>
      </c>
      <c r="C18" s="24">
        <f ca="1">C19+C20-IF(C1="",'数据-取费表'!B29,IF(G18="已全部缴纳",C19+C20,H18))</f>
        <v>653</v>
      </c>
      <c r="D18" s="1035"/>
      <c r="E18" s="24"/>
      <c r="F18" s="978"/>
      <c r="G18" s="2557"/>
      <c r="H18" s="1579"/>
      <c r="I18" s="2558" t="s">
        <v>2496</v>
      </c>
      <c r="J18" s="981"/>
      <c r="K18" s="982"/>
    </row>
    <row r="19" spans="1:33" s="977" customFormat="1" ht="13.5" customHeight="1">
      <c r="A19" s="973" t="s">
        <v>805</v>
      </c>
      <c r="B19" s="974" t="s">
        <v>2497</v>
      </c>
      <c r="C19" s="24">
        <f ca="1">ROUND(D19*E19/10000,0)</f>
        <v>570</v>
      </c>
      <c r="D19" s="1035">
        <f ca="1">IF(C1="",'数据-汇总表'!E5,IF(INDIRECT("'数据-取费表'!c"&amp;$K$1)="住宅",INDIRECT("'数据-取费表'!k"&amp;$K$1),0))</f>
        <v>56971.88999999997</v>
      </c>
      <c r="E19" s="24">
        <f>'数据-取费表'!B27</f>
        <v>100</v>
      </c>
      <c r="F19" s="978"/>
      <c r="G19" s="15"/>
      <c r="H19" s="1581"/>
      <c r="I19" s="983"/>
      <c r="J19" s="983"/>
      <c r="K19" s="984"/>
    </row>
    <row r="20" spans="1:33" s="977" customFormat="1" ht="13.5" customHeight="1">
      <c r="A20" s="973" t="s">
        <v>806</v>
      </c>
      <c r="B20" s="974" t="s">
        <v>2498</v>
      </c>
      <c r="C20" s="24">
        <f ca="1">ROUND(D20*E20/10000,0)</f>
        <v>83</v>
      </c>
      <c r="D20" s="1035">
        <f ca="1">IF(C1="",'数据-汇总表'!E6,IF(INDIRECT("'数据-取费表'!c"&amp;$K$1)="住宅",INDIRECT("'数据-取费表'!s"&amp;$K$1),INDIRECT("'数据-取费表'!k"&amp;$K$1)+INDIRECT("'数据-取费表'!s"&amp;$K$1)))</f>
        <v>8333.3300000000017</v>
      </c>
      <c r="E20" s="24">
        <f>'数据-取费表'!B28</f>
        <v>100</v>
      </c>
      <c r="F20" s="978"/>
      <c r="G20" s="15"/>
      <c r="H20" s="983"/>
      <c r="I20" s="983"/>
      <c r="J20" s="983"/>
      <c r="K20" s="984"/>
    </row>
    <row r="21" spans="1:33" s="977" customFormat="1" ht="13.5" customHeight="1">
      <c r="A21" s="963" t="s">
        <v>802</v>
      </c>
      <c r="B21" s="987" t="s">
        <v>2499</v>
      </c>
      <c r="C21" s="988">
        <f ca="1">C16+C17+C18</f>
        <v>7199</v>
      </c>
      <c r="D21" s="989"/>
      <c r="E21" s="325"/>
      <c r="F21" s="325"/>
      <c r="G21" s="140" t="s">
        <v>2500</v>
      </c>
      <c r="H21" s="981"/>
      <c r="I21" s="981"/>
      <c r="J21" s="981"/>
      <c r="K21" s="982"/>
    </row>
    <row r="22" spans="1:33" s="977" customFormat="1" ht="13.5" customHeight="1">
      <c r="A22" s="963" t="s">
        <v>2472</v>
      </c>
      <c r="B22" s="987" t="s">
        <v>2501</v>
      </c>
      <c r="C22" s="988">
        <f ca="1">ROUND(C21*F22,0)</f>
        <v>144</v>
      </c>
      <c r="D22" s="325"/>
      <c r="E22" s="325"/>
      <c r="F22" s="990">
        <f>'数据-取费表'!B37</f>
        <v>0.02</v>
      </c>
      <c r="G22" s="8" t="s">
        <v>2502</v>
      </c>
      <c r="H22" s="970"/>
      <c r="I22" s="970"/>
      <c r="J22" s="970"/>
      <c r="K22" s="971"/>
    </row>
    <row r="23" spans="1:33" s="977" customFormat="1" ht="13.5" customHeight="1">
      <c r="A23" s="963" t="s">
        <v>2474</v>
      </c>
      <c r="B23" s="987" t="s">
        <v>2503</v>
      </c>
      <c r="C23" s="988">
        <f ca="1">ROUND(C4*F23*F11,0)</f>
        <v>547</v>
      </c>
      <c r="D23" s="325"/>
      <c r="E23" s="325"/>
      <c r="F23" s="990">
        <f>'数据-取费表'!B38</f>
        <v>0.02</v>
      </c>
      <c r="G23" s="8" t="s">
        <v>2504</v>
      </c>
      <c r="H23" s="970"/>
      <c r="I23" s="970"/>
      <c r="J23" s="970"/>
      <c r="K23" s="971"/>
    </row>
    <row r="24" spans="1:33" s="977" customFormat="1" ht="13.5" customHeight="1">
      <c r="A24" s="963" t="s">
        <v>2505</v>
      </c>
      <c r="B24" s="987" t="s">
        <v>2506</v>
      </c>
      <c r="C24" s="324">
        <f>ROUND(F24/(1+'数据-取费表'!C42),4)</f>
        <v>2.9000000000000001E-2</v>
      </c>
      <c r="D24" s="325" t="s">
        <v>15</v>
      </c>
      <c r="E24" s="325"/>
      <c r="F24" s="990">
        <f>'数据-取费表'!B48+'数据-取费表'!B49</f>
        <v>3.0499999999999999E-2</v>
      </c>
      <c r="G24" s="8" t="s">
        <v>2507</v>
      </c>
      <c r="H24" s="992"/>
      <c r="I24" s="992"/>
      <c r="J24" s="992"/>
      <c r="K24" s="993"/>
    </row>
    <row r="25" spans="1:33" s="977" customFormat="1" ht="13.5" customHeight="1">
      <c r="A25" s="963" t="s">
        <v>2508</v>
      </c>
      <c r="B25" s="989" t="s">
        <v>2509</v>
      </c>
      <c r="C25" s="1358">
        <f ca="1">C27</f>
        <v>148</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3.8899999999999997E-2</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148</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2512</v>
      </c>
      <c r="B28" s="2560" t="s">
        <v>2513</v>
      </c>
      <c r="C28" s="331">
        <f ca="1">C30</f>
        <v>789</v>
      </c>
      <c r="D28" s="324">
        <f ca="1">C29</f>
        <v>4.1200000000000001E-2</v>
      </c>
      <c r="E28" s="326" t="s">
        <v>15</v>
      </c>
      <c r="F28" s="332">
        <f ca="1">IF(C1="",'数据-取费表'!Q16,INDIRECT("'数据-取费表'!q"&amp;$K$1))</f>
        <v>0.1</v>
      </c>
      <c r="G28" s="991"/>
      <c r="H28" s="992"/>
      <c r="I28" s="992"/>
      <c r="J28" s="992"/>
      <c r="K28" s="993"/>
    </row>
    <row r="29" spans="1:33" s="335" customFormat="1" ht="13.5" customHeight="1">
      <c r="A29" s="973" t="s">
        <v>803</v>
      </c>
      <c r="B29" s="996" t="s">
        <v>2514</v>
      </c>
      <c r="C29" s="328">
        <f ca="1">ROUND((1+C24)*F28*'数据-取费表'!B24/'数据-取费表'!B20,4)</f>
        <v>4.1200000000000001E-2</v>
      </c>
      <c r="D29" s="328"/>
      <c r="E29" s="329"/>
      <c r="F29" s="334"/>
      <c r="G29" s="140" t="s">
        <v>2515</v>
      </c>
      <c r="H29" s="981"/>
      <c r="I29" s="981"/>
      <c r="J29" s="981"/>
      <c r="K29" s="982"/>
    </row>
    <row r="30" spans="1:33" s="335" customFormat="1" ht="13.5" customHeight="1">
      <c r="A30" s="973" t="s">
        <v>804</v>
      </c>
      <c r="B30" s="996" t="s">
        <v>2516</v>
      </c>
      <c r="C30" s="336">
        <f ca="1">ROUND((C21+C22+C23)*F28,0)</f>
        <v>789</v>
      </c>
      <c r="D30" s="328"/>
      <c r="E30" s="329"/>
      <c r="F30" s="334"/>
      <c r="G30" s="140"/>
      <c r="H30" s="981"/>
      <c r="I30" s="981"/>
      <c r="J30" s="981"/>
      <c r="K30" s="982"/>
    </row>
    <row r="31" spans="1:33" s="977" customFormat="1" ht="13.5" customHeight="1" thickBot="1">
      <c r="A31" s="2561" t="s">
        <v>2517</v>
      </c>
      <c r="B31" s="1007" t="s">
        <v>2518</v>
      </c>
      <c r="C31" s="1008">
        <f>ROUND(C4*F31/(1+'数据-取费表'!C42),0)</f>
        <v>3711</v>
      </c>
      <c r="D31" s="1009"/>
      <c r="E31" s="1010"/>
      <c r="F31" s="1011">
        <f>'数据-取费表'!B41</f>
        <v>5.7000000000000002E-2</v>
      </c>
      <c r="G31" s="1012" t="s">
        <v>2519</v>
      </c>
      <c r="H31" s="1013"/>
      <c r="I31" s="1013"/>
      <c r="J31" s="1013"/>
      <c r="K31" s="1014"/>
    </row>
    <row r="32" spans="1:33" s="972" customFormat="1" ht="13.5" customHeight="1" thickBot="1">
      <c r="A32" s="1002" t="s">
        <v>2520</v>
      </c>
      <c r="B32" s="1003"/>
      <c r="C32" s="1004">
        <f ca="1">ROUND((C4-C21-C22-C23-C25-C28-C31)/(1+C24+D25+D28),0)</f>
        <v>50336</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0</v>
      </c>
      <c r="D5" s="1824" t="s">
        <v>1402</v>
      </c>
      <c r="E5" s="1295"/>
      <c r="F5" s="1296"/>
      <c r="G5" s="1853"/>
      <c r="H5" s="344">
        <v>1</v>
      </c>
      <c r="I5" s="345" t="s">
        <v>1401</v>
      </c>
      <c r="J5" s="1294">
        <f ca="1">J6+J10+J12</f>
        <v>0</v>
      </c>
      <c r="K5" s="1824" t="s">
        <v>1402</v>
      </c>
      <c r="L5" s="1295"/>
      <c r="M5" s="1296"/>
    </row>
    <row r="6" spans="1:37" ht="18" customHeight="1">
      <c r="A6" s="1293" t="s">
        <v>1035</v>
      </c>
      <c r="B6" s="3206" t="s">
        <v>1403</v>
      </c>
      <c r="C6" s="1298">
        <f ca="1">ROUND(F6*F8*F7*(1-F9)/10000,0)</f>
        <v>0</v>
      </c>
      <c r="D6" s="164" t="s">
        <v>3037</v>
      </c>
      <c r="E6" s="347" t="s">
        <v>1405</v>
      </c>
      <c r="F6" s="348">
        <f ca="1">INDIRECT("'数据-取费表'!u"&amp;$G$1)</f>
        <v>0</v>
      </c>
      <c r="G6" s="1853"/>
      <c r="H6" s="1293" t="s">
        <v>1035</v>
      </c>
      <c r="I6" s="3206" t="s">
        <v>1403</v>
      </c>
      <c r="J6" s="346">
        <f ca="1">ROUND(M6*M8*M7*(1-M9)/10000,0)</f>
        <v>0</v>
      </c>
      <c r="K6" s="164" t="s">
        <v>3036</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3046</v>
      </c>
      <c r="E10" s="358" t="s">
        <v>1410</v>
      </c>
      <c r="F10" s="1368"/>
      <c r="G10" s="1853"/>
      <c r="H10" s="1293" t="s">
        <v>1039</v>
      </c>
      <c r="I10" s="1825" t="s">
        <v>1409</v>
      </c>
      <c r="J10" s="346">
        <f ca="1">ROUND(IF(M10="押一",J6/12*M11,IF(M10="押二",J6/12*2*M11,IF(M10="押三",J6/12*3*M11,J11*M11))),0)</f>
        <v>0</v>
      </c>
      <c r="K10" s="1826" t="s">
        <v>3045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ROUND(F17*(F43+INDIRECT("'数据-取费表'!S"&amp;$G$1))/10000,0)</f>
        <v>0</v>
      </c>
      <c r="D17" s="347" t="s">
        <v>1427</v>
      </c>
      <c r="E17" s="347" t="s">
        <v>1428</v>
      </c>
      <c r="F17" s="26">
        <f>'数据-取费表'!B35</f>
        <v>150</v>
      </c>
      <c r="G17" s="1856"/>
      <c r="H17" s="1203"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5.7000000000000002E-2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5.4300000000000001E-2</v>
      </c>
      <c r="D28" s="369" t="s">
        <v>1476</v>
      </c>
      <c r="E28" s="347" t="s">
        <v>1422</v>
      </c>
      <c r="F28" s="367">
        <f>'数据-取费表'!B41</f>
        <v>5.7000000000000002E-2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v>
      </c>
      <c r="D32" s="1800" t="s">
        <v>1434</v>
      </c>
      <c r="E32" s="347" t="s">
        <v>1422</v>
      </c>
      <c r="F32" s="377">
        <f>'数据-取费表'!B41</f>
        <v>5.7000000000000002E-2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18</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50</v>
      </c>
      <c r="M47" s="1840" t="str">
        <f>IF(ISNUMBER(FIND("住宅",C1)),"住宅","非住宅")</f>
        <v>非住宅</v>
      </c>
      <c r="O47" s="1886" t="s">
        <v>1040</v>
      </c>
      <c r="P47" s="1887" t="s">
        <v>1528</v>
      </c>
      <c r="Q47" s="1888">
        <f ca="1">C40+J29</f>
        <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49.42</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3038</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1">
        <f ca="1">ROUND(IF(F53="押一",C49/12*F11,IF(F53="押二",C49/12*2*F11,IF(F53="押三",C49/12*3*F11,C54*F11))),0)</f>
        <v>0</v>
      </c>
      <c r="D53" s="1826" t="s">
        <v>3045</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04" t="s">
        <v>1548</v>
      </c>
      <c r="L53" s="3205"/>
      <c r="O53" s="1886" t="s">
        <v>1046</v>
      </c>
      <c r="P53" s="1887" t="s">
        <v>1549</v>
      </c>
      <c r="Q53" s="1888">
        <f ca="1">Q47+Q48</f>
        <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0</v>
      </c>
      <c r="D56" s="1916"/>
      <c r="E56" s="1917"/>
      <c r="F56" s="1909"/>
      <c r="I56" s="1918" t="s">
        <v>1554</v>
      </c>
      <c r="J56" s="1919"/>
      <c r="K56" s="1889" t="s">
        <v>1555</v>
      </c>
      <c r="L56" s="1892">
        <f ca="1">IF(L48&lt;J51,"——",L48-J53)</f>
        <v>49.42</v>
      </c>
      <c r="O56" s="1886" t="s">
        <v>1040</v>
      </c>
      <c r="P56" s="1887" t="s">
        <v>1528</v>
      </c>
      <c r="Q56" s="1888">
        <f ca="1">C40+J29</f>
        <v>0</v>
      </c>
      <c r="R56" s="1888" t="s">
        <v>1529</v>
      </c>
    </row>
    <row r="57" spans="1:18" s="1844" customFormat="1" ht="24.75" thickBot="1">
      <c r="A57" s="1920"/>
      <c r="B57" s="1171" t="s">
        <v>1478</v>
      </c>
      <c r="C57" s="282">
        <f ca="1">C29</f>
        <v>0</v>
      </c>
      <c r="D57" s="1921"/>
      <c r="E57" s="1922"/>
      <c r="F57" s="1923"/>
      <c r="I57" s="1924" t="s">
        <v>1556</v>
      </c>
      <c r="J57" s="1925" t="str">
        <f ca="1">IF(OR(M47="住宅",J51&lt;L48,J56="是"),"——",J51-L48)</f>
        <v>——</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79" t="s">
        <v>1424</v>
      </c>
      <c r="C58" s="361">
        <f ca="1">ROUND(C59+C64+C65+C66,0)</f>
        <v>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5.7000000000000002E-2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18</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0</v>
      </c>
      <c r="I65" s="1931" t="s">
        <v>1579</v>
      </c>
      <c r="J65" s="1932">
        <v>40</v>
      </c>
      <c r="K65" s="1932">
        <v>30</v>
      </c>
      <c r="L65" s="1932">
        <v>50</v>
      </c>
      <c r="M65" s="1934">
        <v>0.02</v>
      </c>
      <c r="O65" s="1886" t="s">
        <v>1040</v>
      </c>
      <c r="P65" s="1887" t="s">
        <v>1580</v>
      </c>
      <c r="Q65" s="1888">
        <f ca="1">C40+J29</f>
        <v>0</v>
      </c>
      <c r="R65" s="1888" t="s">
        <v>1529</v>
      </c>
    </row>
    <row r="66" spans="1:18" s="1844" customFormat="1" ht="16.5" thickBot="1">
      <c r="A66" s="1203" t="s">
        <v>1504</v>
      </c>
      <c r="B66" s="1171" t="s">
        <v>1439</v>
      </c>
      <c r="C66" s="24">
        <f ca="1">ROUND(C48*F66,1)</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f ca="1">ROUND(C67*(1-((1+F70)/(1+F68))^F69)/(F68-F70),0)</f>
        <v>0</v>
      </c>
      <c r="D68" s="1186" t="s">
        <v>1469</v>
      </c>
      <c r="E68" s="1171" t="s">
        <v>1470</v>
      </c>
      <c r="F68" s="357">
        <f ca="1">F40</f>
        <v>0.05</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c r="O70" s="1896" t="s">
        <v>1049</v>
      </c>
      <c r="P70" s="1936" t="s">
        <v>1585</v>
      </c>
      <c r="Q70" s="1888">
        <f ca="1">C13</f>
        <v>0</v>
      </c>
      <c r="R70" s="1888" t="s">
        <v>1529</v>
      </c>
    </row>
    <row r="71" spans="1:18" s="1844" customFormat="1" ht="13.5" thickBot="1">
      <c r="A71" s="1192" t="s">
        <v>1033</v>
      </c>
      <c r="B71" s="1193" t="s">
        <v>1487</v>
      </c>
      <c r="C71" s="382" t="e">
        <f ca="1">ROUND(C68*10000/F71,0)</f>
        <v>#DIV/0!</v>
      </c>
      <c r="D71" s="1194" t="s">
        <v>1488</v>
      </c>
      <c r="E71" s="1195" t="s">
        <v>1489</v>
      </c>
      <c r="F71" s="385">
        <f ca="1">F43</f>
        <v>0</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06" t="s">
        <v>1403</v>
      </c>
      <c r="C6" s="1298">
        <f ca="1">ROUND(F6*F8*F7*(1-F9),0)</f>
        <v>0</v>
      </c>
      <c r="D6" s="164" t="s">
        <v>3034</v>
      </c>
      <c r="E6" s="347" t="s">
        <v>1405</v>
      </c>
      <c r="F6" s="348">
        <f ca="1">INDIRECT("'数据-取费表'!u"&amp;$G$1)</f>
        <v>0</v>
      </c>
      <c r="G6" s="1853"/>
      <c r="H6" s="1293" t="s">
        <v>1035</v>
      </c>
      <c r="I6" s="3206" t="s">
        <v>1403</v>
      </c>
      <c r="J6" s="346">
        <f ca="1">ROUND(M6*M8*M7*(1-M9),0)</f>
        <v>0</v>
      </c>
      <c r="K6" s="1836" t="s">
        <v>3035</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c r="G10" s="1853"/>
      <c r="H10" s="1293" t="s">
        <v>1039</v>
      </c>
      <c r="I10" s="1825" t="s">
        <v>1409</v>
      </c>
      <c r="J10" s="346">
        <f ca="1">ROUND(IF(M10="押一",J6/12*M11,IF(M10="押二",J6/12*2*M11,IF(M10="押三",J6/12*3*M11,J11*M11))),0)</f>
        <v>0</v>
      </c>
      <c r="K10" s="1837" t="s">
        <v>3047</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150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5.7000000000000002E-2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5.4300000000000001E-2</v>
      </c>
      <c r="D28" s="369" t="s">
        <v>1476</v>
      </c>
      <c r="E28" s="347" t="s">
        <v>1422</v>
      </c>
      <c r="F28" s="367">
        <f>'数据-取费表'!B41</f>
        <v>5.7000000000000002E-2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5.7000000000000002E-2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18</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1604</v>
      </c>
      <c r="E45" s="1868"/>
      <c r="F45" s="1868"/>
      <c r="O45" s="1871" t="s">
        <v>1519</v>
      </c>
      <c r="P45" s="1841"/>
      <c r="Q45" s="1841"/>
      <c r="R45" s="1841"/>
    </row>
    <row r="46" spans="1:18" s="1844" customFormat="1" ht="13.5" thickBot="1">
      <c r="A46" s="1872" t="s">
        <v>1520</v>
      </c>
      <c r="C46" s="1873">
        <f ca="1">ROUND(C45/10000,0)</f>
        <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50</v>
      </c>
      <c r="M47" s="1840" t="str">
        <f>IF(ISNUMBER(FIND("住宅",C1)),"住宅","非住宅")</f>
        <v>非住宅</v>
      </c>
      <c r="O47" s="1886" t="s">
        <v>1040</v>
      </c>
      <c r="P47" s="1887" t="s">
        <v>1528</v>
      </c>
      <c r="Q47" s="1888">
        <f ca="1">C40+J29</f>
        <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49.42</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3048</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04" t="s">
        <v>1548</v>
      </c>
      <c r="L53" s="3205"/>
      <c r="O53" s="1886" t="s">
        <v>1046</v>
      </c>
      <c r="P53" s="1887" t="s">
        <v>1549</v>
      </c>
      <c r="Q53" s="1888">
        <f ca="1">Q47+Q48</f>
        <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49.42</v>
      </c>
      <c r="O56" s="1886" t="s">
        <v>1040</v>
      </c>
      <c r="P56" s="1887" t="s">
        <v>1528</v>
      </c>
      <c r="Q56" s="1888">
        <f ca="1">C40+J29</f>
        <v>0</v>
      </c>
      <c r="R56" s="1888" t="s">
        <v>1529</v>
      </c>
    </row>
    <row r="57" spans="1:18" s="1844" customFormat="1" ht="24.75" thickBot="1">
      <c r="A57" s="1920"/>
      <c r="B57" s="1171" t="s">
        <v>1478</v>
      </c>
      <c r="C57" s="282">
        <f ca="1">C29</f>
        <v>0</v>
      </c>
      <c r="D57" s="1921"/>
      <c r="E57" s="1922"/>
      <c r="F57" s="1923"/>
      <c r="I57" s="1924" t="s">
        <v>1556</v>
      </c>
      <c r="J57" s="1925" t="str">
        <f ca="1">IF(OR(M47="住宅",J51&lt;L48,J56="是"),"——",J51-L48)</f>
        <v>——</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5.7000000000000002E-2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18</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f ca="1">C40+J29</f>
        <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f ca="1">ROUND(C67*(1-((1+F70)/(1+F68))^F69)/(F68-F70),0)</f>
        <v>0</v>
      </c>
      <c r="D68" s="1186" t="s">
        <v>1469</v>
      </c>
      <c r="E68" s="1171" t="s">
        <v>1470</v>
      </c>
      <c r="F68" s="357">
        <f ca="1">F40</f>
        <v>0.05</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2529</v>
      </c>
      <c r="B1" s="2563"/>
      <c r="C1" s="2563"/>
      <c r="D1" s="2563"/>
      <c r="E1" s="2564"/>
    </row>
    <row r="2" spans="1:6" ht="15.75">
      <c r="A2" s="2565" t="s">
        <v>2332</v>
      </c>
      <c r="B2" s="2566">
        <f ca="1">SUMIF(B6:B13,"&lt;&gt;#ref!",B6:B13)</f>
        <v>0</v>
      </c>
      <c r="C2" s="2567" t="s">
        <v>2522</v>
      </c>
      <c r="D2" s="2568" t="s">
        <v>2523</v>
      </c>
      <c r="E2" s="2569">
        <f>SUM(E6:E13)</f>
        <v>0</v>
      </c>
    </row>
    <row r="3" spans="1:6" ht="15.75">
      <c r="A3" s="2565" t="s">
        <v>1395</v>
      </c>
      <c r="B3" s="2566" t="e">
        <f ca="1">ROUND(B2*10000/E2,0)</f>
        <v>#DIV/0!</v>
      </c>
      <c r="C3" s="2567" t="s">
        <v>2530</v>
      </c>
      <c r="D3" s="2570"/>
      <c r="E3" s="2571"/>
    </row>
    <row r="4" spans="1:6" ht="15.75">
      <c r="A4" s="2572"/>
      <c r="B4" s="2570"/>
      <c r="C4" s="2570"/>
      <c r="D4" s="2570"/>
      <c r="E4" s="2571"/>
    </row>
    <row r="5" spans="1:6" ht="15">
      <c r="A5" s="2573" t="s">
        <v>2524</v>
      </c>
      <c r="B5" s="3209" t="s">
        <v>2525</v>
      </c>
      <c r="C5" s="3209"/>
      <c r="D5" s="2574"/>
      <c r="E5" s="2575" t="s">
        <v>2526</v>
      </c>
      <c r="F5" s="2576" t="s">
        <v>2527</v>
      </c>
    </row>
    <row r="6" spans="1:6">
      <c r="A6" s="2577">
        <f>'数据-取费表'!AN6</f>
        <v>0</v>
      </c>
      <c r="B6" s="2576" t="e">
        <f ca="1">IF(F6="是",'数据-取费表'!AO6,0)</f>
        <v>#REF!</v>
      </c>
      <c r="C6" s="2567" t="s">
        <v>2522</v>
      </c>
      <c r="D6" s="2570"/>
      <c r="E6" s="2578">
        <f>IF(OR(A6=0,F6="否"),0,'数据-取费表'!K6+'数据-取费表'!S6)</f>
        <v>0</v>
      </c>
      <c r="F6" s="2579" t="s">
        <v>2528</v>
      </c>
    </row>
    <row r="7" spans="1:6">
      <c r="A7" s="2577">
        <f>'数据-取费表'!AN7</f>
        <v>0</v>
      </c>
      <c r="B7" s="2576" t="e">
        <f ca="1">IF(F7="是",'数据-取费表'!AO7,0)</f>
        <v>#REF!</v>
      </c>
      <c r="C7" s="2567" t="s">
        <v>2522</v>
      </c>
      <c r="D7" s="2570"/>
      <c r="E7" s="2578">
        <f>IF(OR(A7=0,F7="否"),0,'数据-取费表'!K7+'数据-取费表'!S7)</f>
        <v>0</v>
      </c>
      <c r="F7" s="2579" t="s">
        <v>2528</v>
      </c>
    </row>
    <row r="8" spans="1:6">
      <c r="A8" s="2577">
        <f>'数据-取费表'!AN8</f>
        <v>0</v>
      </c>
      <c r="B8" s="2576" t="e">
        <f ca="1">IF(F8="是",'数据-取费表'!AO8,0)</f>
        <v>#REF!</v>
      </c>
      <c r="C8" s="2567" t="s">
        <v>2522</v>
      </c>
      <c r="D8" s="2570"/>
      <c r="E8" s="2578">
        <f>IF(OR(A8=0,F8="否"),0,'数据-取费表'!K8+'数据-取费表'!S8)</f>
        <v>0</v>
      </c>
      <c r="F8" s="2579" t="s">
        <v>2528</v>
      </c>
    </row>
    <row r="9" spans="1:6">
      <c r="A9" s="2577">
        <f>'数据-取费表'!AN9</f>
        <v>0</v>
      </c>
      <c r="B9" s="2576" t="e">
        <f ca="1">IF(F9="是",'数据-取费表'!AO9,0)</f>
        <v>#REF!</v>
      </c>
      <c r="C9" s="2567" t="s">
        <v>2522</v>
      </c>
      <c r="D9" s="2570"/>
      <c r="E9" s="2578">
        <f>IF(OR(A9=0,F9="否"),0,'数据-取费表'!K9+'数据-取费表'!S9)</f>
        <v>0</v>
      </c>
      <c r="F9" s="2579" t="s">
        <v>2528</v>
      </c>
    </row>
    <row r="10" spans="1:6">
      <c r="A10" s="2577">
        <f>'数据-取费表'!AN10</f>
        <v>0</v>
      </c>
      <c r="B10" s="2576" t="e">
        <f ca="1">IF(F10="是",'数据-取费表'!AO10,0)</f>
        <v>#REF!</v>
      </c>
      <c r="C10" s="2567" t="s">
        <v>2522</v>
      </c>
      <c r="D10" s="2570"/>
      <c r="E10" s="2578">
        <f>IF(OR(A10=0,F10="否"),0,'数据-取费表'!K10+'数据-取费表'!S10)</f>
        <v>0</v>
      </c>
      <c r="F10" s="2579" t="s">
        <v>2528</v>
      </c>
    </row>
    <row r="11" spans="1:6">
      <c r="A11" s="2577">
        <f>'数据-取费表'!AN11</f>
        <v>0</v>
      </c>
      <c r="B11" s="2576" t="e">
        <f ca="1">IF(F11="是",'数据-取费表'!AO11,0)</f>
        <v>#REF!</v>
      </c>
      <c r="C11" s="2567" t="s">
        <v>2522</v>
      </c>
      <c r="D11" s="2570"/>
      <c r="E11" s="2578">
        <f>IF(OR(A11=0,F11="否"),0,'数据-取费表'!K11+'数据-取费表'!S11)</f>
        <v>0</v>
      </c>
      <c r="F11" s="2579" t="s">
        <v>2528</v>
      </c>
    </row>
    <row r="12" spans="1:6">
      <c r="A12" s="2577">
        <f>'数据-取费表'!AN12</f>
        <v>0</v>
      </c>
      <c r="B12" s="2576" t="e">
        <f ca="1">IF(F12="是",'数据-取费表'!AO12,0)</f>
        <v>#REF!</v>
      </c>
      <c r="C12" s="2567" t="s">
        <v>2522</v>
      </c>
      <c r="D12" s="2570"/>
      <c r="E12" s="2578">
        <f>IF(OR(A12=0,F12="否"),0,'数据-取费表'!K12+'数据-取费表'!S12)</f>
        <v>0</v>
      </c>
      <c r="F12" s="2579" t="s">
        <v>2528</v>
      </c>
    </row>
    <row r="13" spans="1:6" ht="15" thickBot="1">
      <c r="A13" s="2580">
        <f>'数据-取费表'!AN13</f>
        <v>0</v>
      </c>
      <c r="B13" s="2576" t="e">
        <f ca="1">IF(F13="是",'数据-取费表'!AO13,0)</f>
        <v>#REF!</v>
      </c>
      <c r="C13" s="2581" t="s">
        <v>2522</v>
      </c>
      <c r="D13" s="2582"/>
      <c r="E13" s="2578">
        <f>IF(OR(A13=0,F13="否"),0,'数据-取费表'!K13+'数据-取费表'!S13)</f>
        <v>0</v>
      </c>
      <c r="F13" s="2579"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19"/>
      <c r="C21" s="3219"/>
      <c r="D21" s="3219"/>
      <c r="E21" s="3219"/>
      <c r="F21" s="3219"/>
      <c r="G21" s="3219"/>
      <c r="H21" s="1767">
        <v>0.1</v>
      </c>
      <c r="I21" s="1312">
        <f>ROUND(I10*H21,0)</f>
        <v>0</v>
      </c>
    </row>
    <row r="22" spans="1:9" ht="14.25">
      <c r="A22" s="3220" t="s">
        <v>1110</v>
      </c>
      <c r="B22" s="3221"/>
      <c r="C22" s="3222"/>
      <c r="D22" s="1319" t="s">
        <v>1111</v>
      </c>
      <c r="E22" s="1319" t="s">
        <v>1112</v>
      </c>
      <c r="F22" s="1320" t="s">
        <v>1113</v>
      </c>
      <c r="G22" s="1320" t="s">
        <v>1114</v>
      </c>
      <c r="H22" s="1313" t="s">
        <v>1115</v>
      </c>
      <c r="I22" s="1304" t="s">
        <v>1116</v>
      </c>
    </row>
    <row r="23" spans="1:9" ht="14.25" thickBot="1">
      <c r="A23" s="3223"/>
      <c r="B23" s="3224"/>
      <c r="C23" s="3225"/>
      <c r="D23" s="1321"/>
      <c r="E23" s="1321"/>
      <c r="F23" s="1321"/>
      <c r="G23" s="1322"/>
      <c r="H23" s="1323"/>
      <c r="I23" s="1324">
        <f>ROUND(E23*D23*F23*(1-G23)/10000,0)</f>
        <v>0</v>
      </c>
    </row>
    <row r="26" spans="1:9">
      <c r="A26" s="1325" t="s">
        <v>1117</v>
      </c>
      <c r="B26" s="1325"/>
      <c r="C26" s="1325"/>
      <c r="D26" s="1325"/>
      <c r="E26" s="3213">
        <f>C27-C30-C31-C32</f>
        <v>0</v>
      </c>
      <c r="F26" s="3213"/>
      <c r="G26" s="3213"/>
      <c r="H26" s="1739" t="s">
        <v>1340</v>
      </c>
    </row>
    <row r="27" spans="1:9">
      <c r="A27" s="1326">
        <v>1</v>
      </c>
      <c r="B27" s="1327" t="s">
        <v>1118</v>
      </c>
      <c r="C27" s="1327">
        <f>C28+C29</f>
        <v>0</v>
      </c>
      <c r="D27" s="1327"/>
      <c r="E27" s="3214"/>
      <c r="F27" s="3214"/>
      <c r="G27" s="3214"/>
    </row>
    <row r="28" spans="1:9">
      <c r="A28" s="1328" t="s">
        <v>1119</v>
      </c>
      <c r="B28" s="1327" t="s">
        <v>1120</v>
      </c>
      <c r="C28" s="1327"/>
      <c r="D28" s="1327"/>
      <c r="E28" s="3214"/>
      <c r="F28" s="3214"/>
      <c r="G28" s="321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5"/>
      <c r="F32" s="3215"/>
      <c r="G32" s="3215"/>
    </row>
    <row r="33" spans="1:7" hidden="1">
      <c r="A33" s="3210" t="s">
        <v>1129</v>
      </c>
      <c r="B33" s="3211"/>
      <c r="C33" s="3211"/>
      <c r="D33" s="3212"/>
      <c r="E33" s="3213"/>
      <c r="F33" s="3213"/>
      <c r="G33" s="3213"/>
    </row>
    <row r="34" spans="1:7" hidden="1">
      <c r="A34" s="1330">
        <v>1</v>
      </c>
      <c r="B34" s="1327" t="s">
        <v>1130</v>
      </c>
      <c r="C34" s="1327"/>
      <c r="D34" s="1327"/>
      <c r="E34" s="3214"/>
      <c r="F34" s="3214"/>
      <c r="G34" s="3214"/>
    </row>
    <row r="35" spans="1:7" hidden="1">
      <c r="A35" s="1330">
        <v>2</v>
      </c>
      <c r="B35" s="1327" t="s">
        <v>1131</v>
      </c>
      <c r="C35" s="1327"/>
      <c r="D35" s="1327"/>
      <c r="E35" s="3214"/>
      <c r="F35" s="3214"/>
      <c r="G35" s="3214"/>
    </row>
    <row r="36" spans="1:7" hidden="1">
      <c r="A36" s="1330">
        <v>3</v>
      </c>
      <c r="B36" s="1327" t="s">
        <v>1132</v>
      </c>
      <c r="C36" s="1327"/>
      <c r="D36" s="1327"/>
      <c r="E36" s="3214"/>
      <c r="F36" s="3214"/>
      <c r="G36" s="3214"/>
    </row>
    <row r="37" spans="1:7" hidden="1">
      <c r="A37" s="1330">
        <v>4</v>
      </c>
      <c r="B37" s="1327" t="s">
        <v>1133</v>
      </c>
      <c r="C37" s="1327"/>
      <c r="D37" s="1327"/>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3" t="s">
        <v>2532</v>
      </c>
      <c r="C1" s="1636" t="s">
        <v>2533</v>
      </c>
      <c r="D1" s="1623"/>
      <c r="E1" s="2584"/>
      <c r="F1" s="2585" t="s">
        <v>2534</v>
      </c>
      <c r="G1" s="1633" t="s">
        <v>2535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2537</v>
      </c>
      <c r="D3" s="399">
        <f>IF(D1="",'数据-汇总表'!E3,SUMIF('数据-汇总表'!$C19:$C33,D1,'数据-汇总表'!$E19:$E33))</f>
        <v>65305.219999999972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2538</v>
      </c>
      <c r="B4" s="402"/>
      <c r="C4" s="3162" t="s">
        <v>2539</v>
      </c>
      <c r="D4" s="3175"/>
      <c r="E4" s="3176" t="s">
        <v>2540</v>
      </c>
      <c r="F4" s="3177"/>
      <c r="G4" s="3162" t="s">
        <v>2541</v>
      </c>
      <c r="H4" s="3175"/>
      <c r="I4" s="3162" t="s">
        <v>2542</v>
      </c>
      <c r="J4" s="3175"/>
      <c r="K4" s="2597" t="s">
        <v>2543</v>
      </c>
      <c r="L4" s="1132"/>
      <c r="M4" s="1133"/>
      <c r="N4" s="1133"/>
      <c r="O4" s="1133"/>
      <c r="P4" s="3178" t="s">
        <v>2544</v>
      </c>
      <c r="Q4" s="3179"/>
      <c r="R4" s="3184" t="s">
        <v>2540</v>
      </c>
      <c r="S4" s="3185"/>
      <c r="T4" s="3184" t="s">
        <v>2541</v>
      </c>
      <c r="U4" s="3185"/>
      <c r="V4" s="3171" t="s">
        <v>2542</v>
      </c>
      <c r="W4" s="3171"/>
      <c r="X4" s="1815"/>
      <c r="Y4" s="3184" t="s">
        <v>2544</v>
      </c>
      <c r="Z4" s="3185"/>
      <c r="AA4" s="3172" t="s">
        <v>2540</v>
      </c>
      <c r="AB4" s="3172" t="s">
        <v>2541</v>
      </c>
      <c r="AC4" s="3172" t="s">
        <v>2542</v>
      </c>
    </row>
    <row r="5" spans="1:29" ht="15">
      <c r="A5" s="404"/>
      <c r="B5" s="405"/>
      <c r="C5" s="3192" t="s">
        <v>2545</v>
      </c>
      <c r="D5" s="3193"/>
      <c r="E5" s="3199" t="s">
        <v>2546</v>
      </c>
      <c r="F5" s="3200"/>
      <c r="G5" s="3192" t="s">
        <v>2547</v>
      </c>
      <c r="H5" s="3193"/>
      <c r="I5" s="3192" t="s">
        <v>2548</v>
      </c>
      <c r="J5" s="3193"/>
      <c r="K5" s="2598"/>
      <c r="L5" s="1132"/>
      <c r="M5" s="1133"/>
      <c r="N5" s="1133"/>
      <c r="O5" s="1133"/>
      <c r="P5" s="3180"/>
      <c r="Q5" s="3181"/>
      <c r="R5" s="3186"/>
      <c r="S5" s="3187"/>
      <c r="T5" s="3186"/>
      <c r="U5" s="3187"/>
      <c r="V5" s="3171"/>
      <c r="W5" s="3171"/>
      <c r="X5" s="1815"/>
      <c r="Y5" s="3186"/>
      <c r="Z5" s="3187"/>
      <c r="AA5" s="3173"/>
      <c r="AB5" s="3173"/>
      <c r="AC5" s="3173"/>
    </row>
    <row r="6" spans="1:29" ht="15.75" thickBot="1">
      <c r="A6" s="406"/>
      <c r="B6" s="407"/>
      <c r="C6" s="3190" t="s">
        <v>2549</v>
      </c>
      <c r="D6" s="3191"/>
      <c r="E6" s="3197" t="s">
        <v>2549</v>
      </c>
      <c r="F6" s="3198"/>
      <c r="G6" s="3190" t="s">
        <v>2549</v>
      </c>
      <c r="H6" s="3191"/>
      <c r="I6" s="3190" t="s">
        <v>2549</v>
      </c>
      <c r="J6" s="3191"/>
      <c r="K6" s="2598" t="s">
        <v>2550</v>
      </c>
      <c r="L6" s="1132"/>
      <c r="M6" s="1133"/>
      <c r="N6" s="1133"/>
      <c r="O6" s="1133"/>
      <c r="P6" s="3182"/>
      <c r="Q6" s="3183"/>
      <c r="R6" s="3186"/>
      <c r="S6" s="3187"/>
      <c r="T6" s="3188"/>
      <c r="U6" s="3189"/>
      <c r="V6" s="3171"/>
      <c r="W6" s="3171"/>
      <c r="X6" s="1815"/>
      <c r="Y6" s="3188"/>
      <c r="Z6" s="3189"/>
      <c r="AA6" s="3174"/>
      <c r="AB6" s="3174"/>
      <c r="AC6" s="3174"/>
    </row>
    <row r="7" spans="1:29" s="117" customFormat="1" ht="15.75" thickBot="1">
      <c r="A7" s="408" t="s">
        <v>2551</v>
      </c>
      <c r="B7" s="409"/>
      <c r="C7" s="410">
        <f>'数据-取费表'!B2</f>
        <v>43424</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4" t="s">
        <v>2552</v>
      </c>
      <c r="Q7" s="3196"/>
      <c r="R7" s="769" t="s">
        <v>23</v>
      </c>
      <c r="S7" s="770">
        <f t="shared" ref="S7:S15" si="0">F7</f>
        <v>0</v>
      </c>
      <c r="T7" s="769" t="s">
        <v>23</v>
      </c>
      <c r="U7" s="770">
        <f t="shared" ref="U7:U15" si="1">H7</f>
        <v>0</v>
      </c>
      <c r="V7" s="769" t="s">
        <v>23</v>
      </c>
      <c r="W7" s="770">
        <f t="shared" ref="W7:W15" si="2">J7</f>
        <v>0</v>
      </c>
      <c r="X7" s="771"/>
      <c r="Y7" s="3194" t="s">
        <v>2552</v>
      </c>
      <c r="Z7" s="3195"/>
      <c r="AA7" s="772" t="e">
        <f>D7/F7</f>
        <v>#DIV/0!</v>
      </c>
      <c r="AB7" s="772" t="e">
        <f>D7/H7</f>
        <v>#DIV/0!</v>
      </c>
      <c r="AC7" s="772" t="e">
        <f>D7/J7</f>
        <v>#DIV/0!</v>
      </c>
    </row>
    <row r="8" spans="1:29" s="117" customFormat="1" ht="15.75" thickBot="1">
      <c r="A8" s="408" t="s">
        <v>2553</v>
      </c>
      <c r="B8" s="409"/>
      <c r="C8" s="414" t="s">
        <v>2554</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4" t="s">
        <v>2555</v>
      </c>
      <c r="Q8" s="3195"/>
      <c r="R8" s="769" t="s">
        <v>23</v>
      </c>
      <c r="S8" s="770">
        <f t="shared" si="0"/>
        <v>0</v>
      </c>
      <c r="T8" s="769" t="s">
        <v>23</v>
      </c>
      <c r="U8" s="770">
        <f t="shared" si="1"/>
        <v>0</v>
      </c>
      <c r="V8" s="769" t="s">
        <v>23</v>
      </c>
      <c r="W8" s="770">
        <f t="shared" si="2"/>
        <v>0</v>
      </c>
      <c r="X8" s="771"/>
      <c r="Y8" s="3194" t="s">
        <v>2555</v>
      </c>
      <c r="Z8" s="3195"/>
      <c r="AA8" s="772" t="e">
        <f t="shared" ref="AA8:AA19" si="3">D8/F8</f>
        <v>#DIV/0!</v>
      </c>
      <c r="AB8" s="772" t="e">
        <f t="shared" ref="AB8:AB19" si="4">D8/H8</f>
        <v>#DIV/0!</v>
      </c>
      <c r="AC8" s="772"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64"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6" customFormat="1" ht="27">
      <c r="A10" s="420"/>
      <c r="B10" s="421" t="s">
        <v>2560</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64"/>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7"/>
      <c r="B11" s="421" t="s">
        <v>2561</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64"/>
      <c r="Q11" s="1797" t="str">
        <f t="shared" si="6"/>
        <v>容积率</v>
      </c>
      <c r="R11" s="769" t="s">
        <v>21</v>
      </c>
      <c r="S11" s="770" t="e">
        <f t="shared" si="0"/>
        <v>#N/A</v>
      </c>
      <c r="T11" s="769" t="s">
        <v>21</v>
      </c>
      <c r="U11" s="770" t="e">
        <f t="shared" si="1"/>
        <v>#N/A</v>
      </c>
      <c r="V11" s="769" t="s">
        <v>21</v>
      </c>
      <c r="W11" s="770" t="e">
        <f t="shared" si="2"/>
        <v>#N/A</v>
      </c>
      <c r="X11" s="771"/>
      <c r="Y11" s="3016"/>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6">
        <f>SUMIF(70:70,G12,71:71)-SUMIF(70:70,C12,71:71)+100</f>
        <v>100</v>
      </c>
      <c r="I12" s="431"/>
      <c r="J12" s="136">
        <f>SUMIF(70:70,I12,71:71)-SUMIF(70:70,C12,71:71)+100</f>
        <v>100</v>
      </c>
      <c r="K12" s="2602"/>
      <c r="L12" s="1134"/>
      <c r="M12" s="1135"/>
      <c r="N12" s="1135"/>
      <c r="O12" s="1135"/>
      <c r="P12" s="3164"/>
      <c r="Q12" s="1797">
        <f t="shared" si="6"/>
        <v>111</v>
      </c>
      <c r="R12" s="769" t="s">
        <v>21</v>
      </c>
      <c r="S12" s="770">
        <f t="shared" si="0"/>
        <v>100</v>
      </c>
      <c r="T12" s="769" t="s">
        <v>21</v>
      </c>
      <c r="U12" s="770">
        <f t="shared" si="1"/>
        <v>100</v>
      </c>
      <c r="V12" s="769" t="s">
        <v>21</v>
      </c>
      <c r="W12" s="770">
        <f t="shared" si="2"/>
        <v>100</v>
      </c>
      <c r="X12" s="771"/>
      <c r="Y12" s="3016"/>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64"/>
      <c r="Q13" s="1797">
        <f t="shared" si="6"/>
        <v>111</v>
      </c>
      <c r="R13" s="769" t="s">
        <v>21</v>
      </c>
      <c r="S13" s="770">
        <f t="shared" si="0"/>
        <v>100</v>
      </c>
      <c r="T13" s="769" t="s">
        <v>21</v>
      </c>
      <c r="U13" s="770">
        <f t="shared" si="1"/>
        <v>100</v>
      </c>
      <c r="V13" s="769" t="s">
        <v>21</v>
      </c>
      <c r="W13" s="770">
        <f t="shared" si="2"/>
        <v>100</v>
      </c>
      <c r="X13" s="771"/>
      <c r="Y13" s="3016"/>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64"/>
      <c r="Q14" s="1797">
        <f t="shared" si="6"/>
        <v>111</v>
      </c>
      <c r="R14" s="769" t="s">
        <v>21</v>
      </c>
      <c r="S14" s="770">
        <f t="shared" si="0"/>
        <v>100</v>
      </c>
      <c r="T14" s="769" t="s">
        <v>21</v>
      </c>
      <c r="U14" s="770">
        <f t="shared" si="1"/>
        <v>100</v>
      </c>
      <c r="V14" s="769" t="s">
        <v>21</v>
      </c>
      <c r="W14" s="770">
        <f t="shared" si="2"/>
        <v>100</v>
      </c>
      <c r="X14" s="771"/>
      <c r="Y14" s="3016"/>
      <c r="Z14" s="55">
        <f t="shared" si="7"/>
        <v>111</v>
      </c>
      <c r="AA14" s="772">
        <f t="shared" si="3"/>
        <v>1</v>
      </c>
      <c r="AB14" s="772">
        <f t="shared" si="4"/>
        <v>1</v>
      </c>
      <c r="AC14" s="772">
        <f t="shared" si="5"/>
        <v>1</v>
      </c>
    </row>
    <row r="15" spans="1:29" ht="99.75">
      <c r="A15" s="439" t="s">
        <v>2562</v>
      </c>
      <c r="B15" s="69" t="s">
        <v>2088</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7" t="s">
        <v>2563</v>
      </c>
      <c r="Q15" s="1812" t="str">
        <f t="shared" si="6"/>
        <v>居住社区成熟度</v>
      </c>
      <c r="R15" s="773" t="s">
        <v>21</v>
      </c>
      <c r="S15" s="774">
        <f t="shared" si="0"/>
        <v>100</v>
      </c>
      <c r="T15" s="773" t="s">
        <v>21</v>
      </c>
      <c r="U15" s="774">
        <f t="shared" si="1"/>
        <v>100</v>
      </c>
      <c r="V15" s="773" t="s">
        <v>21</v>
      </c>
      <c r="W15" s="774">
        <f t="shared" si="2"/>
        <v>100</v>
      </c>
      <c r="X15" s="1815"/>
      <c r="Y15" s="3167" t="s">
        <v>2563</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238"/>
      <c r="Q16" s="1812"/>
      <c r="R16" s="773"/>
      <c r="S16" s="774"/>
      <c r="T16" s="773"/>
      <c r="U16" s="774"/>
      <c r="V16" s="773"/>
      <c r="W16" s="774"/>
      <c r="X16" s="1815"/>
      <c r="Y16" s="3168"/>
      <c r="Z16" s="1816"/>
      <c r="AA16" s="1813">
        <v>1</v>
      </c>
      <c r="AB16" s="1813">
        <v>1</v>
      </c>
      <c r="AC16" s="1813">
        <v>1</v>
      </c>
    </row>
    <row r="17" spans="1:29" ht="85.5">
      <c r="A17" s="427"/>
      <c r="B17" s="450" t="s">
        <v>2100</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8"/>
      <c r="Q17" s="1812" t="str">
        <f>B17</f>
        <v>交通便捷度</v>
      </c>
      <c r="R17" s="773" t="s">
        <v>21</v>
      </c>
      <c r="S17" s="774">
        <f>F17</f>
        <v>100</v>
      </c>
      <c r="T17" s="773" t="s">
        <v>21</v>
      </c>
      <c r="U17" s="774">
        <f>H17</f>
        <v>100</v>
      </c>
      <c r="V17" s="773" t="s">
        <v>21</v>
      </c>
      <c r="W17" s="774">
        <f>J17</f>
        <v>100</v>
      </c>
      <c r="X17" s="1815"/>
      <c r="Y17" s="3168"/>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238"/>
      <c r="Q18" s="1812"/>
      <c r="R18" s="773"/>
      <c r="S18" s="774"/>
      <c r="T18" s="773"/>
      <c r="U18" s="774"/>
      <c r="V18" s="773"/>
      <c r="W18" s="774"/>
      <c r="X18" s="1815"/>
      <c r="Y18" s="3168"/>
      <c r="Z18" s="1816"/>
      <c r="AA18" s="1813">
        <v>1</v>
      </c>
      <c r="AB18" s="1813">
        <v>1</v>
      </c>
      <c r="AC18" s="1813">
        <v>1</v>
      </c>
    </row>
    <row r="19" spans="1:29" ht="42.75">
      <c r="A19" s="427"/>
      <c r="B19" s="450" t="s">
        <v>2098</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8"/>
      <c r="Q19" s="1812" t="str">
        <f>B19</f>
        <v>公共配套设施</v>
      </c>
      <c r="R19" s="773" t="s">
        <v>21</v>
      </c>
      <c r="S19" s="774">
        <f>F19</f>
        <v>100</v>
      </c>
      <c r="T19" s="773" t="s">
        <v>21</v>
      </c>
      <c r="U19" s="774">
        <f>H19</f>
        <v>100</v>
      </c>
      <c r="V19" s="773" t="s">
        <v>21</v>
      </c>
      <c r="W19" s="774">
        <f>J19</f>
        <v>100</v>
      </c>
      <c r="X19" s="1815"/>
      <c r="Y19" s="3168"/>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238"/>
      <c r="Q20" s="1812"/>
      <c r="R20" s="773"/>
      <c r="S20" s="774"/>
      <c r="T20" s="773"/>
      <c r="U20" s="774"/>
      <c r="V20" s="773"/>
      <c r="W20" s="774"/>
      <c r="X20" s="1815"/>
      <c r="Y20" s="3168"/>
      <c r="Z20" s="1816"/>
      <c r="AA20" s="1813">
        <v>1</v>
      </c>
      <c r="AB20" s="1813">
        <v>1</v>
      </c>
      <c r="AC20" s="1813">
        <v>1</v>
      </c>
    </row>
    <row r="21" spans="1:29" ht="28.5">
      <c r="A21" s="427"/>
      <c r="B21" s="1386" t="s">
        <v>2101</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238"/>
      <c r="Q22" s="1812"/>
      <c r="R22" s="773"/>
      <c r="S22" s="774"/>
      <c r="T22" s="773"/>
      <c r="U22" s="774"/>
      <c r="V22" s="773"/>
      <c r="W22" s="774"/>
      <c r="X22" s="1815"/>
      <c r="Y22" s="3168"/>
      <c r="Z22" s="1816"/>
      <c r="AA22" s="1813">
        <v>1</v>
      </c>
      <c r="AB22" s="1813">
        <v>1</v>
      </c>
      <c r="AC22" s="1813">
        <v>1</v>
      </c>
    </row>
    <row r="23" spans="1:29" ht="57">
      <c r="A23" s="427"/>
      <c r="B23" s="450" t="s">
        <v>2105</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8"/>
      <c r="Q23" s="1812" t="str">
        <f>B23</f>
        <v>自然及人文环境</v>
      </c>
      <c r="R23" s="773" t="s">
        <v>21</v>
      </c>
      <c r="S23" s="774">
        <f>F23</f>
        <v>100</v>
      </c>
      <c r="T23" s="773" t="s">
        <v>21</v>
      </c>
      <c r="U23" s="774">
        <f>H23</f>
        <v>100</v>
      </c>
      <c r="V23" s="773" t="s">
        <v>21</v>
      </c>
      <c r="W23" s="774">
        <f>J23</f>
        <v>100</v>
      </c>
      <c r="X23" s="1815"/>
      <c r="Y23" s="3168"/>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238"/>
      <c r="Q24" s="1812"/>
      <c r="R24" s="773"/>
      <c r="S24" s="774"/>
      <c r="T24" s="773"/>
      <c r="U24" s="774"/>
      <c r="V24" s="773"/>
      <c r="W24" s="774"/>
      <c r="X24" s="1815"/>
      <c r="Y24" s="3168"/>
      <c r="Z24" s="1816"/>
      <c r="AA24" s="1813">
        <v>1</v>
      </c>
      <c r="AB24" s="1813">
        <v>1</v>
      </c>
      <c r="AC24" s="1813">
        <v>1</v>
      </c>
    </row>
    <row r="25" spans="1:29" ht="15">
      <c r="A25" s="427"/>
      <c r="B25" s="421" t="s">
        <v>2564</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3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8"/>
      <c r="Z25" s="1816" t="str">
        <f>Q25</f>
        <v>楼层-1</v>
      </c>
      <c r="AA25" s="1813">
        <f t="shared" ref="AA25:AA46" si="15">D25/F25</f>
        <v>1</v>
      </c>
      <c r="AB25" s="1813">
        <f t="shared" ref="AB25:AB46" si="16">D25/H25</f>
        <v>1</v>
      </c>
      <c r="AC25" s="1813">
        <f t="shared" ref="AC25:AC46" si="17">D25/J25</f>
        <v>1</v>
      </c>
    </row>
    <row r="26" spans="1:29" ht="15">
      <c r="A26" s="427"/>
      <c r="B26" s="421" t="s">
        <v>2565</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38"/>
      <c r="Q26" s="1812" t="str">
        <f t="shared" si="11"/>
        <v>朝向</v>
      </c>
      <c r="R26" s="773" t="s">
        <v>21</v>
      </c>
      <c r="S26" s="774">
        <f t="shared" si="12"/>
        <v>100</v>
      </c>
      <c r="T26" s="773" t="s">
        <v>21</v>
      </c>
      <c r="U26" s="774">
        <f t="shared" si="13"/>
        <v>100</v>
      </c>
      <c r="V26" s="773" t="s">
        <v>21</v>
      </c>
      <c r="W26" s="774">
        <f t="shared" si="14"/>
        <v>100</v>
      </c>
      <c r="X26" s="1815"/>
      <c r="Y26" s="316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38"/>
      <c r="Q27" s="1797">
        <f t="shared" si="11"/>
        <v>111</v>
      </c>
      <c r="R27" s="769" t="s">
        <v>21</v>
      </c>
      <c r="S27" s="770">
        <f t="shared" si="12"/>
        <v>100</v>
      </c>
      <c r="T27" s="769" t="s">
        <v>21</v>
      </c>
      <c r="U27" s="770">
        <f t="shared" si="13"/>
        <v>100</v>
      </c>
      <c r="V27" s="769" t="s">
        <v>21</v>
      </c>
      <c r="W27" s="770">
        <f t="shared" si="14"/>
        <v>100</v>
      </c>
      <c r="X27" s="771"/>
      <c r="Y27" s="316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38"/>
      <c r="Q28" s="1812">
        <f t="shared" si="11"/>
        <v>111</v>
      </c>
      <c r="R28" s="773" t="s">
        <v>21</v>
      </c>
      <c r="S28" s="774">
        <f t="shared" si="12"/>
        <v>100</v>
      </c>
      <c r="T28" s="773" t="s">
        <v>21</v>
      </c>
      <c r="U28" s="774">
        <f t="shared" si="13"/>
        <v>100</v>
      </c>
      <c r="V28" s="773" t="s">
        <v>21</v>
      </c>
      <c r="W28" s="774">
        <f t="shared" si="14"/>
        <v>100</v>
      </c>
      <c r="X28" s="1815"/>
      <c r="Y28" s="316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38"/>
      <c r="Q29" s="1812">
        <f t="shared" si="11"/>
        <v>111</v>
      </c>
      <c r="R29" s="773" t="s">
        <v>21</v>
      </c>
      <c r="S29" s="774">
        <f t="shared" si="12"/>
        <v>100</v>
      </c>
      <c r="T29" s="773" t="s">
        <v>21</v>
      </c>
      <c r="U29" s="774">
        <f t="shared" si="13"/>
        <v>100</v>
      </c>
      <c r="V29" s="773" t="s">
        <v>21</v>
      </c>
      <c r="W29" s="774">
        <f t="shared" si="14"/>
        <v>100</v>
      </c>
      <c r="X29" s="1815"/>
      <c r="Y29" s="316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38"/>
      <c r="Q30" s="1812">
        <f t="shared" si="11"/>
        <v>111</v>
      </c>
      <c r="R30" s="773" t="s">
        <v>21</v>
      </c>
      <c r="S30" s="774">
        <f t="shared" si="12"/>
        <v>100</v>
      </c>
      <c r="T30" s="773" t="s">
        <v>21</v>
      </c>
      <c r="U30" s="774">
        <f t="shared" si="13"/>
        <v>100</v>
      </c>
      <c r="V30" s="773" t="s">
        <v>21</v>
      </c>
      <c r="W30" s="774">
        <f t="shared" si="14"/>
        <v>100</v>
      </c>
      <c r="X30" s="1815"/>
      <c r="Y30" s="316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38"/>
      <c r="Q31" s="1812">
        <f t="shared" si="11"/>
        <v>111</v>
      </c>
      <c r="R31" s="773" t="s">
        <v>21</v>
      </c>
      <c r="S31" s="774">
        <f t="shared" si="12"/>
        <v>100</v>
      </c>
      <c r="T31" s="773" t="s">
        <v>21</v>
      </c>
      <c r="U31" s="774">
        <f t="shared" si="13"/>
        <v>100</v>
      </c>
      <c r="V31" s="773" t="s">
        <v>21</v>
      </c>
      <c r="W31" s="774">
        <f t="shared" si="14"/>
        <v>100</v>
      </c>
      <c r="X31" s="1815"/>
      <c r="Y31" s="3168"/>
      <c r="Z31" s="1816">
        <f t="shared" si="18"/>
        <v>111</v>
      </c>
      <c r="AA31" s="1813">
        <f t="shared" si="15"/>
        <v>1</v>
      </c>
      <c r="AB31" s="1813">
        <f t="shared" si="16"/>
        <v>1</v>
      </c>
      <c r="AC31" s="1813">
        <f t="shared" si="17"/>
        <v>1</v>
      </c>
    </row>
    <row r="32" spans="1:29" ht="15">
      <c r="A32" s="439" t="s">
        <v>2566</v>
      </c>
      <c r="B32" s="71" t="s">
        <v>2567</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33" t="s">
        <v>2568</v>
      </c>
      <c r="Q32" s="1812" t="str">
        <f t="shared" si="11"/>
        <v>建筑类型</v>
      </c>
      <c r="R32" s="773" t="s">
        <v>21</v>
      </c>
      <c r="S32" s="774">
        <f t="shared" si="12"/>
        <v>100</v>
      </c>
      <c r="T32" s="773" t="s">
        <v>21</v>
      </c>
      <c r="U32" s="774">
        <f t="shared" si="13"/>
        <v>100</v>
      </c>
      <c r="V32" s="773" t="s">
        <v>21</v>
      </c>
      <c r="W32" s="774">
        <f t="shared" si="14"/>
        <v>100</v>
      </c>
      <c r="X32" s="1815"/>
      <c r="Y32" s="3170" t="s">
        <v>2568</v>
      </c>
      <c r="Z32" s="1816" t="str">
        <f t="shared" si="18"/>
        <v>建筑类型</v>
      </c>
      <c r="AA32" s="1813">
        <f t="shared" si="15"/>
        <v>1</v>
      </c>
      <c r="AB32" s="1813">
        <f t="shared" si="16"/>
        <v>1</v>
      </c>
      <c r="AC32" s="1813">
        <f t="shared" si="17"/>
        <v>1</v>
      </c>
    </row>
    <row r="33" spans="1:29" s="470" customFormat="1" ht="15">
      <c r="A33" s="467"/>
      <c r="B33" s="421" t="s">
        <v>2569</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2"/>
      <c r="L33" s="1140"/>
      <c r="M33" s="1143"/>
      <c r="N33" s="1143"/>
      <c r="O33" s="1143"/>
      <c r="P33" s="3234"/>
      <c r="Q33" s="775" t="str">
        <f t="shared" si="11"/>
        <v>项目建筑规模</v>
      </c>
      <c r="R33" s="776" t="s">
        <v>21</v>
      </c>
      <c r="S33" s="777" t="e">
        <f t="shared" si="12"/>
        <v>#N/A</v>
      </c>
      <c r="T33" s="776" t="s">
        <v>21</v>
      </c>
      <c r="U33" s="777" t="e">
        <f t="shared" si="13"/>
        <v>#N/A</v>
      </c>
      <c r="V33" s="776" t="s">
        <v>21</v>
      </c>
      <c r="W33" s="777" t="e">
        <f t="shared" si="14"/>
        <v>#N/A</v>
      </c>
      <c r="X33" s="778"/>
      <c r="Y33" s="3170"/>
      <c r="Z33" s="779" t="str">
        <f t="shared" si="18"/>
        <v>项目建筑规模</v>
      </c>
      <c r="AA33" s="1813" t="e">
        <f t="shared" si="15"/>
        <v>#N/A</v>
      </c>
      <c r="AB33" s="1813" t="e">
        <f t="shared" si="16"/>
        <v>#N/A</v>
      </c>
      <c r="AC33" s="1813" t="e">
        <f t="shared" si="17"/>
        <v>#N/A</v>
      </c>
    </row>
    <row r="34" spans="1:29" ht="15">
      <c r="A34" s="471"/>
      <c r="B34" s="421" t="s">
        <v>2570</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34"/>
      <c r="Q34" s="1812" t="str">
        <f t="shared" si="11"/>
        <v>建筑结构</v>
      </c>
      <c r="R34" s="773" t="s">
        <v>21</v>
      </c>
      <c r="S34" s="774">
        <f t="shared" si="12"/>
        <v>100</v>
      </c>
      <c r="T34" s="773" t="s">
        <v>21</v>
      </c>
      <c r="U34" s="774">
        <f t="shared" si="13"/>
        <v>100</v>
      </c>
      <c r="V34" s="773" t="s">
        <v>21</v>
      </c>
      <c r="W34" s="774">
        <f t="shared" si="14"/>
        <v>100</v>
      </c>
      <c r="X34" s="1815"/>
      <c r="Y34" s="3170"/>
      <c r="Z34" s="1816" t="str">
        <f t="shared" si="18"/>
        <v>建筑结构</v>
      </c>
      <c r="AA34" s="1813">
        <f t="shared" si="15"/>
        <v>1</v>
      </c>
      <c r="AB34" s="1813">
        <f t="shared" si="16"/>
        <v>1</v>
      </c>
      <c r="AC34" s="1813">
        <f t="shared" si="17"/>
        <v>1</v>
      </c>
    </row>
    <row r="35" spans="1:29" ht="15">
      <c r="A35" s="471"/>
      <c r="B35" s="421" t="s">
        <v>2571</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34"/>
      <c r="Q35" s="1812" t="str">
        <f t="shared" si="11"/>
        <v>建筑品质</v>
      </c>
      <c r="R35" s="773" t="s">
        <v>21</v>
      </c>
      <c r="S35" s="774">
        <f t="shared" si="12"/>
        <v>100</v>
      </c>
      <c r="T35" s="773" t="s">
        <v>21</v>
      </c>
      <c r="U35" s="774">
        <f t="shared" si="13"/>
        <v>100</v>
      </c>
      <c r="V35" s="773" t="s">
        <v>21</v>
      </c>
      <c r="W35" s="774">
        <f t="shared" si="14"/>
        <v>100</v>
      </c>
      <c r="X35" s="1815"/>
      <c r="Y35" s="3170"/>
      <c r="Z35" s="1816" t="str">
        <f t="shared" si="18"/>
        <v>建筑品质</v>
      </c>
      <c r="AA35" s="1813">
        <f t="shared" si="15"/>
        <v>1</v>
      </c>
      <c r="AB35" s="1813">
        <f t="shared" si="16"/>
        <v>1</v>
      </c>
      <c r="AC35" s="1813">
        <f t="shared" si="17"/>
        <v>1</v>
      </c>
    </row>
    <row r="36" spans="1:29" ht="15">
      <c r="A36" s="471"/>
      <c r="B36" s="421" t="s">
        <v>2572</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34"/>
      <c r="Q36" s="1812" t="str">
        <f t="shared" si="11"/>
        <v>公共部分装修</v>
      </c>
      <c r="R36" s="773" t="s">
        <v>21</v>
      </c>
      <c r="S36" s="774">
        <f t="shared" si="12"/>
        <v>100</v>
      </c>
      <c r="T36" s="773" t="s">
        <v>21</v>
      </c>
      <c r="U36" s="774">
        <f t="shared" si="13"/>
        <v>100</v>
      </c>
      <c r="V36" s="773" t="s">
        <v>21</v>
      </c>
      <c r="W36" s="774">
        <f t="shared" si="14"/>
        <v>100</v>
      </c>
      <c r="X36" s="1815"/>
      <c r="Y36" s="3170"/>
      <c r="Z36" s="1816" t="str">
        <f t="shared" si="18"/>
        <v>公共部分装修</v>
      </c>
      <c r="AA36" s="1813">
        <f t="shared" si="15"/>
        <v>1</v>
      </c>
      <c r="AB36" s="1813">
        <f t="shared" si="16"/>
        <v>1</v>
      </c>
      <c r="AC36" s="1813">
        <f t="shared" si="17"/>
        <v>1</v>
      </c>
    </row>
    <row r="37" spans="1:29" s="117" customFormat="1" ht="15">
      <c r="A37" s="472"/>
      <c r="B37" s="421" t="s">
        <v>2573</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34"/>
      <c r="Q37" s="1797" t="str">
        <f t="shared" si="11"/>
        <v>成新度</v>
      </c>
      <c r="R37" s="769" t="s">
        <v>21</v>
      </c>
      <c r="S37" s="770" t="e">
        <f t="shared" si="12"/>
        <v>#N/A</v>
      </c>
      <c r="T37" s="769" t="s">
        <v>21</v>
      </c>
      <c r="U37" s="770" t="e">
        <f t="shared" si="13"/>
        <v>#N/A</v>
      </c>
      <c r="V37" s="769" t="s">
        <v>21</v>
      </c>
      <c r="W37" s="770" t="e">
        <f t="shared" si="14"/>
        <v>#N/A</v>
      </c>
      <c r="X37" s="771"/>
      <c r="Y37" s="3170"/>
      <c r="Z37" s="55" t="str">
        <f t="shared" si="18"/>
        <v>成新度</v>
      </c>
      <c r="AA37" s="772" t="e">
        <f t="shared" si="15"/>
        <v>#N/A</v>
      </c>
      <c r="AB37" s="772" t="e">
        <f t="shared" si="16"/>
        <v>#N/A</v>
      </c>
      <c r="AC37" s="772" t="e">
        <f t="shared" si="17"/>
        <v>#N/A</v>
      </c>
    </row>
    <row r="38" spans="1:29" ht="15">
      <c r="A38" s="471"/>
      <c r="B38" s="421" t="s">
        <v>2574</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34" t="s">
        <v>2568</v>
      </c>
      <c r="Q38" s="1812" t="str">
        <f t="shared" si="11"/>
        <v>物业管理</v>
      </c>
      <c r="R38" s="773" t="s">
        <v>21</v>
      </c>
      <c r="S38" s="774">
        <f t="shared" si="12"/>
        <v>100</v>
      </c>
      <c r="T38" s="773" t="s">
        <v>21</v>
      </c>
      <c r="U38" s="774">
        <f t="shared" si="13"/>
        <v>100</v>
      </c>
      <c r="V38" s="773" t="s">
        <v>21</v>
      </c>
      <c r="W38" s="774">
        <f t="shared" si="14"/>
        <v>100</v>
      </c>
      <c r="X38" s="1815"/>
      <c r="Y38" s="3170" t="s">
        <v>2568</v>
      </c>
      <c r="Z38" s="1816" t="str">
        <f t="shared" si="18"/>
        <v>物业管理</v>
      </c>
      <c r="AA38" s="1813">
        <f t="shared" si="15"/>
        <v>1</v>
      </c>
      <c r="AB38" s="1813">
        <f t="shared" si="16"/>
        <v>1</v>
      </c>
      <c r="AC38" s="1813">
        <f t="shared" si="17"/>
        <v>1</v>
      </c>
    </row>
    <row r="39" spans="1:29" ht="15">
      <c r="A39" s="471"/>
      <c r="B39" s="421" t="s">
        <v>2575</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34"/>
      <c r="Q39" s="1812" t="str">
        <f t="shared" si="11"/>
        <v>市政基础设施</v>
      </c>
      <c r="R39" s="773" t="s">
        <v>21</v>
      </c>
      <c r="S39" s="774">
        <f t="shared" si="12"/>
        <v>100</v>
      </c>
      <c r="T39" s="773" t="s">
        <v>21</v>
      </c>
      <c r="U39" s="774">
        <f t="shared" si="13"/>
        <v>100</v>
      </c>
      <c r="V39" s="773" t="s">
        <v>21</v>
      </c>
      <c r="W39" s="774">
        <f t="shared" si="14"/>
        <v>100</v>
      </c>
      <c r="X39" s="1815"/>
      <c r="Y39" s="3170"/>
      <c r="Z39" s="1816" t="str">
        <f t="shared" si="18"/>
        <v>市政基础设施</v>
      </c>
      <c r="AA39" s="1813">
        <f t="shared" si="15"/>
        <v>1</v>
      </c>
      <c r="AB39" s="1813">
        <f t="shared" si="16"/>
        <v>1</v>
      </c>
      <c r="AC39" s="1813">
        <f t="shared" si="17"/>
        <v>1</v>
      </c>
    </row>
    <row r="40" spans="1:29" ht="15">
      <c r="A40" s="471"/>
      <c r="B40" s="421" t="s">
        <v>2576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34"/>
      <c r="Q40" s="1812" t="str">
        <f t="shared" si="11"/>
        <v>房型</v>
      </c>
      <c r="R40" s="773" t="s">
        <v>21</v>
      </c>
      <c r="S40" s="774">
        <f t="shared" si="12"/>
        <v>100</v>
      </c>
      <c r="T40" s="773" t="s">
        <v>21</v>
      </c>
      <c r="U40" s="774">
        <f t="shared" si="13"/>
        <v>100</v>
      </c>
      <c r="V40" s="773" t="s">
        <v>21</v>
      </c>
      <c r="W40" s="774">
        <f t="shared" si="14"/>
        <v>100</v>
      </c>
      <c r="X40" s="1815"/>
      <c r="Y40" s="3170"/>
      <c r="Z40" s="1816" t="str">
        <f t="shared" si="18"/>
        <v>房型</v>
      </c>
      <c r="AA40" s="1813">
        <f t="shared" si="15"/>
        <v>1</v>
      </c>
      <c r="AB40" s="1813">
        <f t="shared" si="16"/>
        <v>1</v>
      </c>
      <c r="AC40" s="1813">
        <f t="shared" si="17"/>
        <v>1</v>
      </c>
    </row>
    <row r="41" spans="1:29" s="470" customFormat="1" ht="28.5">
      <c r="A41" s="467"/>
      <c r="B41" s="421" t="s">
        <v>2577</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2"/>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170"/>
      <c r="Z41" s="779" t="str">
        <f t="shared" si="18"/>
        <v>单套/主力户型建筑面积</v>
      </c>
      <c r="AA41" s="1813">
        <f t="shared" si="15"/>
        <v>1</v>
      </c>
      <c r="AB41" s="1813">
        <f t="shared" si="16"/>
        <v>1</v>
      </c>
      <c r="AC41" s="1813">
        <f t="shared" si="17"/>
        <v>1</v>
      </c>
    </row>
    <row r="42" spans="1:29" ht="15">
      <c r="A42" s="471"/>
      <c r="B42" s="421" t="s">
        <v>2578</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34"/>
      <c r="Q42" s="1812" t="str">
        <f t="shared" si="11"/>
        <v>内部装修</v>
      </c>
      <c r="R42" s="773" t="s">
        <v>21</v>
      </c>
      <c r="S42" s="774">
        <f t="shared" si="12"/>
        <v>100</v>
      </c>
      <c r="T42" s="773" t="s">
        <v>21</v>
      </c>
      <c r="U42" s="774">
        <f t="shared" si="13"/>
        <v>100</v>
      </c>
      <c r="V42" s="773" t="s">
        <v>21</v>
      </c>
      <c r="W42" s="774">
        <f t="shared" si="14"/>
        <v>100</v>
      </c>
      <c r="X42" s="1815"/>
      <c r="Y42" s="3170"/>
      <c r="Z42" s="1816" t="str">
        <f t="shared" si="18"/>
        <v>内部装修</v>
      </c>
      <c r="AA42" s="1813">
        <f t="shared" si="15"/>
        <v>1</v>
      </c>
      <c r="AB42" s="1813">
        <f t="shared" si="16"/>
        <v>1</v>
      </c>
      <c r="AC42" s="1813">
        <f t="shared" si="17"/>
        <v>1</v>
      </c>
    </row>
    <row r="43" spans="1:29" ht="15">
      <c r="A43" s="471"/>
      <c r="B43" s="421" t="s">
        <v>2579</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34"/>
      <c r="Q43" s="1812" t="str">
        <f t="shared" si="11"/>
        <v>内部装修维护情况</v>
      </c>
      <c r="R43" s="773" t="s">
        <v>21</v>
      </c>
      <c r="S43" s="774">
        <f t="shared" si="12"/>
        <v>100</v>
      </c>
      <c r="T43" s="773" t="s">
        <v>21</v>
      </c>
      <c r="U43" s="774">
        <f t="shared" si="13"/>
        <v>100</v>
      </c>
      <c r="V43" s="773" t="s">
        <v>21</v>
      </c>
      <c r="W43" s="774">
        <f t="shared" si="14"/>
        <v>100</v>
      </c>
      <c r="X43" s="1815"/>
      <c r="Y43" s="3170"/>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2"/>
      <c r="L44" s="1134"/>
      <c r="M44" s="1135"/>
      <c r="N44" s="1135"/>
      <c r="O44" s="1135"/>
      <c r="P44" s="3234"/>
      <c r="Q44" s="1797">
        <f t="shared" si="11"/>
        <v>111</v>
      </c>
      <c r="R44" s="769" t="s">
        <v>21</v>
      </c>
      <c r="S44" s="770">
        <f t="shared" si="12"/>
        <v>100</v>
      </c>
      <c r="T44" s="769" t="s">
        <v>21</v>
      </c>
      <c r="U44" s="770">
        <f t="shared" si="13"/>
        <v>100</v>
      </c>
      <c r="V44" s="769" t="s">
        <v>21</v>
      </c>
      <c r="W44" s="770">
        <f t="shared" si="14"/>
        <v>100</v>
      </c>
      <c r="X44" s="771"/>
      <c r="Y44" s="317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34"/>
      <c r="Q45" s="1812">
        <f t="shared" si="11"/>
        <v>111</v>
      </c>
      <c r="R45" s="773" t="s">
        <v>21</v>
      </c>
      <c r="S45" s="774">
        <f t="shared" si="12"/>
        <v>100</v>
      </c>
      <c r="T45" s="773" t="s">
        <v>21</v>
      </c>
      <c r="U45" s="774">
        <f t="shared" si="13"/>
        <v>100</v>
      </c>
      <c r="V45" s="773" t="s">
        <v>21</v>
      </c>
      <c r="W45" s="774">
        <f t="shared" si="14"/>
        <v>100</v>
      </c>
      <c r="X45" s="1815"/>
      <c r="Y45" s="3170"/>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35"/>
      <c r="Q46" s="1812">
        <f t="shared" si="11"/>
        <v>111</v>
      </c>
      <c r="R46" s="773" t="s">
        <v>20</v>
      </c>
      <c r="S46" s="774">
        <f t="shared" si="12"/>
        <v>100</v>
      </c>
      <c r="T46" s="773" t="s">
        <v>20</v>
      </c>
      <c r="U46" s="774">
        <f t="shared" si="13"/>
        <v>100</v>
      </c>
      <c r="V46" s="773" t="s">
        <v>20</v>
      </c>
      <c r="W46" s="774">
        <f t="shared" si="14"/>
        <v>100</v>
      </c>
      <c r="X46" s="1815"/>
      <c r="Y46" s="3236"/>
      <c r="Z46" s="1816">
        <f t="shared" si="18"/>
        <v>111</v>
      </c>
      <c r="AA46" s="1813">
        <f t="shared" si="15"/>
        <v>1</v>
      </c>
      <c r="AB46" s="1813">
        <f t="shared" si="16"/>
        <v>1</v>
      </c>
      <c r="AC46" s="1813">
        <f t="shared" si="17"/>
        <v>1</v>
      </c>
    </row>
    <row r="47" spans="1:29" ht="15">
      <c r="A47" s="478" t="s">
        <v>2580</v>
      </c>
      <c r="B47" s="479"/>
      <c r="C47" s="1409" t="s">
        <v>19</v>
      </c>
      <c r="D47" s="1410"/>
      <c r="E47" s="1411"/>
      <c r="F47" s="1412"/>
      <c r="G47" s="1413"/>
      <c r="H47" s="1414"/>
      <c r="I47" s="1411"/>
      <c r="J47" s="1414"/>
      <c r="K47" s="2622"/>
      <c r="L47" s="1145"/>
      <c r="M47" s="1146"/>
      <c r="N47" s="1133"/>
      <c r="O47" s="1146"/>
      <c r="P47" s="3165" t="str">
        <f>A47</f>
        <v>成交单价（元/平方米）</v>
      </c>
      <c r="Q47" s="3165"/>
      <c r="R47" s="3232">
        <f>E47</f>
        <v>0</v>
      </c>
      <c r="S47" s="3232"/>
      <c r="T47" s="3232">
        <f>G47</f>
        <v>0</v>
      </c>
      <c r="U47" s="3232"/>
      <c r="V47" s="3232">
        <f>I47</f>
        <v>0</v>
      </c>
      <c r="W47" s="3232"/>
      <c r="X47" s="758"/>
      <c r="Y47" s="780"/>
      <c r="Z47" s="758"/>
      <c r="AA47" s="758"/>
      <c r="AB47" s="758"/>
      <c r="AC47" s="758"/>
    </row>
    <row r="48" spans="1:29" ht="15.75" thickBot="1">
      <c r="A48" s="485" t="s">
        <v>2581</v>
      </c>
      <c r="B48" s="486"/>
      <c r="C48" s="1415" t="e">
        <f>R49</f>
        <v>#DIV/0!</v>
      </c>
      <c r="D48" s="1416"/>
      <c r="E48" s="1417" t="e">
        <f>R48</f>
        <v>#DIV/0!</v>
      </c>
      <c r="F48" s="1417"/>
      <c r="G48" s="1415" t="e">
        <f>T48</f>
        <v>#DIV/0!</v>
      </c>
      <c r="H48" s="1416"/>
      <c r="I48" s="1417" t="e">
        <f>V48</f>
        <v>#DIV/0!</v>
      </c>
      <c r="J48" s="1416"/>
      <c r="K48" s="2623"/>
      <c r="L48" s="1145"/>
      <c r="M48" s="1146"/>
      <c r="N48" s="1146"/>
      <c r="O48" s="1146"/>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8"/>
      <c r="Y48" s="758"/>
      <c r="Z48" s="758"/>
      <c r="AA48" s="758"/>
      <c r="AB48" s="758"/>
      <c r="AC48" s="758"/>
    </row>
    <row r="49" spans="1:29" ht="15.75" thickBot="1">
      <c r="A49" s="491" t="s">
        <v>2582</v>
      </c>
      <c r="B49" s="492"/>
      <c r="C49" s="1418" t="e">
        <f>R49</f>
        <v>#DIV/0!</v>
      </c>
      <c r="D49" s="1419"/>
      <c r="E49" s="1419"/>
      <c r="F49" s="1419"/>
      <c r="G49" s="1419"/>
      <c r="H49" s="1419"/>
      <c r="I49" s="1419"/>
      <c r="J49" s="1419"/>
      <c r="K49" s="2624"/>
      <c r="L49" s="1145"/>
      <c r="M49" s="1146"/>
      <c r="N49" s="1146"/>
      <c r="O49" s="1146"/>
      <c r="P49" s="3159" t="str">
        <f>A49</f>
        <v>估价对象XX用房的比较价值（楼面单价，元/平方米）</v>
      </c>
      <c r="Q49" s="3160"/>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2586</v>
      </c>
      <c r="B57" s="758"/>
      <c r="C57" s="763"/>
      <c r="D57" s="763"/>
      <c r="E57" s="763"/>
      <c r="F57" s="764"/>
      <c r="G57" s="764"/>
      <c r="H57" s="763"/>
      <c r="I57" s="763"/>
      <c r="J57" s="763"/>
      <c r="K57" s="1162"/>
      <c r="L57" s="1163"/>
      <c r="M57" s="1161"/>
      <c r="N57" s="1161"/>
      <c r="O57" s="1161"/>
      <c r="P57" s="2627"/>
      <c r="Q57" s="503"/>
    </row>
    <row r="58" spans="1:29" s="507" customFormat="1" ht="15">
      <c r="A58" s="504" t="s">
        <v>2587</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2588</v>
      </c>
      <c r="B60" s="515"/>
      <c r="C60" s="516"/>
      <c r="D60" s="517"/>
      <c r="E60" s="517"/>
      <c r="F60" s="517"/>
      <c r="G60" s="517"/>
      <c r="H60" s="517"/>
      <c r="I60" s="517"/>
      <c r="J60" s="517"/>
      <c r="K60" s="517"/>
      <c r="L60" s="517"/>
      <c r="M60" s="518"/>
      <c r="N60" s="517"/>
      <c r="O60" s="518"/>
      <c r="P60" s="2629"/>
      <c r="Q60" s="503"/>
    </row>
    <row r="61" spans="1:29" s="117" customFormat="1" ht="15">
      <c r="A61" s="520" t="s">
        <v>2589</v>
      </c>
      <c r="B61" s="509"/>
      <c r="C61" s="521" t="s">
        <v>2590</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2591</v>
      </c>
      <c r="B63" s="527" t="s">
        <v>2557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2101</v>
      </c>
      <c r="C82" s="538" t="s">
        <v>2607</v>
      </c>
      <c r="D82" s="538" t="s">
        <v>2608</v>
      </c>
      <c r="E82" s="538" t="s">
        <v>2609</v>
      </c>
      <c r="F82" s="538" t="s">
        <v>2610</v>
      </c>
      <c r="G82" s="538" t="s">
        <v>2611</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2613</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2614</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2566</v>
      </c>
      <c r="B100" s="527" t="s">
        <v>2615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2617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2618</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2619</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2620</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2621</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2622</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2577</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2623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6">
        <v>6</v>
      </c>
      <c r="C139" s="1087">
        <v>96</v>
      </c>
      <c r="D139" s="2649" t="s">
        <v>2634</v>
      </c>
      <c r="E139" s="1088">
        <v>100</v>
      </c>
      <c r="F139" s="1089">
        <v>102.5</v>
      </c>
      <c r="G139" s="2649" t="s">
        <v>2634</v>
      </c>
      <c r="H139" s="1090">
        <v>105</v>
      </c>
      <c r="I139" s="2650" t="s">
        <v>2635</v>
      </c>
      <c r="J139" s="1087">
        <v>20</v>
      </c>
      <c r="K139" s="1091">
        <f>C145/(J139-2)</f>
        <v>4.0555555555555553E-3</v>
      </c>
    </row>
    <row r="140" spans="1:17" ht="15">
      <c r="B140" s="1092">
        <v>5</v>
      </c>
      <c r="C140" s="1093">
        <v>100</v>
      </c>
      <c r="D140" s="1093"/>
      <c r="E140" s="1094"/>
      <c r="F140" s="1095">
        <v>102</v>
      </c>
      <c r="G140" s="1093"/>
      <c r="H140" s="1096"/>
      <c r="I140" s="2651" t="s">
        <v>2636</v>
      </c>
      <c r="J140" s="315">
        <f>ROUNDUP((J139-1)/2,0)</f>
        <v>10</v>
      </c>
      <c r="K140" s="1097">
        <v>100</v>
      </c>
    </row>
    <row r="141" spans="1:17" ht="15">
      <c r="B141" s="1092">
        <v>4</v>
      </c>
      <c r="C141" s="1093">
        <v>102</v>
      </c>
      <c r="D141" s="1093"/>
      <c r="E141" s="1094"/>
      <c r="F141" s="1095">
        <v>101.5</v>
      </c>
      <c r="G141" s="1093"/>
      <c r="H141" s="1096"/>
      <c r="I141" s="2651" t="s">
        <v>2637</v>
      </c>
      <c r="J141" s="315">
        <v>1</v>
      </c>
      <c r="K141" s="1098">
        <f>ROUND(100+(J141-J140)*K139*100,1)</f>
        <v>96.4</v>
      </c>
    </row>
    <row r="142" spans="1:17" ht="15">
      <c r="B142" s="1092">
        <v>3</v>
      </c>
      <c r="C142" s="1093">
        <v>103</v>
      </c>
      <c r="D142" s="1093"/>
      <c r="E142" s="1094"/>
      <c r="F142" s="1095">
        <v>101</v>
      </c>
      <c r="G142" s="1093"/>
      <c r="H142" s="1096"/>
      <c r="I142" s="2651" t="s">
        <v>2638</v>
      </c>
      <c r="J142" s="315">
        <f>J139</f>
        <v>20</v>
      </c>
      <c r="K142" s="1099">
        <v>95</v>
      </c>
    </row>
    <row r="143" spans="1:17" ht="15">
      <c r="B143" s="1092">
        <v>2</v>
      </c>
      <c r="C143" s="1093">
        <v>100</v>
      </c>
      <c r="D143" s="1093"/>
      <c r="E143" s="1094"/>
      <c r="F143" s="1095">
        <v>100.5</v>
      </c>
      <c r="G143" s="1093"/>
      <c r="H143" s="1096"/>
      <c r="I143" s="2651" t="s">
        <v>2639</v>
      </c>
      <c r="J143" s="1093">
        <v>15</v>
      </c>
      <c r="K143" s="1098">
        <f>ROUND(100+(J143-J140)*K139*100,1)</f>
        <v>102</v>
      </c>
    </row>
    <row r="144" spans="1:17" ht="15">
      <c r="B144" s="1092">
        <v>1</v>
      </c>
      <c r="C144" s="1093">
        <v>98</v>
      </c>
      <c r="D144" s="2652" t="s">
        <v>2640</v>
      </c>
      <c r="E144" s="1094">
        <v>102</v>
      </c>
      <c r="F144" s="1100">
        <v>100</v>
      </c>
      <c r="G144" s="2652" t="s">
        <v>2640</v>
      </c>
      <c r="H144" s="1096">
        <v>105</v>
      </c>
      <c r="I144" s="2651" t="s">
        <v>2639</v>
      </c>
      <c r="J144" s="1093">
        <v>18</v>
      </c>
      <c r="K144" s="1098">
        <f>ROUND(100+(J144-J140)*K139*100,1)</f>
        <v>103.2</v>
      </c>
    </row>
    <row r="145" spans="2:11" ht="15.75" thickBot="1">
      <c r="B145" s="2653" t="s">
        <v>2641</v>
      </c>
      <c r="C145" s="1101">
        <f>ROUND(MAX(C139:C144)/MIN(C139:C144)-1,3)</f>
        <v>7.2999999999999995E-2</v>
      </c>
      <c r="D145" s="1102"/>
      <c r="E145" s="1102"/>
      <c r="F145" s="2654" t="s">
        <v>2642</v>
      </c>
      <c r="G145" s="2655"/>
      <c r="H145" s="2656"/>
      <c r="I145" s="2657" t="s">
        <v>2639</v>
      </c>
      <c r="J145" s="1103">
        <v>8</v>
      </c>
      <c r="K145" s="1104">
        <f>ROUND(100+(J145-J140)*K139*100,1)</f>
        <v>99.2</v>
      </c>
    </row>
    <row r="147" spans="2:11">
      <c r="B147" s="2638" t="s">
        <v>2643</v>
      </c>
    </row>
    <row r="148" spans="2:11">
      <c r="B148" s="2638"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3" t="s">
        <v>2645</v>
      </c>
      <c r="C1" s="1636" t="s">
        <v>2533</v>
      </c>
      <c r="D1" s="1623"/>
      <c r="E1" s="2658"/>
      <c r="F1" s="2585"/>
      <c r="G1" s="1633" t="s">
        <v>2646</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2332</v>
      </c>
      <c r="B2" s="1420" t="e">
        <f ca="1">IF(C2="——",ROUND(C49*D3/10000,0),ROUND(C49*D3/10000,0)-D2)</f>
        <v>#DIV/0!</v>
      </c>
      <c r="C2" s="2587"/>
      <c r="D2" s="1367" t="e">
        <f ca="1">SUMIF(INDIRECT("'"&amp;F2&amp;"'"&amp;"!A:A"),"承租人权益价值",INDIRECT("'"&amp;F2&amp;"'"&amp;"!c:c"))</f>
        <v>#REF!</v>
      </c>
      <c r="E2" s="2588" t="s">
        <v>2333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2334</v>
      </c>
      <c r="B3" s="608" t="e">
        <f ca="1">IF(C2="——",C49,ROUND(B2*10000/D3,0))</f>
        <v>#DIV/0!</v>
      </c>
      <c r="C3" s="400" t="s">
        <v>2647</v>
      </c>
      <c r="D3" s="399">
        <f>IF(D1="",'数据-汇总表'!E3,SUMIF('数据-汇总表'!$C19:$C33,D1,'数据-汇总表'!$E19:$E33))</f>
        <v>65305.219999999972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1" t="s">
        <v>2651</v>
      </c>
      <c r="AC4" s="3172" t="s">
        <v>2652</v>
      </c>
    </row>
    <row r="5" spans="1:29" ht="15">
      <c r="A5" s="404"/>
      <c r="B5" s="405"/>
      <c r="C5" s="3192" t="s">
        <v>2545</v>
      </c>
      <c r="D5" s="3193"/>
      <c r="E5" s="3199" t="s">
        <v>2546</v>
      </c>
      <c r="F5" s="3200"/>
      <c r="G5" s="3192" t="s">
        <v>2547</v>
      </c>
      <c r="H5" s="3193"/>
      <c r="I5" s="3192" t="s">
        <v>2548</v>
      </c>
      <c r="J5" s="3193"/>
      <c r="K5" s="609"/>
      <c r="L5" s="1132"/>
      <c r="M5" s="1133"/>
      <c r="N5" s="1133"/>
      <c r="O5" s="1133"/>
      <c r="P5" s="3180"/>
      <c r="Q5" s="3181"/>
      <c r="R5" s="3186"/>
      <c r="S5" s="3187"/>
      <c r="T5" s="3186"/>
      <c r="U5" s="3187"/>
      <c r="V5" s="3171"/>
      <c r="W5" s="3171"/>
      <c r="X5" s="1815"/>
      <c r="Y5" s="3186"/>
      <c r="Z5" s="3187"/>
      <c r="AA5" s="3173"/>
      <c r="AB5" s="3171"/>
      <c r="AC5" s="3173"/>
    </row>
    <row r="6" spans="1:29" ht="15.75" thickBot="1">
      <c r="A6" s="406"/>
      <c r="B6" s="407"/>
      <c r="C6" s="3190" t="s">
        <v>2549</v>
      </c>
      <c r="D6" s="3191"/>
      <c r="E6" s="3197" t="s">
        <v>2549</v>
      </c>
      <c r="F6" s="3198"/>
      <c r="G6" s="3190" t="s">
        <v>2549</v>
      </c>
      <c r="H6" s="3191"/>
      <c r="I6" s="3190" t="s">
        <v>2549</v>
      </c>
      <c r="J6" s="3191"/>
      <c r="K6" s="609" t="s">
        <v>2550</v>
      </c>
      <c r="L6" s="1132"/>
      <c r="M6" s="1133"/>
      <c r="N6" s="1133"/>
      <c r="O6" s="1133"/>
      <c r="P6" s="3182"/>
      <c r="Q6" s="3183"/>
      <c r="R6" s="3186"/>
      <c r="S6" s="3187"/>
      <c r="T6" s="3188"/>
      <c r="U6" s="3189"/>
      <c r="V6" s="3171"/>
      <c r="W6" s="3171"/>
      <c r="X6" s="1815"/>
      <c r="Y6" s="3188"/>
      <c r="Z6" s="3189"/>
      <c r="AA6" s="3174"/>
      <c r="AB6" s="3171"/>
      <c r="AC6" s="3174"/>
    </row>
    <row r="7" spans="1:29" s="117" customFormat="1" ht="15.75" thickBot="1">
      <c r="A7" s="408" t="s">
        <v>2551</v>
      </c>
      <c r="B7" s="409"/>
      <c r="C7" s="410">
        <f>'数据-取费表'!B2</f>
        <v>43424</v>
      </c>
      <c r="D7" s="411">
        <v>100</v>
      </c>
      <c r="E7" s="412"/>
      <c r="F7" s="413">
        <f>SUMIF(58:58,YEAR(E7)&amp;"-"&amp;MONTH(E7),59:59)</f>
        <v>0</v>
      </c>
      <c r="G7" s="412"/>
      <c r="H7" s="411">
        <f>SUMIF(58:58,YEAR(G7)&amp;"-"&amp;MONTH(G7),59:59)</f>
        <v>0</v>
      </c>
      <c r="I7" s="412"/>
      <c r="J7" s="411">
        <f>SUMIF(58:58,YEAR(I7)&amp;"-"&amp;MONTH(I7),59:59)</f>
        <v>0</v>
      </c>
      <c r="K7" s="610"/>
      <c r="L7" s="1134"/>
      <c r="M7" s="1135"/>
      <c r="N7" s="1135"/>
      <c r="O7" s="1135"/>
      <c r="P7" s="3194" t="s">
        <v>2552</v>
      </c>
      <c r="Q7" s="3196"/>
      <c r="R7" s="769" t="s">
        <v>17</v>
      </c>
      <c r="S7" s="770">
        <f t="shared" ref="S7:S15" si="0">F7</f>
        <v>0</v>
      </c>
      <c r="T7" s="769" t="s">
        <v>17</v>
      </c>
      <c r="U7" s="770">
        <f t="shared" ref="U7:U15" si="1">H7</f>
        <v>0</v>
      </c>
      <c r="V7" s="769" t="s">
        <v>17</v>
      </c>
      <c r="W7" s="770">
        <f t="shared" ref="W7:W15" si="2">J7</f>
        <v>0</v>
      </c>
      <c r="X7" s="771"/>
      <c r="Y7" s="3194" t="s">
        <v>2552</v>
      </c>
      <c r="Z7" s="3195"/>
      <c r="AA7" s="772" t="e">
        <f>D7/F7</f>
        <v>#DIV/0!</v>
      </c>
      <c r="AB7" s="772" t="e">
        <f>D7/H7</f>
        <v>#DIV/0!</v>
      </c>
      <c r="AC7" s="772"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194" t="s">
        <v>2555</v>
      </c>
      <c r="Q8" s="3195"/>
      <c r="R8" s="769" t="s">
        <v>17</v>
      </c>
      <c r="S8" s="770">
        <f t="shared" si="0"/>
        <v>0</v>
      </c>
      <c r="T8" s="769" t="s">
        <v>17</v>
      </c>
      <c r="U8" s="770">
        <f t="shared" si="1"/>
        <v>0</v>
      </c>
      <c r="V8" s="769" t="s">
        <v>17</v>
      </c>
      <c r="W8" s="770">
        <f t="shared" si="2"/>
        <v>0</v>
      </c>
      <c r="X8" s="771"/>
      <c r="Y8" s="3194" t="s">
        <v>2555</v>
      </c>
      <c r="Z8" s="3195"/>
      <c r="AA8" s="772" t="e">
        <f t="shared" ref="AA8:AA46" si="3">D8/F8</f>
        <v>#DIV/0!</v>
      </c>
      <c r="AB8" s="772" t="e">
        <f t="shared" ref="AB8:AB46" si="4">D8/H8</f>
        <v>#DIV/0!</v>
      </c>
      <c r="AC8" s="772"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64"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6" customFormat="1" ht="27">
      <c r="A10" s="420"/>
      <c r="B10" s="421" t="s">
        <v>2560</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64"/>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7"/>
      <c r="B11" s="421" t="s">
        <v>2561</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64"/>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64"/>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64"/>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64"/>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71.25">
      <c r="A15" s="439" t="s">
        <v>2562</v>
      </c>
      <c r="B15" s="69" t="s">
        <v>2656</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7" t="s">
        <v>2563</v>
      </c>
      <c r="Q15" s="1812" t="str">
        <f t="shared" si="6"/>
        <v>商业繁华度</v>
      </c>
      <c r="R15" s="773" t="s">
        <v>17</v>
      </c>
      <c r="S15" s="774">
        <f t="shared" si="0"/>
        <v>100</v>
      </c>
      <c r="T15" s="773" t="s">
        <v>17</v>
      </c>
      <c r="U15" s="774">
        <f t="shared" si="1"/>
        <v>100</v>
      </c>
      <c r="V15" s="773" t="s">
        <v>17</v>
      </c>
      <c r="W15" s="774">
        <f t="shared" si="2"/>
        <v>100</v>
      </c>
      <c r="X15" s="1815"/>
      <c r="Y15" s="3167" t="s">
        <v>2563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8"/>
      <c r="Q16" s="1812"/>
      <c r="R16" s="773"/>
      <c r="S16" s="774"/>
      <c r="T16" s="773"/>
      <c r="U16" s="774"/>
      <c r="V16" s="773"/>
      <c r="W16" s="774"/>
      <c r="X16" s="1815"/>
      <c r="Y16" s="3168"/>
      <c r="Z16" s="1816"/>
      <c r="AA16" s="1813">
        <v>1</v>
      </c>
      <c r="AB16" s="1813">
        <v>1</v>
      </c>
      <c r="AC16" s="1813">
        <v>1</v>
      </c>
    </row>
    <row r="17" spans="1:29" ht="85.5">
      <c r="A17" s="427"/>
      <c r="B17" s="450" t="s">
        <v>2100</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38"/>
      <c r="Q18" s="1812"/>
      <c r="R18" s="773"/>
      <c r="S18" s="774"/>
      <c r="T18" s="773"/>
      <c r="U18" s="774"/>
      <c r="V18" s="773"/>
      <c r="W18" s="774"/>
      <c r="X18" s="1815"/>
      <c r="Y18" s="3168"/>
      <c r="Z18" s="1816"/>
      <c r="AA18" s="1813">
        <v>1</v>
      </c>
      <c r="AB18" s="1813">
        <v>1</v>
      </c>
      <c r="AC18" s="1813">
        <v>1</v>
      </c>
    </row>
    <row r="19" spans="1:29" ht="42.75">
      <c r="A19" s="427"/>
      <c r="B19" s="450" t="s">
        <v>2657</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8"/>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38"/>
      <c r="Q20" s="1812"/>
      <c r="R20" s="773"/>
      <c r="S20" s="774"/>
      <c r="T20" s="773"/>
      <c r="U20" s="774"/>
      <c r="V20" s="773"/>
      <c r="W20" s="774"/>
      <c r="X20" s="1815"/>
      <c r="Y20" s="3168"/>
      <c r="Z20" s="1816"/>
      <c r="AA20" s="1813">
        <v>1</v>
      </c>
      <c r="AB20" s="1813">
        <v>1</v>
      </c>
      <c r="AC20" s="1813">
        <v>1</v>
      </c>
    </row>
    <row r="21" spans="1:29" ht="28.5">
      <c r="A21" s="427"/>
      <c r="B21" s="1386" t="s">
        <v>2658</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38"/>
      <c r="Q22" s="1812"/>
      <c r="R22" s="773"/>
      <c r="S22" s="774"/>
      <c r="T22" s="773"/>
      <c r="U22" s="774"/>
      <c r="V22" s="773"/>
      <c r="W22" s="774"/>
      <c r="X22" s="1815"/>
      <c r="Y22" s="3168"/>
      <c r="Z22" s="1816"/>
      <c r="AA22" s="1813">
        <v>1</v>
      </c>
      <c r="AB22" s="1813">
        <v>1</v>
      </c>
      <c r="AC22" s="1813">
        <v>1</v>
      </c>
    </row>
    <row r="23" spans="1:29" ht="57">
      <c r="A23" s="427"/>
      <c r="B23" s="450" t="s">
        <v>2105</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8"/>
      <c r="Q23" s="1812" t="str">
        <f>B23</f>
        <v>自然及人文环境</v>
      </c>
      <c r="R23" s="773" t="s">
        <v>17</v>
      </c>
      <c r="S23" s="774">
        <f>F23</f>
        <v>100</v>
      </c>
      <c r="T23" s="773" t="s">
        <v>17</v>
      </c>
      <c r="U23" s="774">
        <f>H23</f>
        <v>100</v>
      </c>
      <c r="V23" s="773" t="s">
        <v>17</v>
      </c>
      <c r="W23" s="774">
        <f>J23</f>
        <v>100</v>
      </c>
      <c r="X23" s="1815"/>
      <c r="Y23" s="3168"/>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38"/>
      <c r="Q24" s="1812"/>
      <c r="R24" s="773"/>
      <c r="S24" s="774"/>
      <c r="T24" s="773"/>
      <c r="U24" s="774"/>
      <c r="V24" s="773"/>
      <c r="W24" s="774"/>
      <c r="X24" s="1815"/>
      <c r="Y24" s="3168"/>
      <c r="Z24" s="1816"/>
      <c r="AA24" s="1813">
        <v>1</v>
      </c>
      <c r="AB24" s="1813">
        <v>1</v>
      </c>
      <c r="AC24" s="1813">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8"/>
      <c r="Q25" s="1812" t="str">
        <f t="shared" ref="Q25:Q46" si="11">B25</f>
        <v>临街状况</v>
      </c>
      <c r="R25" s="773" t="s">
        <v>17</v>
      </c>
      <c r="S25" s="774">
        <f>F25</f>
        <v>100</v>
      </c>
      <c r="T25" s="773" t="s">
        <v>17</v>
      </c>
      <c r="U25" s="774">
        <f>H25</f>
        <v>100</v>
      </c>
      <c r="V25" s="773" t="s">
        <v>17</v>
      </c>
      <c r="W25" s="774">
        <f>J25</f>
        <v>100</v>
      </c>
      <c r="X25" s="1815"/>
      <c r="Y25" s="3168"/>
      <c r="Z25" s="1816" t="str">
        <f>Q25</f>
        <v>临街状况</v>
      </c>
      <c r="AA25" s="1813">
        <f t="shared" si="3"/>
        <v>1</v>
      </c>
      <c r="AB25" s="1813">
        <f t="shared" si="4"/>
        <v>1</v>
      </c>
      <c r="AC25" s="1813">
        <f t="shared" si="5"/>
        <v>1</v>
      </c>
    </row>
    <row r="26" spans="1:29" ht="15">
      <c r="A26" s="427"/>
      <c r="B26" s="1388" t="s">
        <v>2660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8"/>
      <c r="Q26" s="1812" t="str">
        <f t="shared" si="11"/>
        <v>平面位置/可视性</v>
      </c>
      <c r="R26" s="773" t="s">
        <v>17</v>
      </c>
      <c r="S26" s="774">
        <f>F26</f>
        <v>100</v>
      </c>
      <c r="T26" s="773" t="s">
        <v>17</v>
      </c>
      <c r="U26" s="774">
        <f>H26</f>
        <v>100</v>
      </c>
      <c r="V26" s="773" t="s">
        <v>17</v>
      </c>
      <c r="W26" s="774">
        <f>J26</f>
        <v>100</v>
      </c>
      <c r="X26" s="1815"/>
      <c r="Y26" s="3168"/>
      <c r="Z26" s="1816" t="str">
        <f>Q26</f>
        <v>平面位置/可视性</v>
      </c>
      <c r="AA26" s="1813">
        <f t="shared" si="3"/>
        <v>1</v>
      </c>
      <c r="AB26" s="1813">
        <f t="shared" si="4"/>
        <v>1</v>
      </c>
      <c r="AC26" s="1813">
        <f t="shared" si="5"/>
        <v>1</v>
      </c>
    </row>
    <row r="27" spans="1:29" s="117" customFormat="1" ht="15">
      <c r="A27" s="430"/>
      <c r="B27" s="450" t="s">
        <v>2661</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38"/>
      <c r="Q27" s="1797" t="str">
        <f t="shared" si="11"/>
        <v>人流量</v>
      </c>
      <c r="R27" s="769" t="s">
        <v>17</v>
      </c>
      <c r="S27" s="770">
        <f>F27</f>
        <v>100</v>
      </c>
      <c r="T27" s="769" t="s">
        <v>17</v>
      </c>
      <c r="U27" s="770">
        <f>H27</f>
        <v>100</v>
      </c>
      <c r="V27" s="769" t="s">
        <v>17</v>
      </c>
      <c r="W27" s="770">
        <f>J27</f>
        <v>100</v>
      </c>
      <c r="X27" s="771"/>
      <c r="Y27" s="3168"/>
      <c r="Z27" s="55" t="str">
        <f>Q27</f>
        <v>人流量</v>
      </c>
      <c r="AA27" s="1813">
        <f>D27/F27</f>
        <v>1</v>
      </c>
      <c r="AB27" s="1813">
        <f>D27/H27</f>
        <v>1</v>
      </c>
      <c r="AC27" s="1813">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8"/>
      <c r="Q29" s="1812">
        <f t="shared" si="11"/>
        <v>111</v>
      </c>
      <c r="R29" s="773" t="s">
        <v>17</v>
      </c>
      <c r="S29" s="774">
        <f t="shared" si="12"/>
        <v>100</v>
      </c>
      <c r="T29" s="773" t="s">
        <v>17</v>
      </c>
      <c r="U29" s="774">
        <f t="shared" si="13"/>
        <v>100</v>
      </c>
      <c r="V29" s="773" t="s">
        <v>17</v>
      </c>
      <c r="W29" s="774">
        <f t="shared" si="14"/>
        <v>100</v>
      </c>
      <c r="X29" s="1815"/>
      <c r="Y29" s="316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8"/>
      <c r="Q30" s="1812">
        <f t="shared" si="11"/>
        <v>111</v>
      </c>
      <c r="R30" s="773" t="s">
        <v>17</v>
      </c>
      <c r="S30" s="774">
        <f t="shared" si="12"/>
        <v>100</v>
      </c>
      <c r="T30" s="773" t="s">
        <v>17</v>
      </c>
      <c r="U30" s="774">
        <f t="shared" si="13"/>
        <v>100</v>
      </c>
      <c r="V30" s="773" t="s">
        <v>17</v>
      </c>
      <c r="W30" s="774">
        <f t="shared" si="14"/>
        <v>100</v>
      </c>
      <c r="X30" s="1815"/>
      <c r="Y30" s="316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8"/>
      <c r="Q31" s="1812">
        <f t="shared" si="11"/>
        <v>111</v>
      </c>
      <c r="R31" s="773" t="s">
        <v>17</v>
      </c>
      <c r="S31" s="774">
        <f t="shared" si="12"/>
        <v>100</v>
      </c>
      <c r="T31" s="773" t="s">
        <v>17</v>
      </c>
      <c r="U31" s="774">
        <f t="shared" si="13"/>
        <v>100</v>
      </c>
      <c r="V31" s="773" t="s">
        <v>17</v>
      </c>
      <c r="W31" s="774">
        <f t="shared" si="14"/>
        <v>100</v>
      </c>
      <c r="X31" s="1815"/>
      <c r="Y31" s="3168"/>
      <c r="Z31" s="1816">
        <f t="shared" si="15"/>
        <v>111</v>
      </c>
      <c r="AA31" s="1813">
        <f t="shared" si="3"/>
        <v>1</v>
      </c>
      <c r="AB31" s="1813">
        <f t="shared" si="4"/>
        <v>1</v>
      </c>
      <c r="AC31" s="1813">
        <f t="shared" si="5"/>
        <v>1</v>
      </c>
    </row>
    <row r="32" spans="1:29" ht="15">
      <c r="A32" s="439" t="s">
        <v>2566</v>
      </c>
      <c r="B32" s="71" t="s">
        <v>2663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33" t="s">
        <v>2568</v>
      </c>
      <c r="Q32" s="1812" t="str">
        <f t="shared" si="11"/>
        <v>商业类型</v>
      </c>
      <c r="R32" s="773" t="s">
        <v>17</v>
      </c>
      <c r="S32" s="774">
        <f t="shared" si="12"/>
        <v>100</v>
      </c>
      <c r="T32" s="773" t="s">
        <v>17</v>
      </c>
      <c r="U32" s="774">
        <f t="shared" si="13"/>
        <v>100</v>
      </c>
      <c r="V32" s="773" t="s">
        <v>17</v>
      </c>
      <c r="W32" s="774">
        <f t="shared" si="14"/>
        <v>100</v>
      </c>
      <c r="X32" s="1815"/>
      <c r="Y32" s="3170" t="s">
        <v>2568</v>
      </c>
      <c r="Z32" s="1816" t="str">
        <f t="shared" si="15"/>
        <v>商业类型</v>
      </c>
      <c r="AA32" s="1813">
        <f t="shared" si="3"/>
        <v>1</v>
      </c>
      <c r="AB32" s="1813">
        <f t="shared" si="4"/>
        <v>1</v>
      </c>
      <c r="AC32" s="1813">
        <f t="shared" si="5"/>
        <v>1</v>
      </c>
    </row>
    <row r="33" spans="1:29" s="470" customFormat="1" ht="15">
      <c r="A33" s="467"/>
      <c r="B33" s="421" t="s">
        <v>2569</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34"/>
      <c r="Q33" s="775" t="str">
        <f t="shared" si="11"/>
        <v>项目建筑规模</v>
      </c>
      <c r="R33" s="776" t="s">
        <v>17</v>
      </c>
      <c r="S33" s="777" t="e">
        <f t="shared" si="12"/>
        <v>#N/A</v>
      </c>
      <c r="T33" s="776" t="s">
        <v>17</v>
      </c>
      <c r="U33" s="777" t="e">
        <f t="shared" si="13"/>
        <v>#N/A</v>
      </c>
      <c r="V33" s="776" t="s">
        <v>17</v>
      </c>
      <c r="W33" s="777" t="e">
        <f t="shared" si="14"/>
        <v>#N/A</v>
      </c>
      <c r="X33" s="778"/>
      <c r="Y33" s="3170"/>
      <c r="Z33" s="779" t="str">
        <f t="shared" si="15"/>
        <v>项目建筑规模</v>
      </c>
      <c r="AA33" s="1813" t="e">
        <f t="shared" si="3"/>
        <v>#N/A</v>
      </c>
      <c r="AB33" s="1813" t="e">
        <f t="shared" si="4"/>
        <v>#N/A</v>
      </c>
      <c r="AC33" s="1813" t="e">
        <f t="shared" si="5"/>
        <v>#N/A</v>
      </c>
    </row>
    <row r="34" spans="1:29" ht="15">
      <c r="A34" s="471"/>
      <c r="B34" s="421" t="s">
        <v>2570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34"/>
      <c r="Q34" s="1812" t="str">
        <f t="shared" si="11"/>
        <v>建筑结构</v>
      </c>
      <c r="R34" s="773" t="s">
        <v>17</v>
      </c>
      <c r="S34" s="774">
        <f t="shared" si="12"/>
        <v>100</v>
      </c>
      <c r="T34" s="773" t="s">
        <v>17</v>
      </c>
      <c r="U34" s="774">
        <f t="shared" si="13"/>
        <v>100</v>
      </c>
      <c r="V34" s="773" t="s">
        <v>17</v>
      </c>
      <c r="W34" s="774">
        <f t="shared" si="14"/>
        <v>100</v>
      </c>
      <c r="X34" s="1815"/>
      <c r="Y34" s="3170"/>
      <c r="Z34" s="1816" t="str">
        <f t="shared" si="15"/>
        <v>建筑结构</v>
      </c>
      <c r="AA34" s="1813">
        <f t="shared" si="3"/>
        <v>1</v>
      </c>
      <c r="AB34" s="1813">
        <f t="shared" si="4"/>
        <v>1</v>
      </c>
      <c r="AC34" s="1813">
        <f t="shared" si="5"/>
        <v>1</v>
      </c>
    </row>
    <row r="35" spans="1:29" ht="15">
      <c r="A35" s="471"/>
      <c r="B35" s="421" t="s">
        <v>2664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34"/>
      <c r="Q35" s="1812" t="str">
        <f t="shared" si="11"/>
        <v>公共部分装修</v>
      </c>
      <c r="R35" s="773" t="s">
        <v>17</v>
      </c>
      <c r="S35" s="774">
        <f t="shared" si="12"/>
        <v>100</v>
      </c>
      <c r="T35" s="773" t="s">
        <v>17</v>
      </c>
      <c r="U35" s="774">
        <f t="shared" si="13"/>
        <v>100</v>
      </c>
      <c r="V35" s="773" t="s">
        <v>17</v>
      </c>
      <c r="W35" s="774">
        <f t="shared" si="14"/>
        <v>100</v>
      </c>
      <c r="X35" s="1815"/>
      <c r="Y35" s="3170"/>
      <c r="Z35" s="1816" t="str">
        <f t="shared" si="15"/>
        <v>公共部分装修</v>
      </c>
      <c r="AA35" s="1813">
        <f t="shared" si="3"/>
        <v>1</v>
      </c>
      <c r="AB35" s="1813">
        <f t="shared" si="4"/>
        <v>1</v>
      </c>
      <c r="AC35" s="1813">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4"/>
      <c r="Q36" s="1812" t="str">
        <f t="shared" si="11"/>
        <v>成新度</v>
      </c>
      <c r="R36" s="773" t="s">
        <v>17</v>
      </c>
      <c r="S36" s="774" t="e">
        <f t="shared" si="12"/>
        <v>#N/A</v>
      </c>
      <c r="T36" s="773" t="s">
        <v>17</v>
      </c>
      <c r="U36" s="774" t="e">
        <f t="shared" si="13"/>
        <v>#N/A</v>
      </c>
      <c r="V36" s="773" t="s">
        <v>17</v>
      </c>
      <c r="W36" s="774" t="e">
        <f t="shared" si="14"/>
        <v>#N/A</v>
      </c>
      <c r="X36" s="1815"/>
      <c r="Y36" s="3170"/>
      <c r="Z36" s="1816" t="str">
        <f t="shared" si="15"/>
        <v>成新度</v>
      </c>
      <c r="AA36" s="1813" t="e">
        <f t="shared" si="3"/>
        <v>#N/A</v>
      </c>
      <c r="AB36" s="1813" t="e">
        <f t="shared" si="4"/>
        <v>#N/A</v>
      </c>
      <c r="AC36" s="1813" t="e">
        <f t="shared" si="5"/>
        <v>#N/A</v>
      </c>
    </row>
    <row r="37" spans="1:29" s="117" customFormat="1" ht="15">
      <c r="A37" s="472"/>
      <c r="B37" s="421" t="s">
        <v>2666</v>
      </c>
      <c r="C37" s="2614"/>
      <c r="D37" s="136">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34"/>
      <c r="Q37" s="1797" t="str">
        <f t="shared" si="11"/>
        <v>市政基础设施</v>
      </c>
      <c r="R37" s="769" t="s">
        <v>17</v>
      </c>
      <c r="S37" s="770">
        <f t="shared" si="12"/>
        <v>100</v>
      </c>
      <c r="T37" s="769" t="s">
        <v>17</v>
      </c>
      <c r="U37" s="770">
        <f t="shared" si="13"/>
        <v>100</v>
      </c>
      <c r="V37" s="769" t="s">
        <v>17</v>
      </c>
      <c r="W37" s="770">
        <f t="shared" si="14"/>
        <v>100</v>
      </c>
      <c r="X37" s="771"/>
      <c r="Y37" s="3170"/>
      <c r="Z37" s="55" t="str">
        <f t="shared" si="15"/>
        <v>市政基础设施</v>
      </c>
      <c r="AA37" s="772">
        <f t="shared" si="3"/>
        <v>1</v>
      </c>
      <c r="AB37" s="772">
        <f t="shared" si="4"/>
        <v>1</v>
      </c>
      <c r="AC37" s="772">
        <f t="shared" si="5"/>
        <v>1</v>
      </c>
    </row>
    <row r="38" spans="1:29" ht="15">
      <c r="A38" s="471"/>
      <c r="B38" s="421" t="s">
        <v>2667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34" t="s">
        <v>2568</v>
      </c>
      <c r="Q38" s="1812" t="str">
        <f t="shared" si="11"/>
        <v>业态</v>
      </c>
      <c r="R38" s="773" t="s">
        <v>17</v>
      </c>
      <c r="S38" s="774">
        <f t="shared" si="12"/>
        <v>100</v>
      </c>
      <c r="T38" s="773" t="s">
        <v>17</v>
      </c>
      <c r="U38" s="774">
        <f t="shared" si="13"/>
        <v>100</v>
      </c>
      <c r="V38" s="773" t="s">
        <v>17</v>
      </c>
      <c r="W38" s="774">
        <f t="shared" si="14"/>
        <v>100</v>
      </c>
      <c r="X38" s="1815"/>
      <c r="Y38" s="3170" t="s">
        <v>2568</v>
      </c>
      <c r="Z38" s="1816" t="str">
        <f t="shared" si="15"/>
        <v>业态</v>
      </c>
      <c r="AA38" s="1813">
        <f t="shared" si="3"/>
        <v>1</v>
      </c>
      <c r="AB38" s="1813">
        <f t="shared" si="4"/>
        <v>1</v>
      </c>
      <c r="AC38" s="1813">
        <f t="shared" si="5"/>
        <v>1</v>
      </c>
    </row>
    <row r="39" spans="1:29" ht="15">
      <c r="A39" s="471"/>
      <c r="B39" s="421" t="s">
        <v>2668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34"/>
      <c r="Q39" s="1812" t="str">
        <f t="shared" si="11"/>
        <v>层高</v>
      </c>
      <c r="R39" s="773" t="s">
        <v>17</v>
      </c>
      <c r="S39" s="774">
        <f t="shared" si="12"/>
        <v>100</v>
      </c>
      <c r="T39" s="773" t="s">
        <v>17</v>
      </c>
      <c r="U39" s="774">
        <f t="shared" si="13"/>
        <v>100</v>
      </c>
      <c r="V39" s="773" t="s">
        <v>17</v>
      </c>
      <c r="W39" s="774">
        <f t="shared" si="14"/>
        <v>100</v>
      </c>
      <c r="X39" s="1815"/>
      <c r="Y39" s="3170"/>
      <c r="Z39" s="1816" t="str">
        <f t="shared" si="15"/>
        <v>层高</v>
      </c>
      <c r="AA39" s="1813">
        <f t="shared" si="3"/>
        <v>1</v>
      </c>
      <c r="AB39" s="1813">
        <f t="shared" si="4"/>
        <v>1</v>
      </c>
      <c r="AC39" s="1813">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4"/>
      <c r="Q40" s="1812" t="str">
        <f t="shared" si="11"/>
        <v>单套建筑面积</v>
      </c>
      <c r="R40" s="773" t="s">
        <v>17</v>
      </c>
      <c r="S40" s="774">
        <f t="shared" si="12"/>
        <v>100</v>
      </c>
      <c r="T40" s="773" t="s">
        <v>17</v>
      </c>
      <c r="U40" s="774">
        <f t="shared" si="13"/>
        <v>100</v>
      </c>
      <c r="V40" s="773" t="s">
        <v>17</v>
      </c>
      <c r="W40" s="774">
        <f t="shared" si="14"/>
        <v>100</v>
      </c>
      <c r="X40" s="1815"/>
      <c r="Y40" s="3170"/>
      <c r="Z40" s="1816" t="str">
        <f t="shared" si="15"/>
        <v>单套建筑面积</v>
      </c>
      <c r="AA40" s="1813">
        <f t="shared" si="3"/>
        <v>1</v>
      </c>
      <c r="AB40" s="1813">
        <f t="shared" si="4"/>
        <v>1</v>
      </c>
      <c r="AC40" s="1813">
        <f t="shared" si="5"/>
        <v>1</v>
      </c>
    </row>
    <row r="41" spans="1:29" s="470" customFormat="1" ht="15">
      <c r="A41" s="467"/>
      <c r="B41" s="1814"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170"/>
      <c r="Z41" s="779" t="str">
        <f t="shared" si="15"/>
        <v>进深比</v>
      </c>
      <c r="AA41" s="1813">
        <f t="shared" si="3"/>
        <v>1</v>
      </c>
      <c r="AB41" s="1813">
        <f t="shared" si="4"/>
        <v>1</v>
      </c>
      <c r="AC41" s="1813">
        <f t="shared" si="5"/>
        <v>1</v>
      </c>
    </row>
    <row r="42" spans="1:29" ht="15">
      <c r="A42" s="471"/>
      <c r="B42" s="421" t="s">
        <v>2671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34"/>
      <c r="Q42" s="1812" t="str">
        <f t="shared" si="11"/>
        <v>内部装修</v>
      </c>
      <c r="R42" s="773" t="s">
        <v>17</v>
      </c>
      <c r="S42" s="774">
        <f t="shared" si="12"/>
        <v>100</v>
      </c>
      <c r="T42" s="773" t="s">
        <v>17</v>
      </c>
      <c r="U42" s="774">
        <f t="shared" si="13"/>
        <v>100</v>
      </c>
      <c r="V42" s="773" t="s">
        <v>17</v>
      </c>
      <c r="W42" s="774">
        <f t="shared" si="14"/>
        <v>100</v>
      </c>
      <c r="X42" s="1815"/>
      <c r="Y42" s="3170"/>
      <c r="Z42" s="1816" t="str">
        <f t="shared" si="15"/>
        <v>内部装修</v>
      </c>
      <c r="AA42" s="1813">
        <f t="shared" si="3"/>
        <v>1</v>
      </c>
      <c r="AB42" s="1813">
        <f t="shared" si="4"/>
        <v>1</v>
      </c>
      <c r="AC42" s="1813">
        <f t="shared" si="5"/>
        <v>1</v>
      </c>
    </row>
    <row r="43" spans="1:29" ht="15">
      <c r="A43" s="471"/>
      <c r="B43" s="421" t="s">
        <v>2579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34"/>
      <c r="Q43" s="1812" t="str">
        <f t="shared" si="11"/>
        <v>内部装修维护情况</v>
      </c>
      <c r="R43" s="773" t="s">
        <v>17</v>
      </c>
      <c r="S43" s="774">
        <f t="shared" si="12"/>
        <v>100</v>
      </c>
      <c r="T43" s="773" t="s">
        <v>17</v>
      </c>
      <c r="U43" s="774">
        <f t="shared" si="13"/>
        <v>100</v>
      </c>
      <c r="V43" s="773" t="s">
        <v>17</v>
      </c>
      <c r="W43" s="774">
        <f t="shared" si="14"/>
        <v>100</v>
      </c>
      <c r="X43" s="1815"/>
      <c r="Y43" s="3170"/>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34"/>
      <c r="Q44" s="1797">
        <f t="shared" si="11"/>
        <v>111</v>
      </c>
      <c r="R44" s="769" t="s">
        <v>17</v>
      </c>
      <c r="S44" s="770">
        <f t="shared" si="12"/>
        <v>100</v>
      </c>
      <c r="T44" s="769" t="s">
        <v>17</v>
      </c>
      <c r="U44" s="770">
        <f t="shared" si="13"/>
        <v>100</v>
      </c>
      <c r="V44" s="769" t="s">
        <v>17</v>
      </c>
      <c r="W44" s="770">
        <f t="shared" si="14"/>
        <v>100</v>
      </c>
      <c r="X44" s="771"/>
      <c r="Y44" s="317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4"/>
      <c r="Q45" s="1812">
        <f t="shared" si="11"/>
        <v>111</v>
      </c>
      <c r="R45" s="773" t="s">
        <v>17</v>
      </c>
      <c r="S45" s="774">
        <f t="shared" si="12"/>
        <v>100</v>
      </c>
      <c r="T45" s="773" t="s">
        <v>17</v>
      </c>
      <c r="U45" s="774">
        <f t="shared" si="13"/>
        <v>100</v>
      </c>
      <c r="V45" s="773" t="s">
        <v>17</v>
      </c>
      <c r="W45" s="774">
        <f t="shared" si="14"/>
        <v>100</v>
      </c>
      <c r="X45" s="1815"/>
      <c r="Y45" s="3170"/>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5"/>
      <c r="Q46" s="1812">
        <f t="shared" si="11"/>
        <v>111</v>
      </c>
      <c r="R46" s="773" t="s">
        <v>17</v>
      </c>
      <c r="S46" s="774">
        <f t="shared" si="12"/>
        <v>100</v>
      </c>
      <c r="T46" s="773" t="s">
        <v>17</v>
      </c>
      <c r="U46" s="774">
        <f t="shared" si="13"/>
        <v>100</v>
      </c>
      <c r="V46" s="773" t="s">
        <v>17</v>
      </c>
      <c r="W46" s="774">
        <f t="shared" si="14"/>
        <v>100</v>
      </c>
      <c r="X46" s="1815"/>
      <c r="Y46" s="3236"/>
      <c r="Z46" s="1816">
        <f t="shared" si="15"/>
        <v>111</v>
      </c>
      <c r="AA46" s="1813">
        <f t="shared" si="3"/>
        <v>1</v>
      </c>
      <c r="AB46" s="1813">
        <f t="shared" si="4"/>
        <v>1</v>
      </c>
      <c r="AC46" s="1813">
        <f t="shared" si="5"/>
        <v>1</v>
      </c>
    </row>
    <row r="47" spans="1:29" ht="15">
      <c r="A47" s="478" t="s">
        <v>2580</v>
      </c>
      <c r="B47" s="479"/>
      <c r="C47" s="1409" t="s">
        <v>1</v>
      </c>
      <c r="D47" s="1410"/>
      <c r="E47" s="1411"/>
      <c r="F47" s="1412"/>
      <c r="G47" s="1413"/>
      <c r="H47" s="1414"/>
      <c r="I47" s="1411"/>
      <c r="J47" s="1414"/>
      <c r="K47" s="782"/>
      <c r="L47" s="1145"/>
      <c r="M47" s="1146"/>
      <c r="N47" s="1133"/>
      <c r="O47" s="1146"/>
      <c r="P47" s="3165" t="str">
        <f>A47</f>
        <v>成交单价（元/平方米）</v>
      </c>
      <c r="Q47" s="3165"/>
      <c r="R47" s="3171">
        <f>E47</f>
        <v>0</v>
      </c>
      <c r="S47" s="3171"/>
      <c r="T47" s="3171">
        <f>G47</f>
        <v>0</v>
      </c>
      <c r="U47" s="3171"/>
      <c r="V47" s="3171">
        <f>I47</f>
        <v>0</v>
      </c>
      <c r="W47" s="3171"/>
      <c r="X47" s="758"/>
      <c r="Y47" s="780"/>
      <c r="Z47" s="758"/>
      <c r="AA47" s="758"/>
      <c r="AB47" s="758"/>
      <c r="AC47" s="758"/>
    </row>
    <row r="48" spans="1:29" ht="15.75" thickBot="1">
      <c r="A48" s="485" t="s">
        <v>2672</v>
      </c>
      <c r="B48" s="486"/>
      <c r="C48" s="1415" t="e">
        <f>R49</f>
        <v>#DIV/0!</v>
      </c>
      <c r="D48" s="1416"/>
      <c r="E48" s="1417" t="e">
        <f>R48</f>
        <v>#DIV/0!</v>
      </c>
      <c r="F48" s="1417"/>
      <c r="G48" s="1415" t="e">
        <f>T48</f>
        <v>#DIV/0!</v>
      </c>
      <c r="H48" s="1416"/>
      <c r="I48" s="1417" t="e">
        <f>V48</f>
        <v>#DIV/0!</v>
      </c>
      <c r="J48" s="1416"/>
      <c r="K48" s="783"/>
      <c r="L48" s="1145"/>
      <c r="M48" s="1146"/>
      <c r="N48" s="1133"/>
      <c r="O48" s="1146"/>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8"/>
      <c r="Y48" s="758"/>
      <c r="Z48" s="758"/>
      <c r="AA48" s="758"/>
      <c r="AB48" s="758"/>
      <c r="AC48" s="758"/>
    </row>
    <row r="49" spans="1:29" ht="15.75" thickBot="1">
      <c r="A49" s="491" t="s">
        <v>2673</v>
      </c>
      <c r="B49" s="492"/>
      <c r="C49" s="1419" t="e">
        <f>R49</f>
        <v>#DIV/0!</v>
      </c>
      <c r="D49" s="1419"/>
      <c r="E49" s="1419"/>
      <c r="F49" s="1419"/>
      <c r="G49" s="1419"/>
      <c r="H49" s="1419"/>
      <c r="I49" s="1419"/>
      <c r="J49" s="1419"/>
      <c r="K49" s="784"/>
      <c r="L49" s="1145"/>
      <c r="M49" s="1146"/>
      <c r="N49" s="1133"/>
      <c r="O49" s="1146"/>
      <c r="P49" s="3159" t="str">
        <f>A49</f>
        <v>估价对象XX用房的比较价值（楼面单价，元/平方米）</v>
      </c>
      <c r="Q49" s="3160"/>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2551</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2588</v>
      </c>
      <c r="B60" s="515"/>
      <c r="C60" s="516"/>
      <c r="D60" s="517"/>
      <c r="E60" s="517"/>
      <c r="F60" s="517"/>
      <c r="G60" s="517"/>
      <c r="H60" s="517"/>
      <c r="I60" s="517"/>
      <c r="J60" s="517"/>
      <c r="K60" s="517"/>
      <c r="L60" s="517"/>
      <c r="M60" s="518"/>
      <c r="N60" s="517"/>
      <c r="O60" s="518"/>
      <c r="P60" s="2629"/>
      <c r="Q60" s="503"/>
    </row>
    <row r="61" spans="1:29" s="117" customFormat="1" ht="15">
      <c r="A61" s="520" t="s">
        <v>2553</v>
      </c>
      <c r="B61" s="509"/>
      <c r="C61" s="521" t="s">
        <v>2655</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2591</v>
      </c>
      <c r="B63" s="527" t="s">
        <v>2557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2658</v>
      </c>
      <c r="C82" s="659" t="s">
        <v>2678</v>
      </c>
      <c r="D82" s="659" t="s">
        <v>2679</v>
      </c>
      <c r="E82" s="659" t="s">
        <v>2680</v>
      </c>
      <c r="F82" s="659" t="s">
        <v>2681</v>
      </c>
      <c r="G82" s="659" t="s">
        <v>2682</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2683</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2566</v>
      </c>
      <c r="B100" s="527" t="s">
        <v>2684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2617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2619</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2621</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2685</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2686</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2687</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2688</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2623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0" t="s">
        <v>2689</v>
      </c>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IF(C2="——",ROUND(C50*D3/10000,0),ROUND(C50*D3/10000,0)-D2)</f>
        <v>#DIV/0!</v>
      </c>
      <c r="C2" s="2587"/>
      <c r="D2" s="1367" t="e">
        <f ca="1">SUMIF(INDIRECT("'"&amp;F2&amp;"'"&amp;"!A:A"),"承租人权益价值",INDIRECT("'"&amp;F2&amp;"'"&amp;"!c:c"))</f>
        <v>#REF!</v>
      </c>
      <c r="E2" s="2588" t="s">
        <v>2333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8" t="e">
        <f ca="1">IF(C2="——",C50,ROUND(B2*10000/D3,0))</f>
        <v>#DIV/0!</v>
      </c>
      <c r="C3" s="400" t="s">
        <v>2647</v>
      </c>
      <c r="D3" s="399">
        <f>IF(D1="",'数据-汇总表'!E3,SUMIF('数据-汇总表'!$C19:$C33,D1,'数据-汇总表'!$E19:$E33))</f>
        <v>65305.219999999972</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245" t="s">
        <v>2654</v>
      </c>
      <c r="Q4" s="3246"/>
      <c r="R4" s="3249" t="s">
        <v>2650</v>
      </c>
      <c r="S4" s="3250"/>
      <c r="T4" s="3249" t="s">
        <v>2651</v>
      </c>
      <c r="U4" s="3250"/>
      <c r="V4" s="3251" t="s">
        <v>2652</v>
      </c>
      <c r="W4" s="3251"/>
      <c r="X4" s="2671"/>
      <c r="Y4" s="3249" t="s">
        <v>2654</v>
      </c>
      <c r="Z4" s="3250"/>
      <c r="AA4" s="3253" t="s">
        <v>2650</v>
      </c>
      <c r="AB4" s="3253" t="s">
        <v>2651</v>
      </c>
      <c r="AC4" s="3242" t="s">
        <v>2652</v>
      </c>
    </row>
    <row r="5" spans="1:29" ht="15">
      <c r="A5" s="404"/>
      <c r="B5" s="405"/>
      <c r="C5" s="3192" t="s">
        <v>2545</v>
      </c>
      <c r="D5" s="3193"/>
      <c r="E5" s="3199" t="s">
        <v>2546</v>
      </c>
      <c r="F5" s="3200"/>
      <c r="G5" s="3192" t="s">
        <v>2547</v>
      </c>
      <c r="H5" s="3193"/>
      <c r="I5" s="3192" t="s">
        <v>2548</v>
      </c>
      <c r="J5" s="3193"/>
      <c r="K5" s="609"/>
      <c r="L5" s="1132"/>
      <c r="M5" s="1133"/>
      <c r="N5" s="1133"/>
      <c r="O5" s="1133"/>
      <c r="P5" s="3247"/>
      <c r="Q5" s="3181"/>
      <c r="R5" s="3186"/>
      <c r="S5" s="3187"/>
      <c r="T5" s="3186"/>
      <c r="U5" s="3187"/>
      <c r="V5" s="3171"/>
      <c r="W5" s="3171"/>
      <c r="X5" s="1815"/>
      <c r="Y5" s="3186"/>
      <c r="Z5" s="3187"/>
      <c r="AA5" s="3173"/>
      <c r="AB5" s="3173"/>
      <c r="AC5" s="3243"/>
    </row>
    <row r="6" spans="1:29" ht="15.75" thickBot="1">
      <c r="A6" s="406"/>
      <c r="B6" s="407"/>
      <c r="C6" s="3190" t="s">
        <v>2549</v>
      </c>
      <c r="D6" s="3191"/>
      <c r="E6" s="3197" t="s">
        <v>2549</v>
      </c>
      <c r="F6" s="3198"/>
      <c r="G6" s="3190" t="s">
        <v>2549</v>
      </c>
      <c r="H6" s="3191"/>
      <c r="I6" s="3190" t="s">
        <v>2549</v>
      </c>
      <c r="J6" s="3191"/>
      <c r="K6" s="609" t="s">
        <v>2550</v>
      </c>
      <c r="L6" s="1132"/>
      <c r="M6" s="1133"/>
      <c r="N6" s="1133"/>
      <c r="O6" s="1133"/>
      <c r="P6" s="3248"/>
      <c r="Q6" s="3183"/>
      <c r="R6" s="3186"/>
      <c r="S6" s="3187"/>
      <c r="T6" s="3188"/>
      <c r="U6" s="3189"/>
      <c r="V6" s="3171"/>
      <c r="W6" s="3171"/>
      <c r="X6" s="1815"/>
      <c r="Y6" s="3188"/>
      <c r="Z6" s="3189"/>
      <c r="AA6" s="3174"/>
      <c r="AB6" s="3174"/>
      <c r="AC6" s="3244"/>
    </row>
    <row r="7" spans="1:29" s="117" customFormat="1" ht="15.75" thickBot="1">
      <c r="A7" s="408" t="s">
        <v>2551</v>
      </c>
      <c r="B7" s="409"/>
      <c r="C7" s="410">
        <f>'数据-取费表'!B2</f>
        <v>43424</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52" t="s">
        <v>2552</v>
      </c>
      <c r="Q7" s="3196"/>
      <c r="R7" s="769" t="s">
        <v>17</v>
      </c>
      <c r="S7" s="770">
        <f t="shared" ref="S7:S15" si="0">F7</f>
        <v>0</v>
      </c>
      <c r="T7" s="769" t="s">
        <v>17</v>
      </c>
      <c r="U7" s="770">
        <f t="shared" ref="U7:U15" si="1">H7</f>
        <v>0</v>
      </c>
      <c r="V7" s="769" t="s">
        <v>17</v>
      </c>
      <c r="W7" s="770">
        <f t="shared" ref="W7:W15" si="2">J7</f>
        <v>0</v>
      </c>
      <c r="X7" s="771"/>
      <c r="Y7" s="3194" t="s">
        <v>2552</v>
      </c>
      <c r="Z7" s="3195"/>
      <c r="AA7" s="772" t="e">
        <f>D7/F7</f>
        <v>#DIV/0!</v>
      </c>
      <c r="AB7" s="772" t="e">
        <f>D7/H7</f>
        <v>#DIV/0!</v>
      </c>
      <c r="AC7" s="2672"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52" t="s">
        <v>2555</v>
      </c>
      <c r="Q8" s="3195"/>
      <c r="R8" s="769" t="s">
        <v>17</v>
      </c>
      <c r="S8" s="770">
        <f t="shared" si="0"/>
        <v>0</v>
      </c>
      <c r="T8" s="769" t="s">
        <v>17</v>
      </c>
      <c r="U8" s="770">
        <f t="shared" si="1"/>
        <v>0</v>
      </c>
      <c r="V8" s="769" t="s">
        <v>17</v>
      </c>
      <c r="W8" s="770">
        <f t="shared" si="2"/>
        <v>0</v>
      </c>
      <c r="X8" s="771"/>
      <c r="Y8" s="3194" t="s">
        <v>2555</v>
      </c>
      <c r="Z8" s="3195"/>
      <c r="AA8" s="772" t="e">
        <f t="shared" ref="AA8:AA47" si="3">D8/F8</f>
        <v>#DIV/0!</v>
      </c>
      <c r="AB8" s="772" t="e">
        <f t="shared" ref="AB8:AB47" si="4">D8/H8</f>
        <v>#DIV/0!</v>
      </c>
      <c r="AC8" s="2672"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64"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2672">
        <f t="shared" si="5"/>
        <v>1</v>
      </c>
    </row>
    <row r="10" spans="1:29" s="426" customFormat="1" ht="27">
      <c r="A10" s="420"/>
      <c r="B10" s="421" t="s">
        <v>2560</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64"/>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2672">
        <f t="shared" si="5"/>
        <v>1</v>
      </c>
    </row>
    <row r="11" spans="1:29" ht="15">
      <c r="A11" s="427"/>
      <c r="B11" s="421" t="s">
        <v>2561</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64"/>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6">
        <f>SUMIF(71:71,E12,72:72)-SUMIF(71:71,C12,72:72)+100</f>
        <v>100</v>
      </c>
      <c r="G12" s="2673"/>
      <c r="H12" s="136">
        <f>SUMIF(71:71,G12,72:72)-SUMIF(71:71,C12,72:72)+100</f>
        <v>100</v>
      </c>
      <c r="I12" s="431"/>
      <c r="J12" s="136">
        <f>SUMIF(71:71,I12,72:72)-SUMIF(71:71,C12,72:72)+100</f>
        <v>100</v>
      </c>
      <c r="K12" s="612"/>
      <c r="L12" s="1134"/>
      <c r="M12" s="1135"/>
      <c r="N12" s="1135"/>
      <c r="O12" s="1135"/>
      <c r="P12" s="3164"/>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2672">
        <f>D12/J12</f>
        <v>1</v>
      </c>
    </row>
    <row r="13" spans="1:29" ht="15">
      <c r="A13" s="427"/>
      <c r="B13" s="2601">
        <v>111</v>
      </c>
      <c r="C13" s="433"/>
      <c r="D13" s="434">
        <v>100</v>
      </c>
      <c r="E13" s="431"/>
      <c r="F13" s="136">
        <f>SUMIF(73:73,E13,74:74)-SUMIF(73:73,C13,74:74)+100</f>
        <v>100</v>
      </c>
      <c r="G13" s="2673"/>
      <c r="H13" s="434">
        <f>SUMIF(73:73,G13,74:74)-SUMIF(73:73,C13,74:74)+100</f>
        <v>100</v>
      </c>
      <c r="I13" s="431"/>
      <c r="J13" s="434">
        <f>SUMIF(73:73,I13,74:74)-SUMIF(73:73,C13,74:74)+100</f>
        <v>100</v>
      </c>
      <c r="K13" s="612"/>
      <c r="L13" s="1142"/>
      <c r="M13" s="1133"/>
      <c r="N13" s="1133"/>
      <c r="O13" s="1133"/>
      <c r="P13" s="3164"/>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64"/>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2672">
        <f t="shared" si="5"/>
        <v>1</v>
      </c>
    </row>
    <row r="15" spans="1:29" ht="71.25">
      <c r="A15" s="439" t="s">
        <v>2562</v>
      </c>
      <c r="B15" s="628" t="s">
        <v>2690</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7" t="s">
        <v>2563</v>
      </c>
      <c r="Q15" s="1812" t="str">
        <f t="shared" si="6"/>
        <v>办公集聚程度</v>
      </c>
      <c r="R15" s="773" t="s">
        <v>17</v>
      </c>
      <c r="S15" s="774">
        <f t="shared" si="0"/>
        <v>100</v>
      </c>
      <c r="T15" s="773" t="s">
        <v>17</v>
      </c>
      <c r="U15" s="774">
        <f t="shared" si="1"/>
        <v>100</v>
      </c>
      <c r="V15" s="773" t="s">
        <v>17</v>
      </c>
      <c r="W15" s="774">
        <f t="shared" si="2"/>
        <v>100</v>
      </c>
      <c r="X15" s="1815"/>
      <c r="Y15" s="3167" t="s">
        <v>2563</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38"/>
      <c r="Q16" s="1812"/>
      <c r="R16" s="773"/>
      <c r="S16" s="774"/>
      <c r="T16" s="773"/>
      <c r="U16" s="774"/>
      <c r="V16" s="773"/>
      <c r="W16" s="774"/>
      <c r="X16" s="1815"/>
      <c r="Y16" s="3168"/>
      <c r="Z16" s="1816"/>
      <c r="AA16" s="1813">
        <v>1</v>
      </c>
      <c r="AB16" s="1813">
        <v>1</v>
      </c>
      <c r="AC16" s="2675">
        <v>1</v>
      </c>
    </row>
    <row r="17" spans="1:29" ht="71.25">
      <c r="A17" s="427"/>
      <c r="B17" s="630" t="s">
        <v>2100</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38"/>
      <c r="Q18" s="1812"/>
      <c r="R18" s="773"/>
      <c r="S18" s="774"/>
      <c r="T18" s="773"/>
      <c r="U18" s="774"/>
      <c r="V18" s="773"/>
      <c r="W18" s="774"/>
      <c r="X18" s="1815"/>
      <c r="Y18" s="3168"/>
      <c r="Z18" s="1816"/>
      <c r="AA18" s="1813">
        <v>1</v>
      </c>
      <c r="AB18" s="1813">
        <v>1</v>
      </c>
      <c r="AC18" s="2675">
        <v>1</v>
      </c>
    </row>
    <row r="19" spans="1:29" ht="42.75">
      <c r="A19" s="427"/>
      <c r="B19" s="630" t="s">
        <v>2691</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8"/>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38"/>
      <c r="Q20" s="1812"/>
      <c r="R20" s="773"/>
      <c r="S20" s="774"/>
      <c r="T20" s="773"/>
      <c r="U20" s="774"/>
      <c r="V20" s="773"/>
      <c r="W20" s="774"/>
      <c r="X20" s="1815"/>
      <c r="Y20" s="3168"/>
      <c r="Z20" s="1816"/>
      <c r="AA20" s="1813">
        <v>1</v>
      </c>
      <c r="AB20" s="1813">
        <v>1</v>
      </c>
      <c r="AC20" s="2675">
        <v>1</v>
      </c>
    </row>
    <row r="21" spans="1:29" ht="28.5">
      <c r="A21" s="427"/>
      <c r="B21" s="632" t="s">
        <v>2692</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38"/>
      <c r="Q22" s="1812"/>
      <c r="R22" s="773"/>
      <c r="S22" s="774"/>
      <c r="T22" s="773"/>
      <c r="U22" s="774"/>
      <c r="V22" s="773"/>
      <c r="W22" s="774"/>
      <c r="X22" s="1815"/>
      <c r="Y22" s="3168"/>
      <c r="Z22" s="1816"/>
      <c r="AA22" s="1813">
        <v>1</v>
      </c>
      <c r="AB22" s="1813">
        <v>1</v>
      </c>
      <c r="AC22" s="2675">
        <v>1</v>
      </c>
    </row>
    <row r="23" spans="1:29" ht="42.75">
      <c r="A23" s="427"/>
      <c r="B23" s="630" t="s">
        <v>2693</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8"/>
      <c r="Q23" s="1812" t="str">
        <f>B23</f>
        <v>环境质量</v>
      </c>
      <c r="R23" s="773" t="s">
        <v>17</v>
      </c>
      <c r="S23" s="774">
        <f>F23</f>
        <v>100</v>
      </c>
      <c r="T23" s="773" t="s">
        <v>17</v>
      </c>
      <c r="U23" s="774">
        <f>H23</f>
        <v>100</v>
      </c>
      <c r="V23" s="773" t="s">
        <v>17</v>
      </c>
      <c r="W23" s="774">
        <f>J23</f>
        <v>100</v>
      </c>
      <c r="X23" s="1815"/>
      <c r="Y23" s="3168"/>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38"/>
      <c r="Q24" s="1812"/>
      <c r="R24" s="773"/>
      <c r="S24" s="774"/>
      <c r="T24" s="773"/>
      <c r="U24" s="774"/>
      <c r="V24" s="773"/>
      <c r="W24" s="774"/>
      <c r="X24" s="1815"/>
      <c r="Y24" s="3168"/>
      <c r="Z24" s="1816"/>
      <c r="AA24" s="1813">
        <v>1</v>
      </c>
      <c r="AB24" s="1813">
        <v>1</v>
      </c>
      <c r="AC24" s="2675">
        <v>1</v>
      </c>
    </row>
    <row r="25" spans="1:29" ht="27">
      <c r="A25" s="404"/>
      <c r="B25" s="630" t="s">
        <v>2694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38"/>
      <c r="Q25" s="1812" t="str">
        <f>B25</f>
        <v>毗邻道路的类型与等级</v>
      </c>
      <c r="R25" s="773" t="s">
        <v>17</v>
      </c>
      <c r="S25" s="774">
        <f>F25</f>
        <v>100</v>
      </c>
      <c r="T25" s="773" t="s">
        <v>17</v>
      </c>
      <c r="U25" s="774">
        <f>H25</f>
        <v>100</v>
      </c>
      <c r="V25" s="773" t="s">
        <v>17</v>
      </c>
      <c r="W25" s="774">
        <f>J25</f>
        <v>100</v>
      </c>
      <c r="X25" s="1815"/>
      <c r="Y25" s="3168"/>
      <c r="Z25" s="1816" t="str">
        <f>Q25</f>
        <v>毗邻道路的类型与等级</v>
      </c>
      <c r="AA25" s="1813">
        <f t="shared" si="3"/>
        <v>1</v>
      </c>
      <c r="AB25" s="1813">
        <f t="shared" si="4"/>
        <v>1</v>
      </c>
      <c r="AC25" s="2675">
        <f t="shared" si="5"/>
        <v>1</v>
      </c>
    </row>
    <row r="26" spans="1:29" ht="15">
      <c r="A26" s="404"/>
      <c r="B26" s="631"/>
      <c r="C26" s="633"/>
      <c r="D26" s="434"/>
      <c r="E26" s="615"/>
      <c r="F26" s="434"/>
      <c r="G26" s="633"/>
      <c r="H26" s="434"/>
      <c r="I26" s="615"/>
      <c r="J26" s="434"/>
      <c r="K26" s="614"/>
      <c r="L26" s="1142"/>
      <c r="M26" s="1133"/>
      <c r="N26" s="1133"/>
      <c r="O26" s="1133"/>
      <c r="P26" s="3238"/>
      <c r="Q26" s="1812"/>
      <c r="R26" s="773"/>
      <c r="S26" s="774"/>
      <c r="T26" s="773"/>
      <c r="U26" s="774"/>
      <c r="V26" s="773"/>
      <c r="W26" s="774"/>
      <c r="X26" s="1815"/>
      <c r="Y26" s="3168"/>
      <c r="Z26" s="1816"/>
      <c r="AA26" s="1813">
        <v>1</v>
      </c>
      <c r="AB26" s="1813">
        <v>1</v>
      </c>
      <c r="AC26" s="2675">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8"/>
      <c r="Q27" s="1812" t="str">
        <f t="shared" ref="Q27:Q47" si="11">B27</f>
        <v>楼层</v>
      </c>
      <c r="R27" s="773" t="s">
        <v>17</v>
      </c>
      <c r="S27" s="774">
        <f>F27</f>
        <v>100</v>
      </c>
      <c r="T27" s="773" t="s">
        <v>17</v>
      </c>
      <c r="U27" s="774">
        <f>H27</f>
        <v>100</v>
      </c>
      <c r="V27" s="773" t="s">
        <v>17</v>
      </c>
      <c r="W27" s="774">
        <f>J27</f>
        <v>100</v>
      </c>
      <c r="X27" s="1815"/>
      <c r="Y27" s="3168"/>
      <c r="Z27" s="1816" t="str">
        <f>Q27</f>
        <v>楼层</v>
      </c>
      <c r="AA27" s="1813">
        <f t="shared" si="3"/>
        <v>1</v>
      </c>
      <c r="AB27" s="1813">
        <f t="shared" si="4"/>
        <v>1</v>
      </c>
      <c r="AC27" s="2675">
        <f t="shared" si="5"/>
        <v>1</v>
      </c>
    </row>
    <row r="28" spans="1:29" s="117" customFormat="1" ht="15">
      <c r="A28" s="430"/>
      <c r="B28" s="630" t="s">
        <v>2695</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38"/>
      <c r="Q28" s="1797" t="str">
        <f t="shared" si="11"/>
        <v>朝向</v>
      </c>
      <c r="R28" s="769" t="s">
        <v>17</v>
      </c>
      <c r="S28" s="770">
        <f>F28</f>
        <v>100</v>
      </c>
      <c r="T28" s="769" t="s">
        <v>17</v>
      </c>
      <c r="U28" s="770">
        <f>H28</f>
        <v>100</v>
      </c>
      <c r="V28" s="769" t="s">
        <v>17</v>
      </c>
      <c r="W28" s="770">
        <f>J28</f>
        <v>100</v>
      </c>
      <c r="X28" s="771"/>
      <c r="Y28" s="3168"/>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38"/>
      <c r="Q29" s="1812">
        <f t="shared" si="11"/>
        <v>111</v>
      </c>
      <c r="R29" s="773" t="s">
        <v>17</v>
      </c>
      <c r="S29" s="774">
        <f t="shared" ref="S29:S47" si="12">F29</f>
        <v>100</v>
      </c>
      <c r="T29" s="773" t="s">
        <v>17</v>
      </c>
      <c r="U29" s="774">
        <f t="shared" ref="U29:U47" si="13">H29</f>
        <v>100</v>
      </c>
      <c r="V29" s="773" t="s">
        <v>17</v>
      </c>
      <c r="W29" s="774">
        <f t="shared" ref="W29:W47" si="14">J29</f>
        <v>100</v>
      </c>
      <c r="X29" s="1815"/>
      <c r="Y29" s="3168"/>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38"/>
      <c r="Q30" s="1812">
        <f t="shared" si="11"/>
        <v>111</v>
      </c>
      <c r="R30" s="773" t="s">
        <v>17</v>
      </c>
      <c r="S30" s="774">
        <f t="shared" si="12"/>
        <v>100</v>
      </c>
      <c r="T30" s="773" t="s">
        <v>17</v>
      </c>
      <c r="U30" s="774">
        <f t="shared" si="13"/>
        <v>100</v>
      </c>
      <c r="V30" s="773" t="s">
        <v>17</v>
      </c>
      <c r="W30" s="774">
        <f t="shared" si="14"/>
        <v>100</v>
      </c>
      <c r="X30" s="1815"/>
      <c r="Y30" s="3168"/>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38"/>
      <c r="Q31" s="1812">
        <f t="shared" si="11"/>
        <v>111</v>
      </c>
      <c r="R31" s="773" t="s">
        <v>17</v>
      </c>
      <c r="S31" s="774">
        <f t="shared" si="12"/>
        <v>100</v>
      </c>
      <c r="T31" s="773" t="s">
        <v>17</v>
      </c>
      <c r="U31" s="774">
        <f t="shared" si="13"/>
        <v>100</v>
      </c>
      <c r="V31" s="773" t="s">
        <v>17</v>
      </c>
      <c r="W31" s="774">
        <f t="shared" si="14"/>
        <v>100</v>
      </c>
      <c r="X31" s="1815"/>
      <c r="Y31" s="3168"/>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38"/>
      <c r="Q32" s="1812">
        <f t="shared" si="11"/>
        <v>111</v>
      </c>
      <c r="R32" s="773" t="s">
        <v>17</v>
      </c>
      <c r="S32" s="774">
        <f t="shared" si="12"/>
        <v>100</v>
      </c>
      <c r="T32" s="773" t="s">
        <v>17</v>
      </c>
      <c r="U32" s="774">
        <f t="shared" si="13"/>
        <v>100</v>
      </c>
      <c r="V32" s="773" t="s">
        <v>17</v>
      </c>
      <c r="W32" s="774">
        <f t="shared" si="14"/>
        <v>100</v>
      </c>
      <c r="X32" s="1815"/>
      <c r="Y32" s="3168"/>
      <c r="Z32" s="1816">
        <f t="shared" si="15"/>
        <v>111</v>
      </c>
      <c r="AA32" s="1813">
        <f t="shared" si="3"/>
        <v>1</v>
      </c>
      <c r="AB32" s="1813">
        <f t="shared" si="4"/>
        <v>1</v>
      </c>
      <c r="AC32" s="2675">
        <f t="shared" si="5"/>
        <v>1</v>
      </c>
    </row>
    <row r="33" spans="1:29" ht="15">
      <c r="A33" s="439" t="s">
        <v>2566</v>
      </c>
      <c r="B33" s="71" t="s">
        <v>2696</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33" t="s">
        <v>2568</v>
      </c>
      <c r="Q33" s="1812" t="str">
        <f t="shared" si="11"/>
        <v>建筑类型</v>
      </c>
      <c r="R33" s="773" t="s">
        <v>17</v>
      </c>
      <c r="S33" s="774">
        <f t="shared" si="12"/>
        <v>100</v>
      </c>
      <c r="T33" s="773" t="s">
        <v>17</v>
      </c>
      <c r="U33" s="774">
        <f t="shared" si="13"/>
        <v>100</v>
      </c>
      <c r="V33" s="773" t="s">
        <v>17</v>
      </c>
      <c r="W33" s="774">
        <f t="shared" si="14"/>
        <v>100</v>
      </c>
      <c r="X33" s="1815"/>
      <c r="Y33" s="3170" t="s">
        <v>2568</v>
      </c>
      <c r="Z33" s="1816" t="str">
        <f t="shared" si="15"/>
        <v>建筑类型</v>
      </c>
      <c r="AA33" s="1813">
        <f t="shared" si="3"/>
        <v>1</v>
      </c>
      <c r="AB33" s="1813">
        <f t="shared" si="4"/>
        <v>1</v>
      </c>
      <c r="AC33" s="2675">
        <f t="shared" si="5"/>
        <v>1</v>
      </c>
    </row>
    <row r="34" spans="1:29" s="470" customFormat="1" ht="15">
      <c r="A34" s="467"/>
      <c r="B34" s="421" t="s">
        <v>2569</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34"/>
      <c r="Q34" s="775" t="str">
        <f t="shared" si="11"/>
        <v>项目建筑规模</v>
      </c>
      <c r="R34" s="776" t="s">
        <v>17</v>
      </c>
      <c r="S34" s="777" t="e">
        <f t="shared" si="12"/>
        <v>#N/A</v>
      </c>
      <c r="T34" s="776" t="s">
        <v>17</v>
      </c>
      <c r="U34" s="777" t="e">
        <f t="shared" si="13"/>
        <v>#N/A</v>
      </c>
      <c r="V34" s="776" t="s">
        <v>17</v>
      </c>
      <c r="W34" s="777" t="e">
        <f t="shared" si="14"/>
        <v>#N/A</v>
      </c>
      <c r="X34" s="778"/>
      <c r="Y34" s="3170"/>
      <c r="Z34" s="779" t="str">
        <f t="shared" si="15"/>
        <v>项目建筑规模</v>
      </c>
      <c r="AA34" s="1813" t="e">
        <f t="shared" si="3"/>
        <v>#N/A</v>
      </c>
      <c r="AB34" s="1813" t="e">
        <f t="shared" si="4"/>
        <v>#N/A</v>
      </c>
      <c r="AC34" s="2675"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4"/>
      <c r="Q35" s="1812" t="str">
        <f t="shared" si="11"/>
        <v>建筑结构</v>
      </c>
      <c r="R35" s="773" t="s">
        <v>17</v>
      </c>
      <c r="S35" s="774">
        <f t="shared" si="12"/>
        <v>100</v>
      </c>
      <c r="T35" s="773" t="s">
        <v>17</v>
      </c>
      <c r="U35" s="774">
        <f t="shared" si="13"/>
        <v>100</v>
      </c>
      <c r="V35" s="773" t="s">
        <v>17</v>
      </c>
      <c r="W35" s="774">
        <f t="shared" si="14"/>
        <v>100</v>
      </c>
      <c r="X35" s="1815"/>
      <c r="Y35" s="3170"/>
      <c r="Z35" s="1816" t="str">
        <f t="shared" si="15"/>
        <v>建筑结构</v>
      </c>
      <c r="AA35" s="1813">
        <f t="shared" si="3"/>
        <v>1</v>
      </c>
      <c r="AB35" s="1813">
        <f t="shared" si="4"/>
        <v>1</v>
      </c>
      <c r="AC35" s="2675">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4"/>
      <c r="Q36" s="1812" t="str">
        <f t="shared" si="11"/>
        <v>公共部分装修</v>
      </c>
      <c r="R36" s="773" t="s">
        <v>17</v>
      </c>
      <c r="S36" s="774">
        <f t="shared" si="12"/>
        <v>100</v>
      </c>
      <c r="T36" s="773" t="s">
        <v>17</v>
      </c>
      <c r="U36" s="774">
        <f t="shared" si="13"/>
        <v>100</v>
      </c>
      <c r="V36" s="773" t="s">
        <v>17</v>
      </c>
      <c r="W36" s="774">
        <f t="shared" si="14"/>
        <v>100</v>
      </c>
      <c r="X36" s="1815"/>
      <c r="Y36" s="3170"/>
      <c r="Z36" s="1816" t="str">
        <f t="shared" si="15"/>
        <v>公共部分装修</v>
      </c>
      <c r="AA36" s="1813">
        <f t="shared" si="3"/>
        <v>1</v>
      </c>
      <c r="AB36" s="1813">
        <f t="shared" si="4"/>
        <v>1</v>
      </c>
      <c r="AC36" s="2675">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4"/>
      <c r="Q37" s="1812" t="str">
        <f t="shared" si="11"/>
        <v>成新度</v>
      </c>
      <c r="R37" s="773" t="s">
        <v>17</v>
      </c>
      <c r="S37" s="774" t="e">
        <f t="shared" si="12"/>
        <v>#N/A</v>
      </c>
      <c r="T37" s="773" t="s">
        <v>17</v>
      </c>
      <c r="U37" s="774" t="e">
        <f t="shared" si="13"/>
        <v>#N/A</v>
      </c>
      <c r="V37" s="773" t="s">
        <v>17</v>
      </c>
      <c r="W37" s="774" t="e">
        <f t="shared" si="14"/>
        <v>#N/A</v>
      </c>
      <c r="X37" s="1815"/>
      <c r="Y37" s="3170"/>
      <c r="Z37" s="1816" t="str">
        <f t="shared" si="15"/>
        <v>成新度</v>
      </c>
      <c r="AA37" s="1813" t="e">
        <f t="shared" si="3"/>
        <v>#N/A</v>
      </c>
      <c r="AB37" s="1813" t="e">
        <f t="shared" si="4"/>
        <v>#N/A</v>
      </c>
      <c r="AC37" s="2675" t="e">
        <f t="shared" si="5"/>
        <v>#N/A</v>
      </c>
    </row>
    <row r="38" spans="1:29" s="117" customFormat="1" ht="15">
      <c r="A38" s="472"/>
      <c r="B38" s="421" t="s">
        <v>2697</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4"/>
      <c r="Q38" s="1797" t="str">
        <f t="shared" si="11"/>
        <v>写字楼等级</v>
      </c>
      <c r="R38" s="769" t="s">
        <v>17</v>
      </c>
      <c r="S38" s="770">
        <f t="shared" si="12"/>
        <v>100</v>
      </c>
      <c r="T38" s="769" t="s">
        <v>17</v>
      </c>
      <c r="U38" s="770">
        <f t="shared" si="13"/>
        <v>100</v>
      </c>
      <c r="V38" s="769" t="s">
        <v>17</v>
      </c>
      <c r="W38" s="770">
        <f t="shared" si="14"/>
        <v>100</v>
      </c>
      <c r="X38" s="771"/>
      <c r="Y38" s="3170"/>
      <c r="Z38" s="55" t="str">
        <f t="shared" si="15"/>
        <v>写字楼等级</v>
      </c>
      <c r="AA38" s="772">
        <f t="shared" si="3"/>
        <v>1</v>
      </c>
      <c r="AB38" s="772">
        <f t="shared" si="4"/>
        <v>1</v>
      </c>
      <c r="AC38" s="2672">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4" t="s">
        <v>2568</v>
      </c>
      <c r="Q39" s="1812" t="str">
        <f t="shared" si="11"/>
        <v>物业管理</v>
      </c>
      <c r="R39" s="773" t="s">
        <v>17</v>
      </c>
      <c r="S39" s="774">
        <f t="shared" si="12"/>
        <v>100</v>
      </c>
      <c r="T39" s="773" t="s">
        <v>17</v>
      </c>
      <c r="U39" s="774">
        <f t="shared" si="13"/>
        <v>100</v>
      </c>
      <c r="V39" s="773" t="s">
        <v>17</v>
      </c>
      <c r="W39" s="774">
        <f t="shared" si="14"/>
        <v>100</v>
      </c>
      <c r="X39" s="1815"/>
      <c r="Y39" s="3170" t="s">
        <v>2568</v>
      </c>
      <c r="Z39" s="1816" t="str">
        <f t="shared" si="15"/>
        <v>物业管理</v>
      </c>
      <c r="AA39" s="1813">
        <f t="shared" si="3"/>
        <v>1</v>
      </c>
      <c r="AB39" s="1813">
        <f t="shared" si="4"/>
        <v>1</v>
      </c>
      <c r="AC39" s="2675">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4"/>
      <c r="Q40" s="1812" t="str">
        <f t="shared" si="11"/>
        <v>市政基础设施</v>
      </c>
      <c r="R40" s="773" t="s">
        <v>17</v>
      </c>
      <c r="S40" s="774">
        <f t="shared" si="12"/>
        <v>100</v>
      </c>
      <c r="T40" s="773" t="s">
        <v>17</v>
      </c>
      <c r="U40" s="774">
        <f t="shared" si="13"/>
        <v>100</v>
      </c>
      <c r="V40" s="773" t="s">
        <v>17</v>
      </c>
      <c r="W40" s="774">
        <f t="shared" si="14"/>
        <v>100</v>
      </c>
      <c r="X40" s="1815"/>
      <c r="Y40" s="3170"/>
      <c r="Z40" s="1816" t="str">
        <f t="shared" si="15"/>
        <v>市政基础设施</v>
      </c>
      <c r="AA40" s="1813">
        <f t="shared" si="3"/>
        <v>1</v>
      </c>
      <c r="AB40" s="1813">
        <f t="shared" si="4"/>
        <v>1</v>
      </c>
      <c r="AC40" s="2675">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4"/>
      <c r="Q41" s="1812" t="str">
        <f t="shared" si="11"/>
        <v>层高</v>
      </c>
      <c r="R41" s="773" t="s">
        <v>17</v>
      </c>
      <c r="S41" s="774">
        <f t="shared" si="12"/>
        <v>100</v>
      </c>
      <c r="T41" s="773" t="s">
        <v>17</v>
      </c>
      <c r="U41" s="774">
        <f t="shared" si="13"/>
        <v>100</v>
      </c>
      <c r="V41" s="773" t="s">
        <v>17</v>
      </c>
      <c r="W41" s="774">
        <f t="shared" si="14"/>
        <v>100</v>
      </c>
      <c r="X41" s="1815"/>
      <c r="Y41" s="3170"/>
      <c r="Z41" s="1816" t="str">
        <f t="shared" si="15"/>
        <v>层高</v>
      </c>
      <c r="AA41" s="1813">
        <f t="shared" si="3"/>
        <v>1</v>
      </c>
      <c r="AB41" s="1813">
        <f t="shared" si="4"/>
        <v>1</v>
      </c>
      <c r="AC41" s="2675">
        <f t="shared" si="5"/>
        <v>1</v>
      </c>
    </row>
    <row r="42" spans="1:29" s="470" customFormat="1" ht="15">
      <c r="A42" s="467"/>
      <c r="B42" s="1814"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4"/>
      <c r="Q42" s="775" t="str">
        <f t="shared" si="11"/>
        <v>单套建筑面积</v>
      </c>
      <c r="R42" s="776" t="s">
        <v>17</v>
      </c>
      <c r="S42" s="777">
        <f t="shared" si="12"/>
        <v>100</v>
      </c>
      <c r="T42" s="776" t="s">
        <v>17</v>
      </c>
      <c r="U42" s="777">
        <f t="shared" si="13"/>
        <v>100</v>
      </c>
      <c r="V42" s="776" t="s">
        <v>17</v>
      </c>
      <c r="W42" s="777">
        <f t="shared" si="14"/>
        <v>100</v>
      </c>
      <c r="X42" s="778"/>
      <c r="Y42" s="3170"/>
      <c r="Z42" s="779" t="str">
        <f t="shared" si="15"/>
        <v>单套建筑面积</v>
      </c>
      <c r="AA42" s="1813">
        <f t="shared" si="3"/>
        <v>1</v>
      </c>
      <c r="AB42" s="1813">
        <f t="shared" si="4"/>
        <v>1</v>
      </c>
      <c r="AC42" s="2675">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4"/>
      <c r="Q43" s="1812" t="str">
        <f t="shared" si="11"/>
        <v>内部装修</v>
      </c>
      <c r="R43" s="773" t="s">
        <v>17</v>
      </c>
      <c r="S43" s="774">
        <f t="shared" si="12"/>
        <v>100</v>
      </c>
      <c r="T43" s="773" t="s">
        <v>17</v>
      </c>
      <c r="U43" s="774">
        <f t="shared" si="13"/>
        <v>100</v>
      </c>
      <c r="V43" s="773" t="s">
        <v>17</v>
      </c>
      <c r="W43" s="774">
        <f t="shared" si="14"/>
        <v>100</v>
      </c>
      <c r="X43" s="1815"/>
      <c r="Y43" s="3170"/>
      <c r="Z43" s="1816" t="str">
        <f t="shared" si="15"/>
        <v>内部装修</v>
      </c>
      <c r="AA43" s="1813">
        <f t="shared" si="3"/>
        <v>1</v>
      </c>
      <c r="AB43" s="1813">
        <f t="shared" si="4"/>
        <v>1</v>
      </c>
      <c r="AC43" s="2675">
        <f t="shared" si="5"/>
        <v>1</v>
      </c>
    </row>
    <row r="44" spans="1:29" ht="15">
      <c r="A44" s="471"/>
      <c r="B44" s="421" t="s">
        <v>2579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34"/>
      <c r="Q44" s="1812" t="str">
        <f t="shared" si="11"/>
        <v>内部装修维护情况</v>
      </c>
      <c r="R44" s="773" t="s">
        <v>17</v>
      </c>
      <c r="S44" s="774">
        <f t="shared" si="12"/>
        <v>100</v>
      </c>
      <c r="T44" s="773" t="s">
        <v>17</v>
      </c>
      <c r="U44" s="774">
        <f t="shared" si="13"/>
        <v>100</v>
      </c>
      <c r="V44" s="773" t="s">
        <v>17</v>
      </c>
      <c r="W44" s="774">
        <f t="shared" si="14"/>
        <v>100</v>
      </c>
      <c r="X44" s="1815"/>
      <c r="Y44" s="3170"/>
      <c r="Z44" s="1816" t="str">
        <f t="shared" si="15"/>
        <v>内部装修维护情况</v>
      </c>
      <c r="AA44" s="1813">
        <f t="shared" si="3"/>
        <v>1</v>
      </c>
      <c r="AB44" s="1813">
        <f t="shared" si="4"/>
        <v>1</v>
      </c>
      <c r="AC44" s="2675">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34"/>
      <c r="Q45" s="1797">
        <f t="shared" si="11"/>
        <v>111</v>
      </c>
      <c r="R45" s="769" t="s">
        <v>17</v>
      </c>
      <c r="S45" s="770">
        <f t="shared" si="12"/>
        <v>100</v>
      </c>
      <c r="T45" s="769" t="s">
        <v>17</v>
      </c>
      <c r="U45" s="770">
        <f t="shared" si="13"/>
        <v>100</v>
      </c>
      <c r="V45" s="769" t="s">
        <v>17</v>
      </c>
      <c r="W45" s="770">
        <f t="shared" si="14"/>
        <v>100</v>
      </c>
      <c r="X45" s="771"/>
      <c r="Y45" s="3170"/>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1812">
        <f t="shared" si="11"/>
        <v>111</v>
      </c>
      <c r="R46" s="773" t="s">
        <v>17</v>
      </c>
      <c r="S46" s="774">
        <f t="shared" si="12"/>
        <v>100</v>
      </c>
      <c r="T46" s="773" t="s">
        <v>17</v>
      </c>
      <c r="U46" s="774">
        <f t="shared" si="13"/>
        <v>100</v>
      </c>
      <c r="V46" s="773" t="s">
        <v>17</v>
      </c>
      <c r="W46" s="774">
        <f t="shared" si="14"/>
        <v>100</v>
      </c>
      <c r="X46" s="1815"/>
      <c r="Y46" s="3170"/>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1812">
        <f t="shared" si="11"/>
        <v>111</v>
      </c>
      <c r="R47" s="773" t="s">
        <v>17</v>
      </c>
      <c r="S47" s="774">
        <f t="shared" si="12"/>
        <v>100</v>
      </c>
      <c r="T47" s="773" t="s">
        <v>17</v>
      </c>
      <c r="U47" s="774">
        <f t="shared" si="13"/>
        <v>100</v>
      </c>
      <c r="V47" s="773" t="s">
        <v>17</v>
      </c>
      <c r="W47" s="774">
        <f t="shared" si="14"/>
        <v>100</v>
      </c>
      <c r="X47" s="1815"/>
      <c r="Y47" s="3236"/>
      <c r="Z47" s="1816">
        <f t="shared" si="15"/>
        <v>111</v>
      </c>
      <c r="AA47" s="1813">
        <f t="shared" si="3"/>
        <v>1</v>
      </c>
      <c r="AB47" s="1813">
        <f t="shared" si="4"/>
        <v>1</v>
      </c>
      <c r="AC47" s="2675">
        <f t="shared" si="5"/>
        <v>1</v>
      </c>
    </row>
    <row r="48" spans="1:29" ht="15">
      <c r="A48" s="478" t="s">
        <v>2580</v>
      </c>
      <c r="B48" s="479"/>
      <c r="C48" s="1409" t="s">
        <v>1</v>
      </c>
      <c r="D48" s="1410"/>
      <c r="E48" s="1411"/>
      <c r="F48" s="1412"/>
      <c r="G48" s="1413"/>
      <c r="H48" s="1414"/>
      <c r="I48" s="1411"/>
      <c r="J48" s="484"/>
      <c r="K48" s="782"/>
      <c r="L48" s="1145"/>
      <c r="M48" s="1133"/>
      <c r="N48" s="1133"/>
      <c r="O48" s="1133"/>
      <c r="P48" s="3164" t="str">
        <f>A48</f>
        <v>成交单价（元/平方米）</v>
      </c>
      <c r="Q48" s="3165"/>
      <c r="R48" s="3232">
        <f>E48</f>
        <v>0</v>
      </c>
      <c r="S48" s="3232"/>
      <c r="T48" s="3232">
        <f>G48</f>
        <v>0</v>
      </c>
      <c r="U48" s="3232"/>
      <c r="V48" s="3232">
        <f>I48</f>
        <v>0</v>
      </c>
      <c r="W48" s="3232"/>
      <c r="X48" s="445"/>
      <c r="Y48" s="780"/>
      <c r="Z48" s="445"/>
      <c r="AA48" s="445"/>
      <c r="AB48" s="445"/>
      <c r="AC48" s="629"/>
    </row>
    <row r="49" spans="1:29" ht="15.75" thickBot="1">
      <c r="A49" s="485" t="s">
        <v>2672</v>
      </c>
      <c r="B49" s="486"/>
      <c r="C49" s="1415" t="e">
        <f>R50</f>
        <v>#DIV/0!</v>
      </c>
      <c r="D49" s="1416"/>
      <c r="E49" s="1417" t="e">
        <f>R49</f>
        <v>#DIV/0!</v>
      </c>
      <c r="F49" s="1417"/>
      <c r="G49" s="1415" t="e">
        <f>T49</f>
        <v>#DIV/0!</v>
      </c>
      <c r="H49" s="1416"/>
      <c r="I49" s="1417" t="e">
        <f>V49</f>
        <v>#DIV/0!</v>
      </c>
      <c r="J49" s="488"/>
      <c r="K49" s="783"/>
      <c r="L49" s="1145"/>
      <c r="M49" s="1133"/>
      <c r="N49" s="1133"/>
      <c r="O49" s="1133"/>
      <c r="P49" s="3164" t="str">
        <f>A49</f>
        <v>比较价值（元/平方米）</v>
      </c>
      <c r="Q49" s="3165"/>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5"/>
      <c r="Y49" s="445"/>
      <c r="Z49" s="445"/>
      <c r="AA49" s="445"/>
      <c r="AB49" s="445"/>
      <c r="AC49" s="629"/>
    </row>
    <row r="50" spans="1:29" ht="15.75" thickBot="1">
      <c r="A50" s="491" t="s">
        <v>2673</v>
      </c>
      <c r="B50" s="492"/>
      <c r="C50" s="1419" t="e">
        <f>R50</f>
        <v>#DIV/0!</v>
      </c>
      <c r="D50" s="1419"/>
      <c r="E50" s="1419"/>
      <c r="F50" s="1419"/>
      <c r="G50" s="1419"/>
      <c r="H50" s="1419"/>
      <c r="I50" s="1419"/>
      <c r="J50" s="493"/>
      <c r="K50" s="784"/>
      <c r="L50" s="1145"/>
      <c r="M50" s="1133"/>
      <c r="N50" s="1133"/>
      <c r="O50" s="1133"/>
      <c r="P50" s="3239" t="str">
        <f>A50</f>
        <v>估价对象XX用房的比较价值（楼面单价，元/平方米）</v>
      </c>
      <c r="Q50" s="3240"/>
      <c r="R50" s="3241" t="e">
        <f>IF(F1="售价",ROUND(AVERAGE(R49:V49),0),ROUND(AVERAGE(R49:V49),1))</f>
        <v>#DIV/0!</v>
      </c>
      <c r="S50" s="3241"/>
      <c r="T50" s="3241"/>
      <c r="U50" s="3241"/>
      <c r="V50" s="3241"/>
      <c r="W50" s="3241"/>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2677</v>
      </c>
      <c r="B58" s="758"/>
      <c r="C58" s="763"/>
      <c r="D58" s="763"/>
      <c r="E58" s="763"/>
      <c r="F58" s="764"/>
      <c r="G58" s="764"/>
      <c r="H58" s="763"/>
      <c r="I58" s="763"/>
      <c r="J58" s="763"/>
      <c r="K58" s="765"/>
      <c r="L58" s="1163"/>
      <c r="M58" s="1161"/>
      <c r="N58" s="1161"/>
      <c r="O58" s="1161"/>
      <c r="P58" s="2682"/>
      <c r="Q58" s="503"/>
    </row>
    <row r="59" spans="1:29" s="507" customFormat="1" ht="15">
      <c r="A59" s="504" t="s">
        <v>2551</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2588</v>
      </c>
      <c r="B61" s="515"/>
      <c r="C61" s="516"/>
      <c r="D61" s="517"/>
      <c r="E61" s="517"/>
      <c r="F61" s="517"/>
      <c r="G61" s="517"/>
      <c r="H61" s="517"/>
      <c r="I61" s="517"/>
      <c r="J61" s="517"/>
      <c r="K61" s="517"/>
      <c r="L61" s="517"/>
      <c r="M61" s="518"/>
      <c r="N61" s="517"/>
      <c r="O61" s="518"/>
      <c r="P61" s="2683"/>
      <c r="Q61" s="503"/>
    </row>
    <row r="62" spans="1:29" s="117" customFormat="1" ht="15">
      <c r="A62" s="520" t="s">
        <v>2553</v>
      </c>
      <c r="B62" s="509"/>
      <c r="C62" s="521" t="s">
        <v>2655</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2591</v>
      </c>
      <c r="B64" s="527" t="s">
        <v>2557</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2692</v>
      </c>
      <c r="C83" s="659" t="s">
        <v>2678</v>
      </c>
      <c r="D83" s="659" t="s">
        <v>2679</v>
      </c>
      <c r="E83" s="659" t="s">
        <v>2680</v>
      </c>
      <c r="F83" s="659" t="s">
        <v>2681</v>
      </c>
      <c r="G83" s="659" t="s">
        <v>2682</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2702</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2566</v>
      </c>
      <c r="B101" s="527" t="s">
        <v>2615</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2617</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2619</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2703</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2620</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2621</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2704</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2687</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2623</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华澳信托：</v>
      </c>
    </row>
    <row r="4" spans="1:1" ht="36">
      <c r="A4" s="1950"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29208.38平方米，建筑面积为65305.2199999999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29208.38平方米，规划建筑面积为65305.2199999999平方米。</v>
      </c>
    </row>
    <row r="11" spans="1:1" ht="76.5">
      <c r="A11" s="1953" t="s">
        <v>1616</v>
      </c>
    </row>
    <row r="12" spans="1:1" ht="18.75">
      <c r="A12" s="1951" t="s">
        <v>1617</v>
      </c>
    </row>
    <row r="13" spans="1:1" ht="38.25" customHeight="1">
      <c r="A13" s="1954"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2018年11月20日（评估专业人员实地查勘之日）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0" t="s">
        <v>2705</v>
      </c>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7"/>
      <c r="D2" s="1126" t="e">
        <f ca="1">SUMIF(INDIRECT("'"&amp;F2&amp;"'"&amp;"!A:A"),"承租人权益价值",INDIRECT("'"&amp;F2&amp;"'"&amp;"!c:c"))</f>
        <v>#REF!</v>
      </c>
      <c r="E2" s="2588" t="s">
        <v>2333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2334</v>
      </c>
      <c r="B3" s="608" t="e">
        <f ca="1">IF(C2="——",C43,ROUND(B2*10000/D3,0))</f>
        <v>#DIV/0!</v>
      </c>
      <c r="C3" s="400" t="s">
        <v>2647</v>
      </c>
      <c r="D3" s="399">
        <f>IF(D1="",'数据-汇总表'!E3,SUMIF('数据-汇总表'!$C19:$C33,D1,'数据-汇总表'!$E19:$E33))</f>
        <v>65305.219999999972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3" t="s">
        <v>2651</v>
      </c>
      <c r="AC4" s="3172" t="s">
        <v>2652</v>
      </c>
    </row>
    <row r="5" spans="1:29" ht="15">
      <c r="A5" s="404"/>
      <c r="B5" s="405"/>
      <c r="C5" s="3192" t="s">
        <v>2545</v>
      </c>
      <c r="D5" s="3193"/>
      <c r="E5" s="3199" t="s">
        <v>2546</v>
      </c>
      <c r="F5" s="3200"/>
      <c r="G5" s="3192" t="s">
        <v>2547</v>
      </c>
      <c r="H5" s="3193"/>
      <c r="I5" s="3192" t="s">
        <v>2548</v>
      </c>
      <c r="J5" s="3193"/>
      <c r="K5" s="609"/>
      <c r="L5" s="1132"/>
      <c r="M5" s="1133"/>
      <c r="N5" s="1133"/>
      <c r="O5" s="1133"/>
      <c r="P5" s="3180"/>
      <c r="Q5" s="3181"/>
      <c r="R5" s="3186"/>
      <c r="S5" s="3187"/>
      <c r="T5" s="3186"/>
      <c r="U5" s="3187"/>
      <c r="V5" s="3171"/>
      <c r="W5" s="3171"/>
      <c r="X5" s="1815"/>
      <c r="Y5" s="3186"/>
      <c r="Z5" s="3187"/>
      <c r="AA5" s="3173"/>
      <c r="AB5" s="3173"/>
      <c r="AC5" s="3173"/>
    </row>
    <row r="6" spans="1:29" ht="15.75" thickBot="1">
      <c r="A6" s="406"/>
      <c r="B6" s="407"/>
      <c r="C6" s="3190" t="s">
        <v>2549</v>
      </c>
      <c r="D6" s="3191"/>
      <c r="E6" s="3197" t="s">
        <v>2549</v>
      </c>
      <c r="F6" s="3198"/>
      <c r="G6" s="3190" t="s">
        <v>2549</v>
      </c>
      <c r="H6" s="3191"/>
      <c r="I6" s="3190" t="s">
        <v>2549</v>
      </c>
      <c r="J6" s="3191"/>
      <c r="K6" s="609" t="s">
        <v>2550</v>
      </c>
      <c r="L6" s="1132"/>
      <c r="M6" s="1133"/>
      <c r="N6" s="1133"/>
      <c r="O6" s="1133"/>
      <c r="P6" s="3182"/>
      <c r="Q6" s="3183"/>
      <c r="R6" s="3186"/>
      <c r="S6" s="3187"/>
      <c r="T6" s="3188"/>
      <c r="U6" s="3189"/>
      <c r="V6" s="3171"/>
      <c r="W6" s="3171"/>
      <c r="X6" s="1815"/>
      <c r="Y6" s="3188"/>
      <c r="Z6" s="3189"/>
      <c r="AA6" s="3174"/>
      <c r="AB6" s="3174"/>
      <c r="AC6" s="3174"/>
    </row>
    <row r="7" spans="1:29" s="117" customFormat="1" ht="15.75" thickBot="1">
      <c r="A7" s="408" t="s">
        <v>2551</v>
      </c>
      <c r="B7" s="409"/>
      <c r="C7" s="410">
        <f>'数据-取费表'!B2</f>
        <v>43424</v>
      </c>
      <c r="D7" s="411">
        <v>100</v>
      </c>
      <c r="E7" s="412"/>
      <c r="F7" s="413">
        <f>SUMIF(52:52,YEAR(E7)&amp;"-"&amp;MONTH(E7),53:53)</f>
        <v>0</v>
      </c>
      <c r="G7" s="412"/>
      <c r="H7" s="411">
        <f>SUMIF(52:52,YEAR(G7)&amp;"-"&amp;MONTH(G7),53:53)</f>
        <v>0</v>
      </c>
      <c r="I7" s="412"/>
      <c r="J7" s="411">
        <f>SUMIF(52:52,YEAR(I7)&amp;"-"&amp;MONTH(I7),53:53)</f>
        <v>0</v>
      </c>
      <c r="K7" s="610"/>
      <c r="L7" s="1134"/>
      <c r="M7" s="1135"/>
      <c r="N7" s="1135"/>
      <c r="O7" s="1135"/>
      <c r="P7" s="3194" t="s">
        <v>2552</v>
      </c>
      <c r="Q7" s="3196"/>
      <c r="R7" s="769" t="s">
        <v>17</v>
      </c>
      <c r="S7" s="770">
        <f t="shared" ref="S7:S15" si="0">F7</f>
        <v>0</v>
      </c>
      <c r="T7" s="769" t="s">
        <v>17</v>
      </c>
      <c r="U7" s="770">
        <f t="shared" ref="U7:U15" si="1">H7</f>
        <v>0</v>
      </c>
      <c r="V7" s="769" t="s">
        <v>17</v>
      </c>
      <c r="W7" s="770">
        <f t="shared" ref="W7:W15" si="2">J7</f>
        <v>0</v>
      </c>
      <c r="X7" s="771"/>
      <c r="Y7" s="3194" t="s">
        <v>2552</v>
      </c>
      <c r="Z7" s="3195"/>
      <c r="AA7" s="772" t="e">
        <f>D7/F7</f>
        <v>#DIV/0!</v>
      </c>
      <c r="AB7" s="772" t="e">
        <f>D7/H7</f>
        <v>#DIV/0!</v>
      </c>
      <c r="AC7" s="772"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194" t="s">
        <v>2555</v>
      </c>
      <c r="Q8" s="3195"/>
      <c r="R8" s="769" t="s">
        <v>17</v>
      </c>
      <c r="S8" s="770">
        <f t="shared" si="0"/>
        <v>0</v>
      </c>
      <c r="T8" s="769" t="s">
        <v>17</v>
      </c>
      <c r="U8" s="770">
        <f t="shared" si="1"/>
        <v>0</v>
      </c>
      <c r="V8" s="769" t="s">
        <v>17</v>
      </c>
      <c r="W8" s="770">
        <f t="shared" si="2"/>
        <v>0</v>
      </c>
      <c r="X8" s="771"/>
      <c r="Y8" s="3194" t="s">
        <v>2555</v>
      </c>
      <c r="Z8" s="3195"/>
      <c r="AA8" s="772" t="e">
        <f t="shared" ref="AA8:AA40" si="3">D8/F8</f>
        <v>#DIV/0!</v>
      </c>
      <c r="AB8" s="772" t="e">
        <f t="shared" ref="AB8:AB40" si="4">D8/H8</f>
        <v>#DIV/0!</v>
      </c>
      <c r="AC8" s="772"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65"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6" customFormat="1" ht="27">
      <c r="A10" s="420"/>
      <c r="B10" s="421" t="s">
        <v>2560</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65"/>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7"/>
      <c r="B11" s="421" t="s">
        <v>2561</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65"/>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6">
        <f>SUMIF(64:64,E12,65:65)-SUMIF(64:64,C12,65:65)+100</f>
        <v>100</v>
      </c>
      <c r="G12" s="2693"/>
      <c r="H12" s="136">
        <f>SUMIF(64:64,G12,65:65)-SUMIF(64:64,C12,65:65)+100</f>
        <v>100</v>
      </c>
      <c r="I12" s="468"/>
      <c r="J12" s="136">
        <f>SUMIF(64:64,I12,65:65)-SUMIF(64:64,C12,65:65)+100</f>
        <v>100</v>
      </c>
      <c r="K12" s="612"/>
      <c r="L12" s="1134"/>
      <c r="M12" s="1135"/>
      <c r="N12" s="1135"/>
      <c r="O12" s="1136"/>
      <c r="P12" s="3165"/>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7"/>
      <c r="B13" s="2601">
        <v>111</v>
      </c>
      <c r="C13" s="433"/>
      <c r="D13" s="434">
        <v>100</v>
      </c>
      <c r="E13" s="433"/>
      <c r="F13" s="136">
        <f>SUMIF(66:66,E13,67:67)-SUMIF(66:66,C13,67:67)+100</f>
        <v>100</v>
      </c>
      <c r="G13" s="2693"/>
      <c r="H13" s="434">
        <f>SUMIF(66:66,G13,67:67)-SUMIF(66:66,C13,67:67)+100</f>
        <v>100</v>
      </c>
      <c r="I13" s="468"/>
      <c r="J13" s="434">
        <f>SUMIF(66:66,I13,67:67)-SUMIF(66:66,C13,67:67)+100</f>
        <v>100</v>
      </c>
      <c r="K13" s="612"/>
      <c r="L13" s="1142"/>
      <c r="M13" s="1133"/>
      <c r="N13" s="1133"/>
      <c r="O13" s="1141"/>
      <c r="P13" s="3165"/>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65"/>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57">
      <c r="A15" s="439" t="s">
        <v>2562</v>
      </c>
      <c r="B15" s="69" t="s">
        <v>2706</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7" t="s">
        <v>2563</v>
      </c>
      <c r="Q15" s="1812" t="str">
        <f t="shared" si="6"/>
        <v>产业集聚程度</v>
      </c>
      <c r="R15" s="773" t="s">
        <v>17</v>
      </c>
      <c r="S15" s="774">
        <f t="shared" si="0"/>
        <v>100</v>
      </c>
      <c r="T15" s="773" t="s">
        <v>17</v>
      </c>
      <c r="U15" s="774">
        <f t="shared" si="1"/>
        <v>100</v>
      </c>
      <c r="V15" s="773" t="s">
        <v>17</v>
      </c>
      <c r="W15" s="774">
        <f t="shared" si="2"/>
        <v>100</v>
      </c>
      <c r="X15" s="1815"/>
      <c r="Y15" s="3167" t="s">
        <v>2563</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68"/>
      <c r="Q16" s="1812"/>
      <c r="R16" s="773"/>
      <c r="S16" s="774"/>
      <c r="T16" s="773"/>
      <c r="U16" s="774"/>
      <c r="V16" s="773"/>
      <c r="W16" s="774"/>
      <c r="X16" s="1815"/>
      <c r="Y16" s="3168"/>
      <c r="Z16" s="1816"/>
      <c r="AA16" s="1813">
        <v>1</v>
      </c>
      <c r="AB16" s="1813">
        <v>1</v>
      </c>
      <c r="AC16" s="1813">
        <v>1</v>
      </c>
    </row>
    <row r="17" spans="1:29" ht="85.5">
      <c r="A17" s="427"/>
      <c r="B17" s="450" t="s">
        <v>2100</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68"/>
      <c r="Q18" s="1812"/>
      <c r="R18" s="773"/>
      <c r="S18" s="774"/>
      <c r="T18" s="773"/>
      <c r="U18" s="774"/>
      <c r="V18" s="773"/>
      <c r="W18" s="774"/>
      <c r="X18" s="1815"/>
      <c r="Y18" s="3168"/>
      <c r="Z18" s="1816"/>
      <c r="AA18" s="1813">
        <v>1</v>
      </c>
      <c r="AB18" s="1813">
        <v>1</v>
      </c>
      <c r="AC18" s="1813">
        <v>1</v>
      </c>
    </row>
    <row r="19" spans="1:29" ht="42.75">
      <c r="A19" s="427"/>
      <c r="B19" s="450" t="s">
        <v>2691</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8"/>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68"/>
      <c r="Q20" s="1812"/>
      <c r="R20" s="773"/>
      <c r="S20" s="774"/>
      <c r="T20" s="773"/>
      <c r="U20" s="774"/>
      <c r="V20" s="773"/>
      <c r="W20" s="774"/>
      <c r="X20" s="1815"/>
      <c r="Y20" s="3168"/>
      <c r="Z20" s="1816"/>
      <c r="AA20" s="1813">
        <v>1</v>
      </c>
      <c r="AB20" s="1813">
        <v>1</v>
      </c>
      <c r="AC20" s="1813">
        <v>1</v>
      </c>
    </row>
    <row r="21" spans="1:29" ht="28.5">
      <c r="A21" s="427"/>
      <c r="B21" s="1386" t="s">
        <v>2692</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8"/>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68"/>
      <c r="Q22" s="1812"/>
      <c r="R22" s="773"/>
      <c r="S22" s="774"/>
      <c r="T22" s="773"/>
      <c r="U22" s="774"/>
      <c r="V22" s="773"/>
      <c r="W22" s="774"/>
      <c r="X22" s="1815"/>
      <c r="Y22" s="3168"/>
      <c r="Z22" s="1816"/>
      <c r="AA22" s="1813">
        <v>1</v>
      </c>
      <c r="AB22" s="1813">
        <v>1</v>
      </c>
      <c r="AC22" s="1813">
        <v>1</v>
      </c>
    </row>
    <row r="23" spans="1:29" ht="71.25">
      <c r="A23" s="427"/>
      <c r="B23" s="450" t="s">
        <v>2693</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8"/>
      <c r="Q23" s="1812" t="str">
        <f>B23</f>
        <v>环境质量</v>
      </c>
      <c r="R23" s="773" t="s">
        <v>17</v>
      </c>
      <c r="S23" s="774">
        <f>F23</f>
        <v>100</v>
      </c>
      <c r="T23" s="773" t="s">
        <v>17</v>
      </c>
      <c r="U23" s="774">
        <f>H23</f>
        <v>100</v>
      </c>
      <c r="V23" s="773" t="s">
        <v>17</v>
      </c>
      <c r="W23" s="774">
        <f>J23</f>
        <v>100</v>
      </c>
      <c r="X23" s="1815"/>
      <c r="Y23" s="3168"/>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68"/>
      <c r="Q24" s="1812"/>
      <c r="R24" s="773"/>
      <c r="S24" s="774"/>
      <c r="T24" s="773"/>
      <c r="U24" s="774"/>
      <c r="V24" s="773"/>
      <c r="W24" s="774"/>
      <c r="X24" s="1815"/>
      <c r="Y24" s="3168"/>
      <c r="Z24" s="1816"/>
      <c r="AA24" s="1813">
        <v>1</v>
      </c>
      <c r="AB24" s="1813">
        <v>1</v>
      </c>
      <c r="AC24" s="1813">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8"/>
      <c r="Q25" s="1812">
        <f>B25</f>
        <v>111</v>
      </c>
      <c r="R25" s="773" t="s">
        <v>17</v>
      </c>
      <c r="S25" s="774">
        <f>F25</f>
        <v>100</v>
      </c>
      <c r="T25" s="773" t="s">
        <v>17</v>
      </c>
      <c r="U25" s="774">
        <f>H25</f>
        <v>100</v>
      </c>
      <c r="V25" s="773" t="s">
        <v>17</v>
      </c>
      <c r="W25" s="774">
        <f>J25</f>
        <v>100</v>
      </c>
      <c r="X25" s="1815"/>
      <c r="Y25" s="316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8"/>
      <c r="Q26" s="1812">
        <f t="shared" ref="Q26:Q40" si="11">B26</f>
        <v>111</v>
      </c>
      <c r="R26" s="773" t="s">
        <v>17</v>
      </c>
      <c r="S26" s="774">
        <f>F26</f>
        <v>100</v>
      </c>
      <c r="T26" s="773" t="s">
        <v>17</v>
      </c>
      <c r="U26" s="774">
        <f>H26</f>
        <v>100</v>
      </c>
      <c r="V26" s="773" t="s">
        <v>17</v>
      </c>
      <c r="W26" s="774">
        <f>J26</f>
        <v>100</v>
      </c>
      <c r="X26" s="1815"/>
      <c r="Y26" s="316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8"/>
      <c r="Q27" s="1797">
        <f t="shared" si="11"/>
        <v>111</v>
      </c>
      <c r="R27" s="769" t="s">
        <v>17</v>
      </c>
      <c r="S27" s="770">
        <f>F27</f>
        <v>100</v>
      </c>
      <c r="T27" s="769" t="s">
        <v>17</v>
      </c>
      <c r="U27" s="770">
        <f>H27</f>
        <v>100</v>
      </c>
      <c r="V27" s="769" t="s">
        <v>17</v>
      </c>
      <c r="W27" s="770">
        <f>J27</f>
        <v>100</v>
      </c>
      <c r="X27" s="771"/>
      <c r="Y27" s="316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8"/>
      <c r="Q28" s="1812">
        <f t="shared" si="11"/>
        <v>111</v>
      </c>
      <c r="R28" s="773" t="s">
        <v>17</v>
      </c>
      <c r="S28" s="774">
        <f t="shared" ref="S28:S40" si="12">F28</f>
        <v>100</v>
      </c>
      <c r="T28" s="773" t="s">
        <v>17</v>
      </c>
      <c r="U28" s="774">
        <f t="shared" ref="U28:U40" si="13">H28</f>
        <v>100</v>
      </c>
      <c r="V28" s="773" t="s">
        <v>17</v>
      </c>
      <c r="W28" s="774">
        <f t="shared" ref="W28:W40" si="14">J28</f>
        <v>100</v>
      </c>
      <c r="X28" s="1815"/>
      <c r="Y28" s="3168"/>
      <c r="Z28" s="1816">
        <f t="shared" ref="Z28:Z40" si="15">Q28</f>
        <v>111</v>
      </c>
      <c r="AA28" s="1813">
        <f t="shared" si="3"/>
        <v>1</v>
      </c>
      <c r="AB28" s="1813">
        <f t="shared" si="4"/>
        <v>1</v>
      </c>
      <c r="AC28" s="1813">
        <f t="shared" si="5"/>
        <v>1</v>
      </c>
    </row>
    <row r="29" spans="1:29" ht="15">
      <c r="A29" s="465" t="s">
        <v>2566</v>
      </c>
      <c r="B29" s="71" t="s">
        <v>2696</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69" t="s">
        <v>2568</v>
      </c>
      <c r="Q29" s="1812" t="str">
        <f t="shared" si="11"/>
        <v>建筑类型</v>
      </c>
      <c r="R29" s="773" t="s">
        <v>17</v>
      </c>
      <c r="S29" s="774">
        <f t="shared" si="12"/>
        <v>100</v>
      </c>
      <c r="T29" s="773" t="s">
        <v>17</v>
      </c>
      <c r="U29" s="774">
        <f t="shared" si="13"/>
        <v>100</v>
      </c>
      <c r="V29" s="773" t="s">
        <v>17</v>
      </c>
      <c r="W29" s="774">
        <f t="shared" si="14"/>
        <v>100</v>
      </c>
      <c r="X29" s="1815"/>
      <c r="Y29" s="3170" t="s">
        <v>2568</v>
      </c>
      <c r="Z29" s="1816" t="str">
        <f t="shared" si="15"/>
        <v>建筑类型</v>
      </c>
      <c r="AA29" s="1813">
        <f t="shared" si="3"/>
        <v>1</v>
      </c>
      <c r="AB29" s="1813">
        <f t="shared" si="4"/>
        <v>1</v>
      </c>
      <c r="AC29" s="1813">
        <f t="shared" si="5"/>
        <v>1</v>
      </c>
    </row>
    <row r="30" spans="1:29" s="470" customFormat="1" ht="15">
      <c r="A30" s="467"/>
      <c r="B30" s="421" t="s">
        <v>2569</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70"/>
      <c r="Q30" s="775" t="str">
        <f t="shared" si="11"/>
        <v>项目建筑规模</v>
      </c>
      <c r="R30" s="776" t="s">
        <v>17</v>
      </c>
      <c r="S30" s="777" t="e">
        <f t="shared" si="12"/>
        <v>#N/A</v>
      </c>
      <c r="T30" s="776" t="s">
        <v>17</v>
      </c>
      <c r="U30" s="777" t="e">
        <f t="shared" si="13"/>
        <v>#N/A</v>
      </c>
      <c r="V30" s="776" t="s">
        <v>17</v>
      </c>
      <c r="W30" s="777" t="e">
        <f t="shared" si="14"/>
        <v>#N/A</v>
      </c>
      <c r="X30" s="778"/>
      <c r="Y30" s="3170"/>
      <c r="Z30" s="779" t="str">
        <f t="shared" si="15"/>
        <v>项目建筑规模</v>
      </c>
      <c r="AA30" s="1813" t="e">
        <f t="shared" si="3"/>
        <v>#N/A</v>
      </c>
      <c r="AB30" s="1813" t="e">
        <f t="shared" si="4"/>
        <v>#N/A</v>
      </c>
      <c r="AC30" s="1813"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0"/>
      <c r="Q31" s="1812" t="str">
        <f t="shared" si="11"/>
        <v>建筑结构</v>
      </c>
      <c r="R31" s="773" t="s">
        <v>17</v>
      </c>
      <c r="S31" s="774">
        <f t="shared" si="12"/>
        <v>100</v>
      </c>
      <c r="T31" s="773" t="s">
        <v>17</v>
      </c>
      <c r="U31" s="774">
        <f t="shared" si="13"/>
        <v>100</v>
      </c>
      <c r="V31" s="773" t="s">
        <v>17</v>
      </c>
      <c r="W31" s="774">
        <f t="shared" si="14"/>
        <v>100</v>
      </c>
      <c r="X31" s="1815"/>
      <c r="Y31" s="3170"/>
      <c r="Z31" s="1816" t="str">
        <f t="shared" si="15"/>
        <v>建筑结构</v>
      </c>
      <c r="AA31" s="1813">
        <f t="shared" si="3"/>
        <v>1</v>
      </c>
      <c r="AB31" s="1813">
        <f t="shared" si="4"/>
        <v>1</v>
      </c>
      <c r="AC31" s="1813">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0"/>
      <c r="Q32" s="1812" t="str">
        <f t="shared" si="11"/>
        <v>公共部分装修</v>
      </c>
      <c r="R32" s="773" t="s">
        <v>17</v>
      </c>
      <c r="S32" s="774">
        <f t="shared" si="12"/>
        <v>100</v>
      </c>
      <c r="T32" s="773" t="s">
        <v>17</v>
      </c>
      <c r="U32" s="774">
        <f t="shared" si="13"/>
        <v>100</v>
      </c>
      <c r="V32" s="773" t="s">
        <v>17</v>
      </c>
      <c r="W32" s="774">
        <f t="shared" si="14"/>
        <v>100</v>
      </c>
      <c r="X32" s="1815"/>
      <c r="Y32" s="3170"/>
      <c r="Z32" s="1816" t="str">
        <f t="shared" si="15"/>
        <v>公共部分装修</v>
      </c>
      <c r="AA32" s="1813">
        <f t="shared" si="3"/>
        <v>1</v>
      </c>
      <c r="AB32" s="1813">
        <f t="shared" si="4"/>
        <v>1</v>
      </c>
      <c r="AC32" s="1813">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0"/>
      <c r="Q33" s="1812" t="str">
        <f t="shared" si="11"/>
        <v>成新度</v>
      </c>
      <c r="R33" s="773" t="s">
        <v>17</v>
      </c>
      <c r="S33" s="774" t="e">
        <f t="shared" si="12"/>
        <v>#N/A</v>
      </c>
      <c r="T33" s="773" t="s">
        <v>17</v>
      </c>
      <c r="U33" s="774" t="e">
        <f t="shared" si="13"/>
        <v>#N/A</v>
      </c>
      <c r="V33" s="773" t="s">
        <v>17</v>
      </c>
      <c r="W33" s="774" t="e">
        <f t="shared" si="14"/>
        <v>#N/A</v>
      </c>
      <c r="X33" s="1815"/>
      <c r="Y33" s="3170"/>
      <c r="Z33" s="1816" t="str">
        <f t="shared" si="15"/>
        <v>成新度</v>
      </c>
      <c r="AA33" s="1813" t="e">
        <f t="shared" si="3"/>
        <v>#N/A</v>
      </c>
      <c r="AB33" s="1813" t="e">
        <f t="shared" si="4"/>
        <v>#N/A</v>
      </c>
      <c r="AC33" s="1813" t="e">
        <f t="shared" si="5"/>
        <v>#N/A</v>
      </c>
    </row>
    <row r="34" spans="1:29" s="117" customFormat="1" ht="15">
      <c r="A34" s="472"/>
      <c r="B34" s="421" t="s">
        <v>2698</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0"/>
      <c r="Q34" s="1797" t="str">
        <f t="shared" si="11"/>
        <v>物业管理</v>
      </c>
      <c r="R34" s="769" t="s">
        <v>17</v>
      </c>
      <c r="S34" s="770">
        <f t="shared" si="12"/>
        <v>100</v>
      </c>
      <c r="T34" s="769" t="s">
        <v>17</v>
      </c>
      <c r="U34" s="770">
        <f t="shared" si="13"/>
        <v>100</v>
      </c>
      <c r="V34" s="769" t="s">
        <v>17</v>
      </c>
      <c r="W34" s="770">
        <f t="shared" si="14"/>
        <v>100</v>
      </c>
      <c r="X34" s="771"/>
      <c r="Y34" s="3170"/>
      <c r="Z34" s="55"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0" t="s">
        <v>2568</v>
      </c>
      <c r="Q35" s="1812" t="str">
        <f t="shared" si="11"/>
        <v>市政基础设施</v>
      </c>
      <c r="R35" s="773" t="s">
        <v>17</v>
      </c>
      <c r="S35" s="774">
        <f t="shared" si="12"/>
        <v>100</v>
      </c>
      <c r="T35" s="773" t="s">
        <v>17</v>
      </c>
      <c r="U35" s="774">
        <f t="shared" si="13"/>
        <v>100</v>
      </c>
      <c r="V35" s="773" t="s">
        <v>17</v>
      </c>
      <c r="W35" s="774">
        <f t="shared" si="14"/>
        <v>100</v>
      </c>
      <c r="X35" s="1815"/>
      <c r="Y35" s="3170" t="s">
        <v>2568</v>
      </c>
      <c r="Z35" s="1816" t="str">
        <f t="shared" si="15"/>
        <v>市政基础设施</v>
      </c>
      <c r="AA35" s="1813">
        <f t="shared" si="3"/>
        <v>1</v>
      </c>
      <c r="AB35" s="1813">
        <f t="shared" si="4"/>
        <v>1</v>
      </c>
      <c r="AC35" s="1813">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0"/>
      <c r="Q36" s="1812" t="str">
        <f t="shared" si="11"/>
        <v>内部装修</v>
      </c>
      <c r="R36" s="773" t="s">
        <v>17</v>
      </c>
      <c r="S36" s="774">
        <f t="shared" si="12"/>
        <v>100</v>
      </c>
      <c r="T36" s="773" t="s">
        <v>17</v>
      </c>
      <c r="U36" s="774">
        <f t="shared" si="13"/>
        <v>100</v>
      </c>
      <c r="V36" s="773" t="s">
        <v>17</v>
      </c>
      <c r="W36" s="774">
        <f t="shared" si="14"/>
        <v>100</v>
      </c>
      <c r="X36" s="1815"/>
      <c r="Y36" s="3170"/>
      <c r="Z36" s="1816" t="str">
        <f t="shared" si="15"/>
        <v>内部装修</v>
      </c>
      <c r="AA36" s="1813">
        <f t="shared" si="3"/>
        <v>1</v>
      </c>
      <c r="AB36" s="1813">
        <f t="shared" si="4"/>
        <v>1</v>
      </c>
      <c r="AC36" s="1813">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0"/>
      <c r="Q37" s="1812" t="str">
        <f t="shared" si="11"/>
        <v>内部装修状况</v>
      </c>
      <c r="R37" s="773" t="s">
        <v>17</v>
      </c>
      <c r="S37" s="774">
        <f t="shared" si="12"/>
        <v>100</v>
      </c>
      <c r="T37" s="773" t="s">
        <v>17</v>
      </c>
      <c r="U37" s="774">
        <f t="shared" si="13"/>
        <v>100</v>
      </c>
      <c r="V37" s="773" t="s">
        <v>17</v>
      </c>
      <c r="W37" s="774">
        <f t="shared" si="14"/>
        <v>100</v>
      </c>
      <c r="X37" s="1815"/>
      <c r="Y37" s="317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0"/>
      <c r="Q38" s="775">
        <f t="shared" si="11"/>
        <v>111</v>
      </c>
      <c r="R38" s="776" t="s">
        <v>17</v>
      </c>
      <c r="S38" s="777">
        <f t="shared" si="12"/>
        <v>100</v>
      </c>
      <c r="T38" s="776" t="s">
        <v>17</v>
      </c>
      <c r="U38" s="777">
        <f t="shared" si="13"/>
        <v>100</v>
      </c>
      <c r="V38" s="776" t="s">
        <v>17</v>
      </c>
      <c r="W38" s="777">
        <f t="shared" si="14"/>
        <v>100</v>
      </c>
      <c r="X38" s="778"/>
      <c r="Y38" s="317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0"/>
      <c r="Q39" s="1812">
        <f t="shared" si="11"/>
        <v>111</v>
      </c>
      <c r="R39" s="773" t="s">
        <v>17</v>
      </c>
      <c r="S39" s="774">
        <f t="shared" si="12"/>
        <v>100</v>
      </c>
      <c r="T39" s="773" t="s">
        <v>17</v>
      </c>
      <c r="U39" s="774">
        <f t="shared" si="13"/>
        <v>100</v>
      </c>
      <c r="V39" s="773" t="s">
        <v>17</v>
      </c>
      <c r="W39" s="774">
        <f t="shared" si="14"/>
        <v>100</v>
      </c>
      <c r="X39" s="1815"/>
      <c r="Y39" s="3170"/>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6"/>
      <c r="Q40" s="1812">
        <f t="shared" si="11"/>
        <v>111</v>
      </c>
      <c r="R40" s="773" t="s">
        <v>17</v>
      </c>
      <c r="S40" s="774">
        <f t="shared" si="12"/>
        <v>100</v>
      </c>
      <c r="T40" s="773" t="s">
        <v>17</v>
      </c>
      <c r="U40" s="774">
        <f t="shared" si="13"/>
        <v>100</v>
      </c>
      <c r="V40" s="773" t="s">
        <v>17</v>
      </c>
      <c r="W40" s="774">
        <f t="shared" si="14"/>
        <v>100</v>
      </c>
      <c r="X40" s="1815"/>
      <c r="Y40" s="3236"/>
      <c r="Z40" s="1816">
        <f t="shared" si="15"/>
        <v>111</v>
      </c>
      <c r="AA40" s="1813">
        <f t="shared" si="3"/>
        <v>1</v>
      </c>
      <c r="AB40" s="1813">
        <f t="shared" si="4"/>
        <v>1</v>
      </c>
      <c r="AC40" s="1813">
        <f t="shared" si="5"/>
        <v>1</v>
      </c>
    </row>
    <row r="41" spans="1:29" ht="15">
      <c r="A41" s="478" t="s">
        <v>2580</v>
      </c>
      <c r="B41" s="479"/>
      <c r="C41" s="1409" t="s">
        <v>1</v>
      </c>
      <c r="D41" s="1410"/>
      <c r="E41" s="1411"/>
      <c r="F41" s="1412"/>
      <c r="G41" s="1413"/>
      <c r="H41" s="1414"/>
      <c r="I41" s="1411"/>
      <c r="J41" s="1414"/>
      <c r="K41" s="782"/>
      <c r="L41" s="1145"/>
      <c r="M41" s="1146"/>
      <c r="N41" s="1133"/>
      <c r="O41" s="1146"/>
      <c r="P41" s="3165" t="str">
        <f>A41</f>
        <v>成交单价（元/平方米）</v>
      </c>
      <c r="Q41" s="3165"/>
      <c r="R41" s="3232">
        <f>E41</f>
        <v>0</v>
      </c>
      <c r="S41" s="3232"/>
      <c r="T41" s="3232">
        <f>G41</f>
        <v>0</v>
      </c>
      <c r="U41" s="3232"/>
      <c r="V41" s="3232">
        <f>I41</f>
        <v>0</v>
      </c>
      <c r="W41" s="3232"/>
      <c r="X41" s="758"/>
      <c r="Y41" s="780"/>
      <c r="Z41" s="758"/>
      <c r="AA41" s="758"/>
      <c r="AB41" s="758"/>
      <c r="AC41" s="758"/>
    </row>
    <row r="42" spans="1:29" ht="15.75" thickBot="1">
      <c r="A42" s="485" t="s">
        <v>2672</v>
      </c>
      <c r="B42" s="486"/>
      <c r="C42" s="1415" t="e">
        <f>R43</f>
        <v>#DIV/0!</v>
      </c>
      <c r="D42" s="1416"/>
      <c r="E42" s="1417" t="e">
        <f>R42</f>
        <v>#DIV/0!</v>
      </c>
      <c r="F42" s="1417"/>
      <c r="G42" s="1415" t="e">
        <f>T42</f>
        <v>#DIV/0!</v>
      </c>
      <c r="H42" s="1416"/>
      <c r="I42" s="1417" t="e">
        <f>V42</f>
        <v>#DIV/0!</v>
      </c>
      <c r="J42" s="1416"/>
      <c r="K42" s="783"/>
      <c r="L42" s="1145"/>
      <c r="M42" s="1146"/>
      <c r="N42" s="1133"/>
      <c r="O42" s="1146"/>
      <c r="P42" s="3165" t="str">
        <f>A42</f>
        <v>比较价值（元/平方米）</v>
      </c>
      <c r="Q42" s="3165"/>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8"/>
      <c r="Y42" s="758"/>
      <c r="Z42" s="758"/>
      <c r="AA42" s="758"/>
      <c r="AB42" s="758"/>
      <c r="AC42" s="758"/>
    </row>
    <row r="43" spans="1:29" ht="15.75" thickBot="1">
      <c r="A43" s="491" t="s">
        <v>2673</v>
      </c>
      <c r="B43" s="492"/>
      <c r="C43" s="1419" t="e">
        <f>R43</f>
        <v>#DIV/0!</v>
      </c>
      <c r="D43" s="1419"/>
      <c r="E43" s="1419"/>
      <c r="F43" s="1419"/>
      <c r="G43" s="1419"/>
      <c r="H43" s="1419"/>
      <c r="I43" s="1419"/>
      <c r="J43" s="1419"/>
      <c r="K43" s="784"/>
      <c r="L43" s="1145"/>
      <c r="M43" s="1146"/>
      <c r="N43" s="1146"/>
      <c r="O43" s="1146"/>
      <c r="P43" s="3159" t="str">
        <f>A43</f>
        <v>估价对象XX用房的比较价值（楼面单价，元/平方米）</v>
      </c>
      <c r="Q43" s="3160"/>
      <c r="R43" s="3231" t="e">
        <f>IF(F1="售价",ROUND(AVERAGE(R42:V42),0),ROUND(AVERAGE(R42:V42),1))</f>
        <v>#DIV/0!</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2677</v>
      </c>
      <c r="B51" s="758"/>
      <c r="C51" s="763"/>
      <c r="D51" s="763"/>
      <c r="E51" s="763"/>
      <c r="F51" s="764"/>
      <c r="G51" s="764"/>
      <c r="H51" s="763"/>
      <c r="I51" s="763"/>
      <c r="J51" s="763"/>
      <c r="K51" s="1162"/>
      <c r="L51" s="1163"/>
      <c r="M51" s="1161"/>
      <c r="N51" s="1161"/>
      <c r="O51" s="1161"/>
      <c r="P51" s="502"/>
      <c r="Q51" s="503"/>
    </row>
    <row r="52" spans="1:17" s="507" customFormat="1" ht="15">
      <c r="A52" s="504" t="s">
        <v>2551</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2588</v>
      </c>
      <c r="B54" s="515"/>
      <c r="C54" s="516"/>
      <c r="D54" s="517"/>
      <c r="E54" s="517"/>
      <c r="F54" s="517"/>
      <c r="G54" s="517"/>
      <c r="H54" s="517"/>
      <c r="I54" s="517"/>
      <c r="J54" s="517"/>
      <c r="K54" s="517"/>
      <c r="L54" s="517"/>
      <c r="M54" s="518"/>
      <c r="N54" s="517"/>
      <c r="O54" s="519"/>
      <c r="P54" s="503"/>
      <c r="Q54" s="503"/>
    </row>
    <row r="55" spans="1:17" s="117" customFormat="1" ht="15">
      <c r="A55" s="520" t="s">
        <v>2553</v>
      </c>
      <c r="B55" s="509"/>
      <c r="C55" s="521" t="s">
        <v>2655</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2591</v>
      </c>
      <c r="B57" s="527" t="s">
        <v>2557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2566</v>
      </c>
      <c r="B88" s="527" t="s">
        <v>2615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24"/>
      <c r="F1" s="2585"/>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7"/>
      <c r="D2" s="1126" t="e">
        <f ca="1">SUMIF(INDIRECT("'"&amp;F2&amp;"'"&amp;"!A:A"),"承租人权益价值",INDIRECT("'"&amp;F2&amp;"'"&amp;"!c:c"))</f>
        <v>#REF!</v>
      </c>
      <c r="E2" s="2588" t="s">
        <v>2333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2334</v>
      </c>
      <c r="B3" s="608" t="e">
        <f ca="1">IF(AND(C2="——",B37="元/平方米"),C39,ROUND(B2*10000/D3,0))</f>
        <v>#DIV/0!</v>
      </c>
      <c r="C3" s="400" t="s">
        <v>2647</v>
      </c>
      <c r="D3" s="399">
        <f>SUMIF('数据-汇总表'!$C19:$C33,D1,'数据-汇总表'!$E19:$E33)</f>
        <v>0</v>
      </c>
      <c r="E3" s="400" t="s">
        <v>2711</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3" t="s">
        <v>2651</v>
      </c>
      <c r="AC4" s="3172" t="s">
        <v>2652</v>
      </c>
    </row>
    <row r="5" spans="1:29" ht="15">
      <c r="A5" s="404"/>
      <c r="B5" s="405"/>
      <c r="C5" s="3192" t="s">
        <v>2545</v>
      </c>
      <c r="D5" s="3193"/>
      <c r="E5" s="3199" t="s">
        <v>2546</v>
      </c>
      <c r="F5" s="3200"/>
      <c r="G5" s="3192" t="s">
        <v>2547</v>
      </c>
      <c r="H5" s="3193"/>
      <c r="I5" s="3192" t="s">
        <v>2548</v>
      </c>
      <c r="J5" s="3193"/>
      <c r="K5" s="609"/>
      <c r="L5" s="1132"/>
      <c r="M5" s="1133"/>
      <c r="N5" s="1133"/>
      <c r="O5" s="1133"/>
      <c r="P5" s="3180"/>
      <c r="Q5" s="3181"/>
      <c r="R5" s="3186"/>
      <c r="S5" s="3187"/>
      <c r="T5" s="3186"/>
      <c r="U5" s="3187"/>
      <c r="V5" s="3171"/>
      <c r="W5" s="3171"/>
      <c r="X5" s="1815"/>
      <c r="Y5" s="3186"/>
      <c r="Z5" s="3187"/>
      <c r="AA5" s="3173"/>
      <c r="AB5" s="3173"/>
      <c r="AC5" s="3173"/>
    </row>
    <row r="6" spans="1:29" ht="15.75" thickBot="1">
      <c r="A6" s="406"/>
      <c r="B6" s="407"/>
      <c r="C6" s="3190" t="s">
        <v>2549</v>
      </c>
      <c r="D6" s="3191"/>
      <c r="E6" s="3197" t="s">
        <v>2549</v>
      </c>
      <c r="F6" s="3198"/>
      <c r="G6" s="3190" t="s">
        <v>2549</v>
      </c>
      <c r="H6" s="3191"/>
      <c r="I6" s="3190" t="s">
        <v>2549</v>
      </c>
      <c r="J6" s="3191"/>
      <c r="K6" s="609" t="s">
        <v>2550</v>
      </c>
      <c r="L6" s="1132"/>
      <c r="M6" s="1133"/>
      <c r="N6" s="1133"/>
      <c r="O6" s="1133"/>
      <c r="P6" s="3182"/>
      <c r="Q6" s="3183"/>
      <c r="R6" s="3186"/>
      <c r="S6" s="3187"/>
      <c r="T6" s="3188"/>
      <c r="U6" s="3189"/>
      <c r="V6" s="3171"/>
      <c r="W6" s="3171"/>
      <c r="X6" s="1815"/>
      <c r="Y6" s="3188"/>
      <c r="Z6" s="3189"/>
      <c r="AA6" s="3174"/>
      <c r="AB6" s="3174"/>
      <c r="AC6" s="3174"/>
    </row>
    <row r="7" spans="1:29" s="117" customFormat="1" ht="15.75" thickBot="1">
      <c r="A7" s="408" t="s">
        <v>2551</v>
      </c>
      <c r="B7" s="409"/>
      <c r="C7" s="410">
        <f>'数据-取费表'!B2</f>
        <v>43424</v>
      </c>
      <c r="D7" s="411">
        <v>100</v>
      </c>
      <c r="E7" s="412"/>
      <c r="F7" s="413">
        <f>SUMIF(48:48,YEAR(E7)&amp;"-"&amp;MONTH(E7),49:49)</f>
        <v>0</v>
      </c>
      <c r="G7" s="412"/>
      <c r="H7" s="411">
        <f>SUMIF(48:48,YEAR(G7)&amp;"-"&amp;MONTH(G7),49:49)</f>
        <v>0</v>
      </c>
      <c r="I7" s="412"/>
      <c r="J7" s="411">
        <f>SUMIF(48:48,YEAR(I7)&amp;"-"&amp;MONTH(I7),49:49)</f>
        <v>0</v>
      </c>
      <c r="K7" s="610"/>
      <c r="L7" s="1134"/>
      <c r="M7" s="1135"/>
      <c r="N7" s="1135"/>
      <c r="O7" s="1135"/>
      <c r="P7" s="3194" t="s">
        <v>2552</v>
      </c>
      <c r="Q7" s="3196"/>
      <c r="R7" s="769" t="s">
        <v>17</v>
      </c>
      <c r="S7" s="770">
        <f t="shared" ref="S7:S14" si="0">F7</f>
        <v>0</v>
      </c>
      <c r="T7" s="769" t="s">
        <v>17</v>
      </c>
      <c r="U7" s="770">
        <f t="shared" ref="U7:U14" si="1">H7</f>
        <v>0</v>
      </c>
      <c r="V7" s="769" t="s">
        <v>17</v>
      </c>
      <c r="W7" s="770">
        <f t="shared" ref="W7:W14" si="2">J7</f>
        <v>0</v>
      </c>
      <c r="X7" s="771"/>
      <c r="Y7" s="3194" t="s">
        <v>2552</v>
      </c>
      <c r="Z7" s="3195"/>
      <c r="AA7" s="772" t="e">
        <f>D7/F7</f>
        <v>#DIV/0!</v>
      </c>
      <c r="AB7" s="772" t="e">
        <f>D7/H7</f>
        <v>#DIV/0!</v>
      </c>
      <c r="AC7" s="772"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194" t="s">
        <v>2555</v>
      </c>
      <c r="Q8" s="3195"/>
      <c r="R8" s="769" t="s">
        <v>17</v>
      </c>
      <c r="S8" s="770">
        <f t="shared" si="0"/>
        <v>0</v>
      </c>
      <c r="T8" s="769" t="s">
        <v>17</v>
      </c>
      <c r="U8" s="770">
        <f t="shared" si="1"/>
        <v>0</v>
      </c>
      <c r="V8" s="769" t="s">
        <v>17</v>
      </c>
      <c r="W8" s="770">
        <f t="shared" si="2"/>
        <v>0</v>
      </c>
      <c r="X8" s="771"/>
      <c r="Y8" s="3194" t="s">
        <v>2555</v>
      </c>
      <c r="Z8" s="3195"/>
      <c r="AA8" s="772" t="e">
        <f t="shared" ref="AA8:AA36" si="3">D8/F8</f>
        <v>#DIV/0!</v>
      </c>
      <c r="AB8" s="772" t="e">
        <f t="shared" ref="AB8:AB36" si="4">D8/H8</f>
        <v>#DIV/0!</v>
      </c>
      <c r="AC8" s="772" t="e">
        <f t="shared" ref="AC8:AC36" si="5">D8/J8</f>
        <v>#DIV/0!</v>
      </c>
    </row>
    <row r="9" spans="1:29" s="117" customFormat="1">
      <c r="A9" s="68" t="s">
        <v>2556</v>
      </c>
      <c r="B9" s="639" t="s">
        <v>2557</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65" t="s">
        <v>2558</v>
      </c>
      <c r="Q9" s="1797" t="str">
        <f t="shared" ref="Q9:Q14" si="6">B9</f>
        <v>用途</v>
      </c>
      <c r="R9" s="769" t="s">
        <v>17</v>
      </c>
      <c r="S9" s="770">
        <f t="shared" si="0"/>
        <v>100</v>
      </c>
      <c r="T9" s="769" t="s">
        <v>17</v>
      </c>
      <c r="U9" s="770">
        <f t="shared" si="1"/>
        <v>100</v>
      </c>
      <c r="V9" s="769" t="s">
        <v>17</v>
      </c>
      <c r="W9" s="770">
        <f t="shared" si="2"/>
        <v>100</v>
      </c>
      <c r="X9" s="771"/>
      <c r="Y9" s="3016" t="s">
        <v>2559</v>
      </c>
      <c r="Z9" s="55" t="str">
        <f t="shared" ref="Z9:Z14" si="7">Q9</f>
        <v>用途</v>
      </c>
      <c r="AA9" s="772">
        <f t="shared" si="3"/>
        <v>1</v>
      </c>
      <c r="AB9" s="772">
        <f t="shared" si="4"/>
        <v>1</v>
      </c>
      <c r="AC9" s="772">
        <f t="shared" si="5"/>
        <v>1</v>
      </c>
    </row>
    <row r="10" spans="1:29" s="426" customFormat="1" ht="27">
      <c r="A10" s="640"/>
      <c r="B10" s="641" t="s">
        <v>2560</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65"/>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65"/>
      <c r="Q11" s="1797">
        <f t="shared" si="6"/>
        <v>111</v>
      </c>
      <c r="R11" s="769" t="s">
        <v>17</v>
      </c>
      <c r="S11" s="770">
        <f t="shared" si="0"/>
        <v>100</v>
      </c>
      <c r="T11" s="769" t="s">
        <v>17</v>
      </c>
      <c r="U11" s="770">
        <f t="shared" si="1"/>
        <v>100</v>
      </c>
      <c r="V11" s="769" t="s">
        <v>17</v>
      </c>
      <c r="W11" s="770">
        <f t="shared" si="2"/>
        <v>100</v>
      </c>
      <c r="X11" s="771"/>
      <c r="Y11" s="3016"/>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65"/>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65"/>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85.5">
      <c r="A14" s="401" t="s">
        <v>2562</v>
      </c>
      <c r="B14" s="628" t="s">
        <v>2712</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7" t="s">
        <v>2563</v>
      </c>
      <c r="Q14" s="1812" t="str">
        <f t="shared" si="6"/>
        <v>交通便捷度</v>
      </c>
      <c r="R14" s="773" t="s">
        <v>17</v>
      </c>
      <c r="S14" s="774">
        <f t="shared" si="0"/>
        <v>100</v>
      </c>
      <c r="T14" s="773" t="s">
        <v>17</v>
      </c>
      <c r="U14" s="774">
        <f t="shared" si="1"/>
        <v>100</v>
      </c>
      <c r="V14" s="773" t="s">
        <v>17</v>
      </c>
      <c r="W14" s="774">
        <f t="shared" si="2"/>
        <v>100</v>
      </c>
      <c r="X14" s="1815"/>
      <c r="Y14" s="3167" t="s">
        <v>2563</v>
      </c>
      <c r="Z14" s="1816" t="str">
        <f t="shared" si="7"/>
        <v>交通便捷度</v>
      </c>
      <c r="AA14" s="1813">
        <f t="shared" si="3"/>
        <v>1</v>
      </c>
      <c r="AB14" s="1813">
        <f t="shared" si="4"/>
        <v>1</v>
      </c>
      <c r="AC14" s="1813">
        <f t="shared" si="5"/>
        <v>1</v>
      </c>
    </row>
    <row r="15" spans="1:29" ht="15">
      <c r="A15" s="404"/>
      <c r="B15" s="646"/>
      <c r="C15" s="446"/>
      <c r="D15" s="447"/>
      <c r="E15" s="446"/>
      <c r="F15" s="448"/>
      <c r="G15" s="446"/>
      <c r="H15" s="449"/>
      <c r="I15" s="446"/>
      <c r="J15" s="447"/>
      <c r="K15" s="614"/>
      <c r="L15" s="1142"/>
      <c r="M15" s="1133"/>
      <c r="N15" s="1133"/>
      <c r="O15" s="1133"/>
      <c r="P15" s="3168"/>
      <c r="Q15" s="1812"/>
      <c r="R15" s="773"/>
      <c r="S15" s="774"/>
      <c r="T15" s="773"/>
      <c r="U15" s="774"/>
      <c r="V15" s="773"/>
      <c r="W15" s="774"/>
      <c r="X15" s="1815"/>
      <c r="Y15" s="3168"/>
      <c r="Z15" s="1816"/>
      <c r="AA15" s="1813">
        <v>1</v>
      </c>
      <c r="AB15" s="1813">
        <v>1</v>
      </c>
      <c r="AC15" s="1813">
        <v>1</v>
      </c>
    </row>
    <row r="16" spans="1:29" ht="42.75">
      <c r="A16" s="404"/>
      <c r="B16" s="630" t="s">
        <v>2691</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8"/>
      <c r="Q16" s="1812" t="str">
        <f>B16</f>
        <v>公共配套设施</v>
      </c>
      <c r="R16" s="773" t="s">
        <v>17</v>
      </c>
      <c r="S16" s="774">
        <f>F16</f>
        <v>100</v>
      </c>
      <c r="T16" s="773" t="s">
        <v>17</v>
      </c>
      <c r="U16" s="774">
        <f>H16</f>
        <v>100</v>
      </c>
      <c r="V16" s="773" t="s">
        <v>17</v>
      </c>
      <c r="W16" s="774">
        <f>J16</f>
        <v>100</v>
      </c>
      <c r="X16" s="1815"/>
      <c r="Y16" s="3168"/>
      <c r="Z16" s="1816" t="str">
        <f>Q16</f>
        <v>公共配套设施</v>
      </c>
      <c r="AA16" s="1813">
        <f t="shared" si="3"/>
        <v>1</v>
      </c>
      <c r="AB16" s="1813">
        <f t="shared" si="4"/>
        <v>1</v>
      </c>
      <c r="AC16" s="1813">
        <f t="shared" si="5"/>
        <v>1</v>
      </c>
    </row>
    <row r="17" spans="1:29" ht="15">
      <c r="A17" s="404"/>
      <c r="B17" s="631"/>
      <c r="C17" s="2609"/>
      <c r="D17" s="447"/>
      <c r="E17" s="446"/>
      <c r="F17" s="448"/>
      <c r="G17" s="446"/>
      <c r="H17" s="447"/>
      <c r="I17" s="446"/>
      <c r="J17" s="447"/>
      <c r="K17" s="614"/>
      <c r="L17" s="1142"/>
      <c r="M17" s="1133"/>
      <c r="N17" s="1133"/>
      <c r="O17" s="1133"/>
      <c r="P17" s="3168"/>
      <c r="Q17" s="1812"/>
      <c r="R17" s="773"/>
      <c r="S17" s="774"/>
      <c r="T17" s="773"/>
      <c r="U17" s="774"/>
      <c r="V17" s="773"/>
      <c r="W17" s="774"/>
      <c r="X17" s="1815"/>
      <c r="Y17" s="3168"/>
      <c r="Z17" s="1816"/>
      <c r="AA17" s="1813">
        <v>1</v>
      </c>
      <c r="AB17" s="1813">
        <v>1</v>
      </c>
      <c r="AC17" s="1813">
        <v>1</v>
      </c>
    </row>
    <row r="18" spans="1:29" ht="28.5">
      <c r="A18" s="404"/>
      <c r="B18" s="632" t="s">
        <v>2692</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8"/>
      <c r="Q18" s="1812" t="str">
        <f>B18</f>
        <v>基础设施水平</v>
      </c>
      <c r="R18" s="773" t="s">
        <v>17</v>
      </c>
      <c r="S18" s="774">
        <f>F18</f>
        <v>100</v>
      </c>
      <c r="T18" s="773" t="s">
        <v>17</v>
      </c>
      <c r="U18" s="774">
        <f>H18</f>
        <v>100</v>
      </c>
      <c r="V18" s="773" t="s">
        <v>17</v>
      </c>
      <c r="W18" s="774">
        <f>J18</f>
        <v>100</v>
      </c>
      <c r="X18" s="1815"/>
      <c r="Y18" s="3168"/>
      <c r="Z18" s="1816" t="str">
        <f>Q18</f>
        <v>基础设施水平</v>
      </c>
      <c r="AA18" s="1813">
        <f t="shared" ref="AA18" si="8">D18/F18</f>
        <v>1</v>
      </c>
      <c r="AB18" s="1813">
        <f t="shared" ref="AB18" si="9">D18/H18</f>
        <v>1</v>
      </c>
      <c r="AC18" s="1813">
        <f t="shared" ref="AC18" si="10">D18/J18</f>
        <v>1</v>
      </c>
    </row>
    <row r="19" spans="1:29" ht="15">
      <c r="A19" s="404"/>
      <c r="B19" s="632"/>
      <c r="C19" s="2609"/>
      <c r="D19" s="449"/>
      <c r="E19" s="2609"/>
      <c r="F19" s="452"/>
      <c r="G19" s="2609"/>
      <c r="H19" s="447"/>
      <c r="I19" s="446"/>
      <c r="J19" s="447"/>
      <c r="K19" s="1385"/>
      <c r="L19" s="1142"/>
      <c r="M19" s="1133"/>
      <c r="N19" s="1133"/>
      <c r="O19" s="1133"/>
      <c r="P19" s="3168"/>
      <c r="Q19" s="1812"/>
      <c r="R19" s="773"/>
      <c r="S19" s="774"/>
      <c r="T19" s="773"/>
      <c r="U19" s="774"/>
      <c r="V19" s="773"/>
      <c r="W19" s="774"/>
      <c r="X19" s="1815"/>
      <c r="Y19" s="3168"/>
      <c r="Z19" s="1816"/>
      <c r="AA19" s="1813">
        <v>1</v>
      </c>
      <c r="AB19" s="1813">
        <v>1</v>
      </c>
      <c r="AC19" s="1813">
        <v>1</v>
      </c>
    </row>
    <row r="20" spans="1:29" ht="57">
      <c r="A20" s="404"/>
      <c r="B20" s="630" t="s">
        <v>2713</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8"/>
      <c r="Q20" s="1812" t="str">
        <f>B20</f>
        <v>自然及人文环境</v>
      </c>
      <c r="R20" s="773" t="s">
        <v>17</v>
      </c>
      <c r="S20" s="774">
        <f>F20</f>
        <v>100</v>
      </c>
      <c r="T20" s="773" t="s">
        <v>17</v>
      </c>
      <c r="U20" s="774">
        <f>H20</f>
        <v>100</v>
      </c>
      <c r="V20" s="773" t="s">
        <v>17</v>
      </c>
      <c r="W20" s="774">
        <f>J20</f>
        <v>100</v>
      </c>
      <c r="X20" s="1815"/>
      <c r="Y20" s="3168"/>
      <c r="Z20" s="1816" t="str">
        <f>Q20</f>
        <v>自然及人文环境</v>
      </c>
      <c r="AA20" s="1813">
        <f t="shared" si="3"/>
        <v>1</v>
      </c>
      <c r="AB20" s="1813">
        <f t="shared" si="4"/>
        <v>1</v>
      </c>
      <c r="AC20" s="1813">
        <f t="shared" si="5"/>
        <v>1</v>
      </c>
    </row>
    <row r="21" spans="1:29" ht="15">
      <c r="A21" s="404"/>
      <c r="B21" s="631"/>
      <c r="C21" s="446"/>
      <c r="D21" s="447"/>
      <c r="E21" s="446"/>
      <c r="F21" s="448"/>
      <c r="G21" s="446"/>
      <c r="H21" s="447"/>
      <c r="I21" s="446"/>
      <c r="J21" s="447"/>
      <c r="K21" s="614"/>
      <c r="L21" s="1142"/>
      <c r="M21" s="1133"/>
      <c r="N21" s="1133"/>
      <c r="O21" s="1133"/>
      <c r="P21" s="3168"/>
      <c r="Q21" s="1812"/>
      <c r="R21" s="773"/>
      <c r="S21" s="774"/>
      <c r="T21" s="773"/>
      <c r="U21" s="774"/>
      <c r="V21" s="773"/>
      <c r="W21" s="774"/>
      <c r="X21" s="1815"/>
      <c r="Y21" s="3168"/>
      <c r="Z21" s="1816"/>
      <c r="AA21" s="1813">
        <v>1</v>
      </c>
      <c r="AB21" s="1813">
        <v>1</v>
      </c>
      <c r="AC21" s="1813">
        <v>1</v>
      </c>
    </row>
    <row r="22" spans="1:29" ht="15">
      <c r="A22" s="404"/>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8"/>
      <c r="Q22" s="1812" t="str">
        <f>B22</f>
        <v>楼层</v>
      </c>
      <c r="R22" s="773" t="s">
        <v>17</v>
      </c>
      <c r="S22" s="774">
        <f>F22</f>
        <v>100</v>
      </c>
      <c r="T22" s="773" t="s">
        <v>17</v>
      </c>
      <c r="U22" s="774">
        <f>H22</f>
        <v>100</v>
      </c>
      <c r="V22" s="773" t="s">
        <v>17</v>
      </c>
      <c r="W22" s="774">
        <f>J22</f>
        <v>100</v>
      </c>
      <c r="X22" s="1815"/>
      <c r="Y22" s="3168"/>
      <c r="Z22" s="1816" t="str">
        <f>Q22</f>
        <v>楼层</v>
      </c>
      <c r="AA22" s="1813">
        <f t="shared" si="3"/>
        <v>1</v>
      </c>
      <c r="AB22" s="1813">
        <f t="shared" si="4"/>
        <v>1</v>
      </c>
      <c r="AC22" s="1813">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8"/>
      <c r="Q23" s="1812">
        <f>B23</f>
        <v>111</v>
      </c>
      <c r="R23" s="773" t="s">
        <v>17</v>
      </c>
      <c r="S23" s="774">
        <f>F23</f>
        <v>100</v>
      </c>
      <c r="T23" s="773" t="s">
        <v>17</v>
      </c>
      <c r="U23" s="774">
        <f>H23</f>
        <v>100</v>
      </c>
      <c r="V23" s="773" t="s">
        <v>17</v>
      </c>
      <c r="W23" s="774">
        <f>J23</f>
        <v>100</v>
      </c>
      <c r="X23" s="1815"/>
      <c r="Y23" s="3168"/>
      <c r="Z23" s="1816">
        <f>Q23</f>
        <v>111</v>
      </c>
      <c r="AA23" s="1813">
        <f t="shared" si="3"/>
        <v>1</v>
      </c>
      <c r="AB23" s="1813">
        <f t="shared" si="4"/>
        <v>1</v>
      </c>
      <c r="AC23" s="1813">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8"/>
      <c r="Q24" s="1812">
        <f t="shared" ref="Q24:Q36" si="11">B24</f>
        <v>111</v>
      </c>
      <c r="R24" s="773" t="s">
        <v>17</v>
      </c>
      <c r="S24" s="774">
        <f>F24</f>
        <v>100</v>
      </c>
      <c r="T24" s="773" t="s">
        <v>17</v>
      </c>
      <c r="U24" s="774">
        <f>H24</f>
        <v>100</v>
      </c>
      <c r="V24" s="773" t="s">
        <v>17</v>
      </c>
      <c r="W24" s="774">
        <f>J24</f>
        <v>100</v>
      </c>
      <c r="X24" s="1815"/>
      <c r="Y24" s="316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8"/>
      <c r="Q25" s="1797">
        <f t="shared" si="11"/>
        <v>111</v>
      </c>
      <c r="R25" s="769" t="s">
        <v>17</v>
      </c>
      <c r="S25" s="770">
        <f>F25</f>
        <v>100</v>
      </c>
      <c r="T25" s="769" t="s">
        <v>17</v>
      </c>
      <c r="U25" s="770">
        <f>H25</f>
        <v>100</v>
      </c>
      <c r="V25" s="769" t="s">
        <v>17</v>
      </c>
      <c r="W25" s="770">
        <f>J25</f>
        <v>100</v>
      </c>
      <c r="X25" s="771"/>
      <c r="Y25" s="3168"/>
      <c r="Z25" s="55">
        <f>Q25</f>
        <v>111</v>
      </c>
      <c r="AA25" s="1813">
        <f>D25/F25</f>
        <v>1</v>
      </c>
      <c r="AB25" s="1813">
        <f>D25/H25</f>
        <v>1</v>
      </c>
      <c r="AC25" s="1813">
        <f>D25/J25</f>
        <v>1</v>
      </c>
    </row>
    <row r="26" spans="1:29" ht="15">
      <c r="A26" s="651" t="s">
        <v>2566</v>
      </c>
      <c r="B26" s="70" t="s">
        <v>2715</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69"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0" t="s">
        <v>2568</v>
      </c>
      <c r="Z26" s="1816" t="str">
        <f t="shared" ref="Z26:Z36" si="15">Q26</f>
        <v>配套类型</v>
      </c>
      <c r="AA26" s="1813">
        <f t="shared" si="3"/>
        <v>1</v>
      </c>
      <c r="AB26" s="1813">
        <f t="shared" si="4"/>
        <v>1</v>
      </c>
      <c r="AC26" s="1813">
        <f t="shared" si="5"/>
        <v>1</v>
      </c>
    </row>
    <row r="27" spans="1:29" s="470" customFormat="1" ht="15">
      <c r="A27" s="652"/>
      <c r="B27" s="653" t="s">
        <v>2716</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0"/>
      <c r="Q27" s="775" t="str">
        <f t="shared" si="11"/>
        <v>项目停车位配比</v>
      </c>
      <c r="R27" s="776" t="s">
        <v>17</v>
      </c>
      <c r="S27" s="777">
        <f t="shared" si="12"/>
        <v>100</v>
      </c>
      <c r="T27" s="776" t="s">
        <v>17</v>
      </c>
      <c r="U27" s="777">
        <f t="shared" si="13"/>
        <v>100</v>
      </c>
      <c r="V27" s="776" t="s">
        <v>17</v>
      </c>
      <c r="W27" s="777">
        <f t="shared" si="14"/>
        <v>100</v>
      </c>
      <c r="X27" s="778"/>
      <c r="Y27" s="3170"/>
      <c r="Z27" s="779" t="str">
        <f t="shared" si="15"/>
        <v>项目停车位配比</v>
      </c>
      <c r="AA27" s="1813">
        <f t="shared" si="3"/>
        <v>1</v>
      </c>
      <c r="AB27" s="1813">
        <f t="shared" si="4"/>
        <v>1</v>
      </c>
      <c r="AC27" s="1813">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0"/>
      <c r="Q28" s="1812" t="str">
        <f t="shared" si="11"/>
        <v>公共部分装修</v>
      </c>
      <c r="R28" s="773" t="s">
        <v>17</v>
      </c>
      <c r="S28" s="774">
        <f t="shared" si="12"/>
        <v>100</v>
      </c>
      <c r="T28" s="773" t="s">
        <v>17</v>
      </c>
      <c r="U28" s="774">
        <f t="shared" si="13"/>
        <v>100</v>
      </c>
      <c r="V28" s="773" t="s">
        <v>17</v>
      </c>
      <c r="W28" s="774">
        <f t="shared" si="14"/>
        <v>100</v>
      </c>
      <c r="X28" s="1815"/>
      <c r="Y28" s="3170"/>
      <c r="Z28" s="1816" t="str">
        <f t="shared" si="15"/>
        <v>公共部分装修</v>
      </c>
      <c r="AA28" s="1813">
        <f t="shared" si="3"/>
        <v>1</v>
      </c>
      <c r="AB28" s="1813">
        <f t="shared" si="4"/>
        <v>1</v>
      </c>
      <c r="AC28" s="1813">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0"/>
      <c r="Q29" s="1812" t="str">
        <f t="shared" si="11"/>
        <v>成新率</v>
      </c>
      <c r="R29" s="773" t="s">
        <v>17</v>
      </c>
      <c r="S29" s="774" t="e">
        <f t="shared" si="12"/>
        <v>#N/A</v>
      </c>
      <c r="T29" s="773" t="s">
        <v>17</v>
      </c>
      <c r="U29" s="774" t="e">
        <f t="shared" si="13"/>
        <v>#N/A</v>
      </c>
      <c r="V29" s="773" t="s">
        <v>17</v>
      </c>
      <c r="W29" s="774" t="e">
        <f t="shared" si="14"/>
        <v>#N/A</v>
      </c>
      <c r="X29" s="1815"/>
      <c r="Y29" s="3170"/>
      <c r="Z29" s="1816" t="str">
        <f t="shared" si="15"/>
        <v>成新率</v>
      </c>
      <c r="AA29" s="1813" t="e">
        <f t="shared" si="3"/>
        <v>#N/A</v>
      </c>
      <c r="AB29" s="1813" t="e">
        <f t="shared" si="4"/>
        <v>#N/A</v>
      </c>
      <c r="AC29" s="1813"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0"/>
      <c r="Q30" s="1812" t="str">
        <f t="shared" si="11"/>
        <v>物业等级</v>
      </c>
      <c r="R30" s="773" t="s">
        <v>17</v>
      </c>
      <c r="S30" s="774">
        <f t="shared" si="12"/>
        <v>100</v>
      </c>
      <c r="T30" s="773" t="s">
        <v>17</v>
      </c>
      <c r="U30" s="774">
        <f t="shared" si="13"/>
        <v>100</v>
      </c>
      <c r="V30" s="773" t="s">
        <v>17</v>
      </c>
      <c r="W30" s="774">
        <f t="shared" si="14"/>
        <v>100</v>
      </c>
      <c r="X30" s="1815"/>
      <c r="Y30" s="3170"/>
      <c r="Z30" s="1816" t="str">
        <f t="shared" si="15"/>
        <v>物业等级</v>
      </c>
      <c r="AA30" s="1813">
        <f t="shared" si="3"/>
        <v>1</v>
      </c>
      <c r="AB30" s="1813">
        <f t="shared" si="4"/>
        <v>1</v>
      </c>
      <c r="AC30" s="1813">
        <f t="shared" si="5"/>
        <v>1</v>
      </c>
    </row>
    <row r="31" spans="1:29" s="117" customFormat="1" ht="15">
      <c r="A31" s="657"/>
      <c r="B31" s="653" t="s">
        <v>2720</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0"/>
      <c r="Q31" s="1797" t="str">
        <f t="shared" si="11"/>
        <v>停车位面积</v>
      </c>
      <c r="R31" s="769" t="s">
        <v>17</v>
      </c>
      <c r="S31" s="770" t="e">
        <f t="shared" si="12"/>
        <v>#N/A</v>
      </c>
      <c r="T31" s="769" t="s">
        <v>17</v>
      </c>
      <c r="U31" s="770" t="e">
        <f t="shared" si="13"/>
        <v>#N/A</v>
      </c>
      <c r="V31" s="769" t="s">
        <v>17</v>
      </c>
      <c r="W31" s="770" t="e">
        <f t="shared" si="14"/>
        <v>#N/A</v>
      </c>
      <c r="X31" s="771"/>
      <c r="Y31" s="3170"/>
      <c r="Z31" s="55"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0" t="s">
        <v>2568</v>
      </c>
      <c r="Q32" s="1812" t="str">
        <f t="shared" si="11"/>
        <v>车位类型</v>
      </c>
      <c r="R32" s="773" t="s">
        <v>17</v>
      </c>
      <c r="S32" s="774">
        <f t="shared" si="12"/>
        <v>100</v>
      </c>
      <c r="T32" s="773" t="s">
        <v>17</v>
      </c>
      <c r="U32" s="774">
        <f t="shared" si="13"/>
        <v>100</v>
      </c>
      <c r="V32" s="773" t="s">
        <v>17</v>
      </c>
      <c r="W32" s="774">
        <f t="shared" si="14"/>
        <v>100</v>
      </c>
      <c r="X32" s="1815"/>
      <c r="Y32" s="3170" t="s">
        <v>2568</v>
      </c>
      <c r="Z32" s="1816" t="str">
        <f t="shared" si="15"/>
        <v>车位类型</v>
      </c>
      <c r="AA32" s="1813">
        <f t="shared" si="3"/>
        <v>1</v>
      </c>
      <c r="AB32" s="1813">
        <f t="shared" si="4"/>
        <v>1</v>
      </c>
      <c r="AC32" s="1813">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0"/>
      <c r="Q33" s="1812" t="str">
        <f t="shared" si="11"/>
        <v>是否直接入户</v>
      </c>
      <c r="R33" s="773" t="s">
        <v>17</v>
      </c>
      <c r="S33" s="774">
        <f t="shared" si="12"/>
        <v>100</v>
      </c>
      <c r="T33" s="773" t="s">
        <v>17</v>
      </c>
      <c r="U33" s="774">
        <f t="shared" si="13"/>
        <v>100</v>
      </c>
      <c r="V33" s="773" t="s">
        <v>17</v>
      </c>
      <c r="W33" s="774">
        <f t="shared" si="14"/>
        <v>100</v>
      </c>
      <c r="X33" s="1815"/>
      <c r="Y33" s="317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0"/>
      <c r="Q34" s="1812">
        <f t="shared" si="11"/>
        <v>111</v>
      </c>
      <c r="R34" s="773" t="s">
        <v>17</v>
      </c>
      <c r="S34" s="774">
        <f t="shared" si="12"/>
        <v>100</v>
      </c>
      <c r="T34" s="773" t="s">
        <v>17</v>
      </c>
      <c r="U34" s="774">
        <f t="shared" si="13"/>
        <v>100</v>
      </c>
      <c r="V34" s="773" t="s">
        <v>17</v>
      </c>
      <c r="W34" s="774">
        <f t="shared" si="14"/>
        <v>100</v>
      </c>
      <c r="X34" s="1815"/>
      <c r="Y34" s="317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0"/>
      <c r="Q35" s="775">
        <f t="shared" si="11"/>
        <v>111</v>
      </c>
      <c r="R35" s="776" t="s">
        <v>17</v>
      </c>
      <c r="S35" s="777">
        <f t="shared" si="12"/>
        <v>100</v>
      </c>
      <c r="T35" s="776" t="s">
        <v>17</v>
      </c>
      <c r="U35" s="777">
        <f t="shared" si="13"/>
        <v>100</v>
      </c>
      <c r="V35" s="776" t="s">
        <v>17</v>
      </c>
      <c r="W35" s="777">
        <f t="shared" si="14"/>
        <v>100</v>
      </c>
      <c r="X35" s="778"/>
      <c r="Y35" s="317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0"/>
      <c r="Q36" s="1812">
        <f t="shared" si="11"/>
        <v>111</v>
      </c>
      <c r="R36" s="773" t="s">
        <v>17</v>
      </c>
      <c r="S36" s="774">
        <f t="shared" si="12"/>
        <v>100</v>
      </c>
      <c r="T36" s="773" t="s">
        <v>17</v>
      </c>
      <c r="U36" s="774">
        <f t="shared" si="13"/>
        <v>100</v>
      </c>
      <c r="V36" s="773" t="s">
        <v>17</v>
      </c>
      <c r="W36" s="774">
        <f t="shared" si="14"/>
        <v>100</v>
      </c>
      <c r="X36" s="1815"/>
      <c r="Y36" s="3170"/>
      <c r="Z36" s="1816">
        <f t="shared" si="15"/>
        <v>111</v>
      </c>
      <c r="AA36" s="1813">
        <f t="shared" si="3"/>
        <v>1</v>
      </c>
      <c r="AB36" s="1813">
        <f t="shared" si="4"/>
        <v>1</v>
      </c>
      <c r="AC36" s="1813">
        <f t="shared" si="5"/>
        <v>1</v>
      </c>
    </row>
    <row r="37" spans="1:29" ht="15">
      <c r="A37" s="478" t="s">
        <v>2723</v>
      </c>
      <c r="B37" s="2696" t="s">
        <v>2724</v>
      </c>
      <c r="C37" s="1409" t="s">
        <v>1</v>
      </c>
      <c r="D37" s="1410"/>
      <c r="E37" s="1411"/>
      <c r="F37" s="1412"/>
      <c r="G37" s="1413"/>
      <c r="H37" s="1414"/>
      <c r="I37" s="1411"/>
      <c r="J37" s="1414"/>
      <c r="K37" s="618"/>
      <c r="L37" s="1145"/>
      <c r="M37" s="1146"/>
      <c r="N37" s="1133"/>
      <c r="O37" s="1146"/>
      <c r="P37" s="3165" t="str">
        <f>A37</f>
        <v>成交单价</v>
      </c>
      <c r="Q37" s="3165"/>
      <c r="R37" s="3232">
        <f>E37</f>
        <v>0</v>
      </c>
      <c r="S37" s="3232"/>
      <c r="T37" s="3232">
        <f>G37</f>
        <v>0</v>
      </c>
      <c r="U37" s="3232"/>
      <c r="V37" s="3232">
        <f>I37</f>
        <v>0</v>
      </c>
      <c r="W37" s="3232"/>
      <c r="X37" s="758"/>
      <c r="Y37" s="780"/>
      <c r="Z37" s="758"/>
      <c r="AA37" s="758"/>
      <c r="AB37" s="758"/>
      <c r="AC37" s="758"/>
    </row>
    <row r="38" spans="1:29" ht="15.75" thickBot="1">
      <c r="A38" s="485" t="s">
        <v>2725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5" t="str">
        <f>A38</f>
        <v>比较价值（元/平方米）</v>
      </c>
      <c r="Q38" s="3165"/>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8"/>
      <c r="Y38" s="758"/>
      <c r="Z38" s="758"/>
      <c r="AA38" s="758"/>
      <c r="AB38" s="758"/>
      <c r="AC38" s="758"/>
    </row>
    <row r="39" spans="1:29" ht="15.75" thickBot="1">
      <c r="A39" s="491" t="s">
        <v>2726</v>
      </c>
      <c r="B39" s="492"/>
      <c r="C39" s="1419" t="e">
        <f>R39</f>
        <v>#DIV/0!</v>
      </c>
      <c r="D39" s="1419"/>
      <c r="E39" s="1419"/>
      <c r="F39" s="1419"/>
      <c r="G39" s="1419"/>
      <c r="H39" s="1419"/>
      <c r="I39" s="1419"/>
      <c r="J39" s="1419"/>
      <c r="K39" s="620"/>
      <c r="L39" s="1145"/>
      <c r="M39" s="1146"/>
      <c r="N39" s="1146"/>
      <c r="O39" s="1146"/>
      <c r="P39" s="3159" t="str">
        <f>A39</f>
        <v>估价对象XX用房的比较价值（楼面单价，元/平方米）</v>
      </c>
      <c r="Q39" s="3160"/>
      <c r="R39" s="3231" t="e">
        <f>IF(F1="售价",ROUND(AVERAGE(R38:V38),0),ROUND(AVERAGE(R38:V38),1))</f>
        <v>#DIV/0!</v>
      </c>
      <c r="S39" s="3231"/>
      <c r="T39" s="3231"/>
      <c r="U39" s="3231"/>
      <c r="V39" s="3231"/>
      <c r="W39" s="323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2731</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2553</v>
      </c>
      <c r="B51" s="509"/>
      <c r="C51" s="521" t="s">
        <v>2655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2591</v>
      </c>
      <c r="B53" s="527" t="s">
        <v>2557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2606</v>
      </c>
      <c r="C65" s="577" t="s">
        <v>2600</v>
      </c>
      <c r="D65" s="577" t="s">
        <v>2601</v>
      </c>
      <c r="E65" s="577" t="s">
        <v>2602</v>
      </c>
      <c r="F65" s="577" t="s">
        <v>2603</v>
      </c>
      <c r="G65" s="577" t="s">
        <v>2604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2692</v>
      </c>
      <c r="C67" s="659" t="s">
        <v>2678</v>
      </c>
      <c r="D67" s="659" t="s">
        <v>2679</v>
      </c>
      <c r="E67" s="659" t="s">
        <v>2680</v>
      </c>
      <c r="F67" s="659" t="s">
        <v>2681</v>
      </c>
      <c r="G67" s="659" t="s">
        <v>2682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2612</v>
      </c>
      <c r="C69" s="577" t="s">
        <v>2600</v>
      </c>
      <c r="D69" s="577" t="s">
        <v>2601</v>
      </c>
      <c r="E69" s="577" t="s">
        <v>2602</v>
      </c>
      <c r="F69" s="577" t="s">
        <v>2603</v>
      </c>
      <c r="G69" s="577" t="s">
        <v>2604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2566</v>
      </c>
      <c r="B79" s="527" t="s">
        <v>2733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32"/>
      <c r="F1" s="2585"/>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7"/>
      <c r="D2" s="1126" t="e">
        <f ca="1">SUMIF(INDIRECT("'"&amp;F2&amp;"'"&amp;"!A:A"),"承租人权益价值",INDIRECT("'"&amp;F2&amp;"'"&amp;"!c:c"))</f>
        <v>#REF!</v>
      </c>
      <c r="E2" s="2588" t="s">
        <v>2333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8" t="e">
        <f ca="1">IF(C2="——",C37,ROUND(B2*10000/D3,0))</f>
        <v>#DIV/0!</v>
      </c>
      <c r="C3" s="400" t="s">
        <v>2647</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3" t="s">
        <v>2651</v>
      </c>
      <c r="AC4" s="3172" t="s">
        <v>2652</v>
      </c>
    </row>
    <row r="5" spans="1:29" ht="15">
      <c r="A5" s="404"/>
      <c r="B5" s="405"/>
      <c r="C5" s="3192" t="s">
        <v>2545</v>
      </c>
      <c r="D5" s="3193"/>
      <c r="E5" s="3199" t="s">
        <v>2546</v>
      </c>
      <c r="F5" s="3200"/>
      <c r="G5" s="3192" t="s">
        <v>2547</v>
      </c>
      <c r="H5" s="3193"/>
      <c r="I5" s="3192" t="s">
        <v>2548</v>
      </c>
      <c r="J5" s="3193"/>
      <c r="K5" s="609"/>
      <c r="L5" s="1132"/>
      <c r="M5" s="1133"/>
      <c r="N5" s="1133"/>
      <c r="O5" s="1133"/>
      <c r="P5" s="3180"/>
      <c r="Q5" s="3181"/>
      <c r="R5" s="3186"/>
      <c r="S5" s="3187"/>
      <c r="T5" s="3186"/>
      <c r="U5" s="3187"/>
      <c r="V5" s="3171"/>
      <c r="W5" s="3171"/>
      <c r="X5" s="1815"/>
      <c r="Y5" s="3186"/>
      <c r="Z5" s="3187"/>
      <c r="AA5" s="3173"/>
      <c r="AB5" s="3173"/>
      <c r="AC5" s="3173"/>
    </row>
    <row r="6" spans="1:29" ht="15.75" thickBot="1">
      <c r="A6" s="406"/>
      <c r="B6" s="407"/>
      <c r="C6" s="3190" t="s">
        <v>2549</v>
      </c>
      <c r="D6" s="3191"/>
      <c r="E6" s="3197" t="s">
        <v>2549</v>
      </c>
      <c r="F6" s="3198"/>
      <c r="G6" s="3190" t="s">
        <v>2549</v>
      </c>
      <c r="H6" s="3191"/>
      <c r="I6" s="3190" t="s">
        <v>2549</v>
      </c>
      <c r="J6" s="3191"/>
      <c r="K6" s="609" t="s">
        <v>2550</v>
      </c>
      <c r="L6" s="1132"/>
      <c r="M6" s="1133"/>
      <c r="N6" s="1133"/>
      <c r="O6" s="1133"/>
      <c r="P6" s="3182"/>
      <c r="Q6" s="3183"/>
      <c r="R6" s="3186"/>
      <c r="S6" s="3187"/>
      <c r="T6" s="3188"/>
      <c r="U6" s="3189"/>
      <c r="V6" s="3171"/>
      <c r="W6" s="3171"/>
      <c r="X6" s="1815"/>
      <c r="Y6" s="3188"/>
      <c r="Z6" s="3189"/>
      <c r="AA6" s="3174"/>
      <c r="AB6" s="3174"/>
      <c r="AC6" s="3174"/>
    </row>
    <row r="7" spans="1:29" s="117" customFormat="1" ht="15.75" thickBot="1">
      <c r="A7" s="408" t="s">
        <v>2551</v>
      </c>
      <c r="B7" s="409"/>
      <c r="C7" s="410">
        <f>'数据-取费表'!B2</f>
        <v>43424</v>
      </c>
      <c r="D7" s="411">
        <v>100</v>
      </c>
      <c r="E7" s="412"/>
      <c r="F7" s="413">
        <f>SUMIF(46:46,YEAR(E7)&amp;"-"&amp;MONTH(E7),47:47)</f>
        <v>0</v>
      </c>
      <c r="G7" s="2697"/>
      <c r="H7" s="411">
        <f>SUMIF(46:46,YEAR(G7)&amp;"-"&amp;MONTH(G7),47:47)</f>
        <v>0</v>
      </c>
      <c r="I7" s="412"/>
      <c r="J7" s="411">
        <f>SUMIF(46:46,YEAR(I7)&amp;"-"&amp;MONTH(I7),47:47)</f>
        <v>0</v>
      </c>
      <c r="K7" s="610"/>
      <c r="L7" s="1134"/>
      <c r="M7" s="1135"/>
      <c r="N7" s="1135"/>
      <c r="O7" s="1135"/>
      <c r="P7" s="3194" t="s">
        <v>2552</v>
      </c>
      <c r="Q7" s="3196"/>
      <c r="R7" s="769" t="s">
        <v>17</v>
      </c>
      <c r="S7" s="770">
        <f t="shared" ref="S7:S14" si="0">F7</f>
        <v>0</v>
      </c>
      <c r="T7" s="769" t="s">
        <v>17</v>
      </c>
      <c r="U7" s="770">
        <f t="shared" ref="U7:U14" si="1">H7</f>
        <v>0</v>
      </c>
      <c r="V7" s="769" t="s">
        <v>17</v>
      </c>
      <c r="W7" s="770">
        <f t="shared" ref="W7:W14" si="2">J7</f>
        <v>0</v>
      </c>
      <c r="X7" s="771"/>
      <c r="Y7" s="3194" t="s">
        <v>2552</v>
      </c>
      <c r="Z7" s="3195"/>
      <c r="AA7" s="772" t="e">
        <f>D7/F7</f>
        <v>#DIV/0!</v>
      </c>
      <c r="AB7" s="772" t="e">
        <f>D7/H7</f>
        <v>#DIV/0!</v>
      </c>
      <c r="AC7" s="772"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194" t="s">
        <v>2555</v>
      </c>
      <c r="Q8" s="3195"/>
      <c r="R8" s="769" t="s">
        <v>17</v>
      </c>
      <c r="S8" s="770">
        <f t="shared" si="0"/>
        <v>0</v>
      </c>
      <c r="T8" s="769" t="s">
        <v>17</v>
      </c>
      <c r="U8" s="770">
        <f t="shared" si="1"/>
        <v>0</v>
      </c>
      <c r="V8" s="769" t="s">
        <v>17</v>
      </c>
      <c r="W8" s="770">
        <f t="shared" si="2"/>
        <v>0</v>
      </c>
      <c r="X8" s="771"/>
      <c r="Y8" s="3194" t="s">
        <v>2555</v>
      </c>
      <c r="Z8" s="3195"/>
      <c r="AA8" s="772" t="e">
        <f t="shared" ref="AA8:AA34" si="3">D8/F8</f>
        <v>#DIV/0!</v>
      </c>
      <c r="AB8" s="772" t="e">
        <f t="shared" ref="AB8:AB34" si="4">D8/H8</f>
        <v>#DIV/0!</v>
      </c>
      <c r="AC8" s="772"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65" t="s">
        <v>2558</v>
      </c>
      <c r="Q9" s="1797" t="str">
        <f t="shared" ref="Q9:Q14" si="6">B9</f>
        <v>用途</v>
      </c>
      <c r="R9" s="769" t="s">
        <v>17</v>
      </c>
      <c r="S9" s="770">
        <f t="shared" si="0"/>
        <v>100</v>
      </c>
      <c r="T9" s="769" t="s">
        <v>17</v>
      </c>
      <c r="U9" s="770">
        <f t="shared" si="1"/>
        <v>100</v>
      </c>
      <c r="V9" s="769" t="s">
        <v>17</v>
      </c>
      <c r="W9" s="770">
        <f t="shared" si="2"/>
        <v>100</v>
      </c>
      <c r="X9" s="771"/>
      <c r="Y9" s="3016" t="s">
        <v>2559</v>
      </c>
      <c r="Z9" s="55" t="str">
        <f t="shared" ref="Z9:Z14" si="7">Q9</f>
        <v>用途</v>
      </c>
      <c r="AA9" s="772">
        <f t="shared" si="3"/>
        <v>1</v>
      </c>
      <c r="AB9" s="772">
        <f t="shared" si="4"/>
        <v>1</v>
      </c>
      <c r="AC9" s="772">
        <f t="shared" si="5"/>
        <v>1</v>
      </c>
    </row>
    <row r="10" spans="1:29" s="426" customFormat="1" ht="27">
      <c r="A10" s="420"/>
      <c r="B10" s="421" t="s">
        <v>2560</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65"/>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7"/>
      <c r="B11" s="2601">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65"/>
      <c r="Q11" s="1797">
        <f t="shared" si="6"/>
        <v>111</v>
      </c>
      <c r="R11" s="769" t="s">
        <v>17</v>
      </c>
      <c r="S11" s="770">
        <f t="shared" si="0"/>
        <v>100</v>
      </c>
      <c r="T11" s="769" t="s">
        <v>17</v>
      </c>
      <c r="U11" s="770">
        <f t="shared" si="1"/>
        <v>100</v>
      </c>
      <c r="V11" s="769" t="s">
        <v>17</v>
      </c>
      <c r="W11" s="770">
        <f t="shared" si="2"/>
        <v>100</v>
      </c>
      <c r="X11" s="771"/>
      <c r="Y11" s="3016"/>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65"/>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65"/>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85.5">
      <c r="A14" s="439" t="s">
        <v>2562</v>
      </c>
      <c r="B14" s="69" t="s">
        <v>2712</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7" t="s">
        <v>2563</v>
      </c>
      <c r="Q14" s="1812" t="str">
        <f t="shared" si="6"/>
        <v>交通便捷度</v>
      </c>
      <c r="R14" s="773" t="s">
        <v>17</v>
      </c>
      <c r="S14" s="774">
        <f t="shared" si="0"/>
        <v>100</v>
      </c>
      <c r="T14" s="773" t="s">
        <v>17</v>
      </c>
      <c r="U14" s="774">
        <f t="shared" si="1"/>
        <v>100</v>
      </c>
      <c r="V14" s="773" t="s">
        <v>17</v>
      </c>
      <c r="W14" s="774">
        <f t="shared" si="2"/>
        <v>100</v>
      </c>
      <c r="X14" s="1815"/>
      <c r="Y14" s="3167" t="s">
        <v>2563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68"/>
      <c r="Q15" s="1812"/>
      <c r="R15" s="773"/>
      <c r="S15" s="774"/>
      <c r="T15" s="773"/>
      <c r="U15" s="774"/>
      <c r="V15" s="773"/>
      <c r="W15" s="774"/>
      <c r="X15" s="1815"/>
      <c r="Y15" s="3168"/>
      <c r="Z15" s="1816"/>
      <c r="AA15" s="1813">
        <v>1</v>
      </c>
      <c r="AB15" s="1813">
        <v>1</v>
      </c>
      <c r="AC15" s="1813">
        <v>1</v>
      </c>
    </row>
    <row r="16" spans="1:29" ht="42.75">
      <c r="A16" s="427"/>
      <c r="B16" s="450" t="s">
        <v>2691</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8"/>
      <c r="Q16" s="1812" t="str">
        <f>B16</f>
        <v>公共配套设施</v>
      </c>
      <c r="R16" s="773" t="s">
        <v>17</v>
      </c>
      <c r="S16" s="774">
        <f>F16</f>
        <v>100</v>
      </c>
      <c r="T16" s="773" t="s">
        <v>17</v>
      </c>
      <c r="U16" s="774">
        <f>H16</f>
        <v>100</v>
      </c>
      <c r="V16" s="773" t="s">
        <v>17</v>
      </c>
      <c r="W16" s="774">
        <f>J16</f>
        <v>100</v>
      </c>
      <c r="X16" s="1815"/>
      <c r="Y16" s="3168"/>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68"/>
      <c r="Q17" s="1812"/>
      <c r="R17" s="773"/>
      <c r="S17" s="774"/>
      <c r="T17" s="773"/>
      <c r="U17" s="774"/>
      <c r="V17" s="773"/>
      <c r="W17" s="774"/>
      <c r="X17" s="1815"/>
      <c r="Y17" s="3168"/>
      <c r="Z17" s="1816"/>
      <c r="AA17" s="1813">
        <v>1</v>
      </c>
      <c r="AB17" s="1813">
        <v>1</v>
      </c>
      <c r="AC17" s="1813">
        <v>1</v>
      </c>
    </row>
    <row r="18" spans="1:29" ht="28.5">
      <c r="A18" s="427"/>
      <c r="B18" s="1386" t="s">
        <v>2692</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8"/>
      <c r="Q18" s="1812" t="str">
        <f>B18</f>
        <v>基础设施水平</v>
      </c>
      <c r="R18" s="773" t="s">
        <v>17</v>
      </c>
      <c r="S18" s="774">
        <f>F18</f>
        <v>100</v>
      </c>
      <c r="T18" s="773" t="s">
        <v>17</v>
      </c>
      <c r="U18" s="774">
        <f>H18</f>
        <v>100</v>
      </c>
      <c r="V18" s="773" t="s">
        <v>17</v>
      </c>
      <c r="W18" s="774">
        <f>J18</f>
        <v>100</v>
      </c>
      <c r="X18" s="1815"/>
      <c r="Y18" s="3168"/>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68"/>
      <c r="Q19" s="1812"/>
      <c r="R19" s="773"/>
      <c r="S19" s="774"/>
      <c r="T19" s="773"/>
      <c r="U19" s="774"/>
      <c r="V19" s="773"/>
      <c r="W19" s="774"/>
      <c r="X19" s="1815"/>
      <c r="Y19" s="3168"/>
      <c r="Z19" s="1816"/>
      <c r="AA19" s="1813">
        <v>1</v>
      </c>
      <c r="AB19" s="1813">
        <v>1</v>
      </c>
      <c r="AC19" s="1813">
        <v>1</v>
      </c>
    </row>
    <row r="20" spans="1:29" ht="57">
      <c r="A20" s="427"/>
      <c r="B20" s="450" t="s">
        <v>2713</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8"/>
      <c r="Q20" s="1812" t="str">
        <f>B20</f>
        <v>自然及人文环境</v>
      </c>
      <c r="R20" s="773" t="s">
        <v>17</v>
      </c>
      <c r="S20" s="774">
        <f>F20</f>
        <v>100</v>
      </c>
      <c r="T20" s="773" t="s">
        <v>17</v>
      </c>
      <c r="U20" s="774">
        <f>H20</f>
        <v>100</v>
      </c>
      <c r="V20" s="773" t="s">
        <v>17</v>
      </c>
      <c r="W20" s="774">
        <f>J20</f>
        <v>100</v>
      </c>
      <c r="X20" s="1815"/>
      <c r="Y20" s="316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68"/>
      <c r="Q21" s="1812"/>
      <c r="R21" s="773"/>
      <c r="S21" s="774"/>
      <c r="T21" s="773"/>
      <c r="U21" s="774"/>
      <c r="V21" s="773"/>
      <c r="W21" s="774"/>
      <c r="X21" s="1815"/>
      <c r="Y21" s="3168"/>
      <c r="Z21" s="1816"/>
      <c r="AA21" s="1813">
        <v>1</v>
      </c>
      <c r="AB21" s="1813">
        <v>1</v>
      </c>
      <c r="AC21" s="1813">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8"/>
      <c r="Q22" s="1812" t="str">
        <f>B22</f>
        <v>楼层</v>
      </c>
      <c r="R22" s="773" t="s">
        <v>17</v>
      </c>
      <c r="S22" s="774">
        <f>F22</f>
        <v>100</v>
      </c>
      <c r="T22" s="773" t="s">
        <v>17</v>
      </c>
      <c r="U22" s="774">
        <f>H22</f>
        <v>100</v>
      </c>
      <c r="V22" s="773" t="s">
        <v>17</v>
      </c>
      <c r="W22" s="774">
        <f>J22</f>
        <v>100</v>
      </c>
      <c r="X22" s="1815"/>
      <c r="Y22" s="3168"/>
      <c r="Z22" s="1816" t="str">
        <f>Q22</f>
        <v>楼层</v>
      </c>
      <c r="AA22" s="1813">
        <f t="shared" si="3"/>
        <v>1</v>
      </c>
      <c r="AB22" s="1813">
        <f t="shared" si="4"/>
        <v>1</v>
      </c>
      <c r="AC22" s="1813">
        <f t="shared" si="5"/>
        <v>1</v>
      </c>
    </row>
    <row r="23" spans="1:29" ht="15">
      <c r="A23" s="404"/>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8"/>
      <c r="Q23" s="1812">
        <f>B23</f>
        <v>111</v>
      </c>
      <c r="R23" s="773" t="s">
        <v>17</v>
      </c>
      <c r="S23" s="774">
        <f>F23</f>
        <v>100</v>
      </c>
      <c r="T23" s="773" t="s">
        <v>17</v>
      </c>
      <c r="U23" s="774">
        <f>H23</f>
        <v>100</v>
      </c>
      <c r="V23" s="773" t="s">
        <v>17</v>
      </c>
      <c r="W23" s="774">
        <f>J23</f>
        <v>100</v>
      </c>
      <c r="X23" s="1815"/>
      <c r="Y23" s="3168"/>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8"/>
      <c r="Q24" s="1812">
        <f t="shared" ref="Q24:Q34" si="11">B24</f>
        <v>111</v>
      </c>
      <c r="R24" s="773" t="s">
        <v>17</v>
      </c>
      <c r="S24" s="774">
        <f>F24</f>
        <v>100</v>
      </c>
      <c r="T24" s="773" t="s">
        <v>17</v>
      </c>
      <c r="U24" s="774">
        <f>H24</f>
        <v>100</v>
      </c>
      <c r="V24" s="773" t="s">
        <v>17</v>
      </c>
      <c r="W24" s="774">
        <f>J24</f>
        <v>100</v>
      </c>
      <c r="X24" s="1815"/>
      <c r="Y24" s="3168"/>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68"/>
      <c r="Q25" s="1797">
        <f t="shared" si="11"/>
        <v>111</v>
      </c>
      <c r="R25" s="769" t="s">
        <v>17</v>
      </c>
      <c r="S25" s="770">
        <f>F25</f>
        <v>100</v>
      </c>
      <c r="T25" s="769" t="s">
        <v>17</v>
      </c>
      <c r="U25" s="770">
        <f>H25</f>
        <v>100</v>
      </c>
      <c r="V25" s="769" t="s">
        <v>17</v>
      </c>
      <c r="W25" s="770">
        <f>J25</f>
        <v>100</v>
      </c>
      <c r="X25" s="771"/>
      <c r="Y25" s="3168"/>
      <c r="Z25" s="55">
        <f>Q25</f>
        <v>111</v>
      </c>
      <c r="AA25" s="1813">
        <f>D25/F25</f>
        <v>1</v>
      </c>
      <c r="AB25" s="1813">
        <f>D25/H25</f>
        <v>1</v>
      </c>
      <c r="AC25" s="1813">
        <f>D25/J25</f>
        <v>1</v>
      </c>
    </row>
    <row r="26" spans="1:29" ht="15">
      <c r="A26" s="465" t="s">
        <v>2566</v>
      </c>
      <c r="B26" s="71" t="s">
        <v>2717</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69"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0" t="s">
        <v>2568</v>
      </c>
      <c r="Z26" s="1816" t="str">
        <f t="shared" ref="Z26:Z34" si="15">Q26</f>
        <v>公共部分装修</v>
      </c>
      <c r="AA26" s="1813">
        <f t="shared" si="3"/>
        <v>1</v>
      </c>
      <c r="AB26" s="1813">
        <f t="shared" si="4"/>
        <v>1</v>
      </c>
      <c r="AC26" s="1813">
        <f t="shared" si="5"/>
        <v>1</v>
      </c>
    </row>
    <row r="27" spans="1:29" s="470" customFormat="1" ht="15">
      <c r="A27" s="467"/>
      <c r="B27" s="421" t="s">
        <v>2718</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0"/>
      <c r="Q27" s="775" t="str">
        <f t="shared" si="11"/>
        <v>成新率</v>
      </c>
      <c r="R27" s="776" t="s">
        <v>17</v>
      </c>
      <c r="S27" s="777" t="e">
        <f t="shared" si="12"/>
        <v>#N/A</v>
      </c>
      <c r="T27" s="776" t="s">
        <v>17</v>
      </c>
      <c r="U27" s="777" t="e">
        <f t="shared" si="13"/>
        <v>#N/A</v>
      </c>
      <c r="V27" s="776" t="s">
        <v>17</v>
      </c>
      <c r="W27" s="777" t="e">
        <f t="shared" si="14"/>
        <v>#N/A</v>
      </c>
      <c r="X27" s="778"/>
      <c r="Y27" s="3170"/>
      <c r="Z27" s="779" t="str">
        <f t="shared" si="15"/>
        <v>成新率</v>
      </c>
      <c r="AA27" s="1813" t="e">
        <f t="shared" si="3"/>
        <v>#N/A</v>
      </c>
      <c r="AB27" s="1813" t="e">
        <f t="shared" si="4"/>
        <v>#N/A</v>
      </c>
      <c r="AC27" s="1813"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0"/>
      <c r="Q28" s="1812" t="str">
        <f t="shared" si="11"/>
        <v>物业等级</v>
      </c>
      <c r="R28" s="773" t="s">
        <v>17</v>
      </c>
      <c r="S28" s="774">
        <f t="shared" si="12"/>
        <v>100</v>
      </c>
      <c r="T28" s="773" t="s">
        <v>17</v>
      </c>
      <c r="U28" s="774">
        <f t="shared" si="13"/>
        <v>100</v>
      </c>
      <c r="V28" s="773" t="s">
        <v>17</v>
      </c>
      <c r="W28" s="774">
        <f t="shared" si="14"/>
        <v>100</v>
      </c>
      <c r="X28" s="1815"/>
      <c r="Y28" s="3170"/>
      <c r="Z28" s="1816" t="str">
        <f t="shared" si="15"/>
        <v>物业等级</v>
      </c>
      <c r="AA28" s="1813">
        <f t="shared" si="3"/>
        <v>1</v>
      </c>
      <c r="AB28" s="1813">
        <f t="shared" si="4"/>
        <v>1</v>
      </c>
      <c r="AC28" s="1813">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0"/>
      <c r="Q29" s="1812" t="str">
        <f t="shared" si="11"/>
        <v>有无电梯</v>
      </c>
      <c r="R29" s="773" t="s">
        <v>17</v>
      </c>
      <c r="S29" s="774">
        <f t="shared" si="12"/>
        <v>100</v>
      </c>
      <c r="T29" s="773" t="s">
        <v>17</v>
      </c>
      <c r="U29" s="774">
        <f t="shared" si="13"/>
        <v>100</v>
      </c>
      <c r="V29" s="773" t="s">
        <v>17</v>
      </c>
      <c r="W29" s="774">
        <f t="shared" si="14"/>
        <v>100</v>
      </c>
      <c r="X29" s="1815"/>
      <c r="Y29" s="3170"/>
      <c r="Z29" s="1816" t="str">
        <f t="shared" si="15"/>
        <v>有无电梯</v>
      </c>
      <c r="AA29" s="1813">
        <f t="shared" si="3"/>
        <v>1</v>
      </c>
      <c r="AB29" s="1813">
        <f t="shared" si="4"/>
        <v>1</v>
      </c>
      <c r="AC29" s="1813">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0"/>
      <c r="Q30" s="1812" t="str">
        <f t="shared" si="11"/>
        <v>建筑面积</v>
      </c>
      <c r="R30" s="773" t="s">
        <v>17</v>
      </c>
      <c r="S30" s="774" t="e">
        <f t="shared" si="12"/>
        <v>#N/A</v>
      </c>
      <c r="T30" s="773" t="s">
        <v>17</v>
      </c>
      <c r="U30" s="774" t="e">
        <f t="shared" si="13"/>
        <v>#N/A</v>
      </c>
      <c r="V30" s="773" t="s">
        <v>17</v>
      </c>
      <c r="W30" s="774" t="e">
        <f t="shared" si="14"/>
        <v>#N/A</v>
      </c>
      <c r="X30" s="1815"/>
      <c r="Y30" s="3170"/>
      <c r="Z30" s="1816" t="str">
        <f t="shared" si="15"/>
        <v>建筑面积</v>
      </c>
      <c r="AA30" s="1813" t="e">
        <f t="shared" si="3"/>
        <v>#N/A</v>
      </c>
      <c r="AB30" s="1813" t="e">
        <f t="shared" si="4"/>
        <v>#N/A</v>
      </c>
      <c r="AC30" s="1813" t="e">
        <f t="shared" si="5"/>
        <v>#N/A</v>
      </c>
    </row>
    <row r="31" spans="1:29" s="117" customFormat="1" ht="15">
      <c r="A31" s="472"/>
      <c r="B31" s="421" t="s">
        <v>2742</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0"/>
      <c r="Q31" s="1797" t="str">
        <f t="shared" si="11"/>
        <v>是否封闭</v>
      </c>
      <c r="R31" s="769" t="s">
        <v>17</v>
      </c>
      <c r="S31" s="770">
        <f t="shared" si="12"/>
        <v>100</v>
      </c>
      <c r="T31" s="769" t="s">
        <v>17</v>
      </c>
      <c r="U31" s="770">
        <f t="shared" si="13"/>
        <v>100</v>
      </c>
      <c r="V31" s="769" t="s">
        <v>17</v>
      </c>
      <c r="W31" s="770">
        <f t="shared" si="14"/>
        <v>100</v>
      </c>
      <c r="X31" s="771"/>
      <c r="Y31" s="3170"/>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0" t="s">
        <v>2568</v>
      </c>
      <c r="Q32" s="1812">
        <f t="shared" si="11"/>
        <v>111</v>
      </c>
      <c r="R32" s="773" t="s">
        <v>17</v>
      </c>
      <c r="S32" s="774">
        <f t="shared" si="12"/>
        <v>100</v>
      </c>
      <c r="T32" s="773" t="s">
        <v>17</v>
      </c>
      <c r="U32" s="774">
        <f t="shared" si="13"/>
        <v>100</v>
      </c>
      <c r="V32" s="773" t="s">
        <v>17</v>
      </c>
      <c r="W32" s="774">
        <f t="shared" si="14"/>
        <v>100</v>
      </c>
      <c r="X32" s="1815"/>
      <c r="Y32" s="3170" t="s">
        <v>2568</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0"/>
      <c r="Q33" s="1812">
        <f t="shared" si="11"/>
        <v>111</v>
      </c>
      <c r="R33" s="773" t="s">
        <v>17</v>
      </c>
      <c r="S33" s="774">
        <f t="shared" si="12"/>
        <v>100</v>
      </c>
      <c r="T33" s="773" t="s">
        <v>17</v>
      </c>
      <c r="U33" s="774">
        <f t="shared" si="13"/>
        <v>100</v>
      </c>
      <c r="V33" s="773" t="s">
        <v>17</v>
      </c>
      <c r="W33" s="774">
        <f t="shared" si="14"/>
        <v>100</v>
      </c>
      <c r="X33" s="1815"/>
      <c r="Y33" s="3170"/>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70"/>
      <c r="Q34" s="1812">
        <f t="shared" si="11"/>
        <v>111</v>
      </c>
      <c r="R34" s="773" t="s">
        <v>17</v>
      </c>
      <c r="S34" s="774">
        <f t="shared" si="12"/>
        <v>100</v>
      </c>
      <c r="T34" s="773" t="s">
        <v>17</v>
      </c>
      <c r="U34" s="774">
        <f t="shared" si="13"/>
        <v>100</v>
      </c>
      <c r="V34" s="773" t="s">
        <v>17</v>
      </c>
      <c r="W34" s="774">
        <f t="shared" si="14"/>
        <v>100</v>
      </c>
      <c r="X34" s="1815"/>
      <c r="Y34" s="3170"/>
      <c r="Z34" s="1816">
        <f t="shared" si="15"/>
        <v>111</v>
      </c>
      <c r="AA34" s="1813">
        <f t="shared" si="3"/>
        <v>1</v>
      </c>
      <c r="AB34" s="1813">
        <f t="shared" si="4"/>
        <v>1</v>
      </c>
      <c r="AC34" s="1813">
        <f t="shared" si="5"/>
        <v>1</v>
      </c>
    </row>
    <row r="35" spans="1:29" ht="15">
      <c r="A35" s="478" t="s">
        <v>2580</v>
      </c>
      <c r="B35" s="479"/>
      <c r="C35" s="1409" t="s">
        <v>1</v>
      </c>
      <c r="D35" s="1410"/>
      <c r="E35" s="1411"/>
      <c r="F35" s="1412"/>
      <c r="G35" s="1413"/>
      <c r="H35" s="1414"/>
      <c r="I35" s="1411"/>
      <c r="J35" s="1414"/>
      <c r="K35" s="782"/>
      <c r="L35" s="1145"/>
      <c r="M35" s="1146"/>
      <c r="N35" s="1133"/>
      <c r="O35" s="1146"/>
      <c r="P35" s="3165" t="str">
        <f>A35</f>
        <v>成交单价（元/平方米）</v>
      </c>
      <c r="Q35" s="3165"/>
      <c r="R35" s="3232">
        <f>E35</f>
        <v>0</v>
      </c>
      <c r="S35" s="3232"/>
      <c r="T35" s="3232">
        <f>G35</f>
        <v>0</v>
      </c>
      <c r="U35" s="3232"/>
      <c r="V35" s="3232">
        <f>I35</f>
        <v>0</v>
      </c>
      <c r="W35" s="3232"/>
      <c r="X35" s="758"/>
      <c r="Y35" s="780"/>
      <c r="Z35" s="758"/>
      <c r="AA35" s="758"/>
      <c r="AB35" s="758"/>
      <c r="AC35" s="758"/>
    </row>
    <row r="36" spans="1:29" ht="15.75" thickBot="1">
      <c r="A36" s="485" t="s">
        <v>2672</v>
      </c>
      <c r="B36" s="486"/>
      <c r="C36" s="1415" t="e">
        <f>R37</f>
        <v>#DIV/0!</v>
      </c>
      <c r="D36" s="1416"/>
      <c r="E36" s="1417" t="e">
        <f>R36</f>
        <v>#DIV/0!</v>
      </c>
      <c r="F36" s="1417"/>
      <c r="G36" s="1415" t="e">
        <f>T36</f>
        <v>#DIV/0!</v>
      </c>
      <c r="H36" s="1416"/>
      <c r="I36" s="1417" t="e">
        <f>V36</f>
        <v>#DIV/0!</v>
      </c>
      <c r="J36" s="1416"/>
      <c r="K36" s="783"/>
      <c r="L36" s="1145"/>
      <c r="M36" s="1146"/>
      <c r="N36" s="1133"/>
      <c r="O36" s="1146"/>
      <c r="P36" s="3165" t="str">
        <f>A36</f>
        <v>比较价值（元/平方米）</v>
      </c>
      <c r="Q36" s="3165"/>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8"/>
      <c r="Y36" s="758"/>
      <c r="Z36" s="758"/>
      <c r="AA36" s="758"/>
      <c r="AB36" s="758"/>
      <c r="AC36" s="758"/>
    </row>
    <row r="37" spans="1:29" ht="15.75" thickBot="1">
      <c r="A37" s="491" t="s">
        <v>2673</v>
      </c>
      <c r="B37" s="492"/>
      <c r="C37" s="1419" t="e">
        <f>R37</f>
        <v>#DIV/0!</v>
      </c>
      <c r="D37" s="1419"/>
      <c r="E37" s="1419"/>
      <c r="F37" s="1419"/>
      <c r="G37" s="1419"/>
      <c r="H37" s="1419"/>
      <c r="I37" s="1419"/>
      <c r="J37" s="1419"/>
      <c r="K37" s="784"/>
      <c r="L37" s="1145"/>
      <c r="M37" s="1146"/>
      <c r="N37" s="1146"/>
      <c r="O37" s="1146"/>
      <c r="P37" s="3159" t="str">
        <f>A37</f>
        <v>估价对象XX用房的比较价值（楼面单价，元/平方米）</v>
      </c>
      <c r="Q37" s="3160"/>
      <c r="R37" s="3231" t="e">
        <f>IF(F1="售价",ROUND(AVERAGE(R36:V36),0),ROUND(AVERAGE(R36:V36),1))</f>
        <v>#DIV/0!</v>
      </c>
      <c r="S37" s="3231"/>
      <c r="T37" s="3231"/>
      <c r="U37" s="3231"/>
      <c r="V37" s="3231"/>
      <c r="W37" s="323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2588</v>
      </c>
      <c r="B48" s="515"/>
      <c r="C48" s="516"/>
      <c r="D48" s="517"/>
      <c r="E48" s="517"/>
      <c r="F48" s="517"/>
      <c r="G48" s="517"/>
      <c r="H48" s="517"/>
      <c r="I48" s="517"/>
      <c r="J48" s="517"/>
      <c r="K48" s="517"/>
      <c r="L48" s="517"/>
      <c r="M48" s="518"/>
      <c r="N48" s="517"/>
      <c r="O48" s="519"/>
      <c r="P48" s="503"/>
      <c r="Q48" s="503"/>
    </row>
    <row r="49" spans="1:17" s="117" customFormat="1" ht="15">
      <c r="A49" s="520" t="s">
        <v>2553</v>
      </c>
      <c r="B49" s="509"/>
      <c r="C49" s="521" t="s">
        <v>2655</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2591</v>
      </c>
      <c r="B51" s="527" t="s">
        <v>2557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2566</v>
      </c>
      <c r="B77" s="527" t="s">
        <v>2619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8" t="e">
        <f>ROUND(IF(D3="",B2*10000/'数据-汇总表'!E3,B2*10000/D3),0)</f>
        <v>#DIV/0!</v>
      </c>
      <c r="C3" s="247"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162" t="s">
        <v>2649</v>
      </c>
      <c r="D4" s="3175"/>
      <c r="E4" s="3176" t="s">
        <v>2650</v>
      </c>
      <c r="F4" s="3177"/>
      <c r="G4" s="3162" t="s">
        <v>2651</v>
      </c>
      <c r="H4" s="3175"/>
      <c r="I4" s="3162" t="s">
        <v>2652</v>
      </c>
      <c r="J4" s="3175"/>
      <c r="K4" s="609" t="s">
        <v>2653</v>
      </c>
      <c r="L4" s="1132"/>
      <c r="M4" s="1133"/>
      <c r="N4" s="1133"/>
      <c r="O4" s="1133"/>
      <c r="P4" s="3178" t="s">
        <v>2654</v>
      </c>
      <c r="Q4" s="3179"/>
      <c r="R4" s="3184" t="s">
        <v>2650</v>
      </c>
      <c r="S4" s="3185"/>
      <c r="T4" s="3184" t="s">
        <v>2651</v>
      </c>
      <c r="U4" s="3185"/>
      <c r="V4" s="3171" t="s">
        <v>2652</v>
      </c>
      <c r="W4" s="3171"/>
      <c r="X4" s="1815"/>
      <c r="Y4" s="3184" t="s">
        <v>2654</v>
      </c>
      <c r="Z4" s="3185"/>
      <c r="AA4" s="3172" t="s">
        <v>2650</v>
      </c>
      <c r="AB4" s="3173" t="s">
        <v>2651</v>
      </c>
      <c r="AC4" s="3172" t="s">
        <v>2652</v>
      </c>
    </row>
    <row r="5" spans="1:29" ht="15">
      <c r="A5" s="404"/>
      <c r="B5" s="405"/>
      <c r="C5" s="3192" t="s">
        <v>2545</v>
      </c>
      <c r="D5" s="3193"/>
      <c r="E5" s="3199" t="s">
        <v>2546</v>
      </c>
      <c r="F5" s="3200"/>
      <c r="G5" s="3192" t="s">
        <v>2547</v>
      </c>
      <c r="H5" s="3193"/>
      <c r="I5" s="3192" t="s">
        <v>2548</v>
      </c>
      <c r="J5" s="3193"/>
      <c r="K5" s="609"/>
      <c r="L5" s="1132"/>
      <c r="M5" s="1133"/>
      <c r="N5" s="1133"/>
      <c r="O5" s="1133"/>
      <c r="P5" s="3180"/>
      <c r="Q5" s="3181"/>
      <c r="R5" s="3186"/>
      <c r="S5" s="3187"/>
      <c r="T5" s="3186"/>
      <c r="U5" s="3187"/>
      <c r="V5" s="3171"/>
      <c r="W5" s="3171"/>
      <c r="X5" s="1815"/>
      <c r="Y5" s="3186"/>
      <c r="Z5" s="3187"/>
      <c r="AA5" s="3173"/>
      <c r="AB5" s="3173"/>
      <c r="AC5" s="3173"/>
    </row>
    <row r="6" spans="1:29" ht="15.75" thickBot="1">
      <c r="A6" s="406"/>
      <c r="B6" s="407"/>
      <c r="C6" s="3254" t="s">
        <v>2800</v>
      </c>
      <c r="D6" s="3255"/>
      <c r="E6" s="3256" t="s">
        <v>2800</v>
      </c>
      <c r="F6" s="3257"/>
      <c r="G6" s="3254" t="s">
        <v>2800</v>
      </c>
      <c r="H6" s="3255"/>
      <c r="I6" s="3254" t="s">
        <v>2800</v>
      </c>
      <c r="J6" s="3255"/>
      <c r="K6" s="609" t="s">
        <v>2550</v>
      </c>
      <c r="L6" s="1132"/>
      <c r="M6" s="1133"/>
      <c r="N6" s="1133"/>
      <c r="O6" s="1133"/>
      <c r="P6" s="3182"/>
      <c r="Q6" s="3183"/>
      <c r="R6" s="3186"/>
      <c r="S6" s="3187"/>
      <c r="T6" s="3188"/>
      <c r="U6" s="3189"/>
      <c r="V6" s="3171"/>
      <c r="W6" s="3171"/>
      <c r="X6" s="1815"/>
      <c r="Y6" s="3188"/>
      <c r="Z6" s="3189"/>
      <c r="AA6" s="3174"/>
      <c r="AB6" s="3174"/>
      <c r="AC6" s="3174"/>
    </row>
    <row r="7" spans="1:29" s="117" customFormat="1" ht="15.75" thickBot="1">
      <c r="A7" s="408" t="s">
        <v>2551</v>
      </c>
      <c r="B7" s="409"/>
      <c r="C7" s="410">
        <f>'数据-取费表'!B2</f>
        <v>43424</v>
      </c>
      <c r="D7" s="411">
        <v>100</v>
      </c>
      <c r="E7" s="412"/>
      <c r="F7" s="413">
        <f>SUMIF(65:65,YEAR(E7)&amp;"-"&amp;INT((MONTH(E7)+2)/3),66:66)</f>
        <v>0</v>
      </c>
      <c r="G7" s="2697"/>
      <c r="H7" s="411">
        <f>SUMIF(65:65,YEAR(G7)&amp;"-"&amp;INT((MONTH(G7)+2)/3),66:66)</f>
        <v>0</v>
      </c>
      <c r="I7" s="2697"/>
      <c r="J7" s="411">
        <f>SUMIF(65:65,YEAR(I7)&amp;"-"&amp;INT((MONTH(I7)+2)/3),66:66)</f>
        <v>0</v>
      </c>
      <c r="K7" s="610"/>
      <c r="L7" s="1134"/>
      <c r="M7" s="1135"/>
      <c r="N7" s="1135"/>
      <c r="O7" s="1135"/>
      <c r="P7" s="3194" t="s">
        <v>2552</v>
      </c>
      <c r="Q7" s="3196"/>
      <c r="R7" s="769" t="s">
        <v>17</v>
      </c>
      <c r="S7" s="770">
        <f t="shared" ref="S7:S15" si="0">F7</f>
        <v>0</v>
      </c>
      <c r="T7" s="769" t="s">
        <v>17</v>
      </c>
      <c r="U7" s="770">
        <f t="shared" ref="U7:U15" si="1">H7</f>
        <v>0</v>
      </c>
      <c r="V7" s="769" t="s">
        <v>17</v>
      </c>
      <c r="W7" s="770">
        <f t="shared" ref="W7:W15" si="2">J7</f>
        <v>0</v>
      </c>
      <c r="X7" s="771"/>
      <c r="Y7" s="3194" t="s">
        <v>2552</v>
      </c>
      <c r="Z7" s="3195"/>
      <c r="AA7" s="772" t="e">
        <f>D7/F7</f>
        <v>#DIV/0!</v>
      </c>
      <c r="AB7" s="772" t="e">
        <f>D7/H7</f>
        <v>#DIV/0!</v>
      </c>
      <c r="AC7" s="772"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194" t="s">
        <v>2555</v>
      </c>
      <c r="Q8" s="3195"/>
      <c r="R8" s="769" t="s">
        <v>17</v>
      </c>
      <c r="S8" s="770">
        <f t="shared" si="0"/>
        <v>0</v>
      </c>
      <c r="T8" s="769" t="s">
        <v>17</v>
      </c>
      <c r="U8" s="770">
        <f t="shared" si="1"/>
        <v>0</v>
      </c>
      <c r="V8" s="769" t="s">
        <v>17</v>
      </c>
      <c r="W8" s="770">
        <f t="shared" si="2"/>
        <v>0</v>
      </c>
      <c r="X8" s="771"/>
      <c r="Y8" s="3194" t="s">
        <v>2555</v>
      </c>
      <c r="Z8" s="3195"/>
      <c r="AA8" s="772" t="e">
        <f t="shared" ref="AA8:AA40" si="3">D8/F8</f>
        <v>#DIV/0!</v>
      </c>
      <c r="AB8" s="772" t="e">
        <f t="shared" ref="AB8:AB40" si="4">D8/H8</f>
        <v>#DIV/0!</v>
      </c>
      <c r="AC8" s="772" t="e">
        <f t="shared" ref="AC8:AC40" si="5">D8/J8</f>
        <v>#DIV/0!</v>
      </c>
    </row>
    <row r="9" spans="1:29" s="117" customFormat="1">
      <c r="A9" s="415" t="s">
        <v>2556</v>
      </c>
      <c r="B9" s="71" t="s">
        <v>2557</v>
      </c>
      <c r="C9" s="2700"/>
      <c r="D9" s="135">
        <v>100</v>
      </c>
      <c r="E9" s="2700"/>
      <c r="F9" s="135">
        <f>SUMIF(70:70,E9,71:71)-SUMIF(70:70,C9,71:71)+100</f>
        <v>100</v>
      </c>
      <c r="G9" s="2700"/>
      <c r="H9" s="135">
        <f>SUMIF(70:70,G9,71:71)-SUMIF(70:70,C9,71:71)+100</f>
        <v>100</v>
      </c>
      <c r="I9" s="2700"/>
      <c r="J9" s="135">
        <f>SUMIF(70:70,I9,71:71)-SUMIF(70:70,C9,71:71)+100</f>
        <v>100</v>
      </c>
      <c r="K9" s="610"/>
      <c r="L9" s="1134"/>
      <c r="M9" s="1135"/>
      <c r="N9" s="1135"/>
      <c r="O9" s="1136"/>
      <c r="P9" s="3165"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6" customFormat="1" ht="27">
      <c r="A10" s="420"/>
      <c r="B10" s="421" t="s">
        <v>2560</v>
      </c>
      <c r="C10" s="431"/>
      <c r="D10" s="136">
        <v>100</v>
      </c>
      <c r="E10" s="431"/>
      <c r="F10" s="136">
        <f>ROUND(100/'数据-取费表'!G16,0)</f>
        <v>100</v>
      </c>
      <c r="G10" s="431"/>
      <c r="H10" s="136">
        <f>ROUND(100/'数据-取费表'!G16,0)</f>
        <v>100</v>
      </c>
      <c r="I10" s="431"/>
      <c r="J10" s="136">
        <f>ROUND(100/'数据-取费表'!G16,0)</f>
        <v>100</v>
      </c>
      <c r="K10" s="671"/>
      <c r="L10" s="1137"/>
      <c r="M10" s="1138"/>
      <c r="N10" s="1138"/>
      <c r="O10" s="1139"/>
      <c r="P10" s="3165"/>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7"/>
      <c r="B11" s="421" t="s">
        <v>2561</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65"/>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29" s="117" customFormat="1" ht="15">
      <c r="A12" s="430"/>
      <c r="B12" s="2601">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65"/>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7"/>
      <c r="B13" s="2601">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65"/>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5"/>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57">
      <c r="A15" s="439" t="s">
        <v>2562</v>
      </c>
      <c r="B15" s="628" t="s">
        <v>2801</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7" t="s">
        <v>2563</v>
      </c>
      <c r="Q15" s="1812" t="str">
        <f t="shared" si="6"/>
        <v>产业集聚程度</v>
      </c>
      <c r="R15" s="773" t="s">
        <v>17</v>
      </c>
      <c r="S15" s="774">
        <f t="shared" si="0"/>
        <v>100</v>
      </c>
      <c r="T15" s="773" t="s">
        <v>17</v>
      </c>
      <c r="U15" s="774">
        <f t="shared" si="1"/>
        <v>100</v>
      </c>
      <c r="V15" s="773" t="s">
        <v>17</v>
      </c>
      <c r="W15" s="774">
        <f t="shared" si="2"/>
        <v>100</v>
      </c>
      <c r="X15" s="1815"/>
      <c r="Y15" s="3167" t="s">
        <v>2563</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168"/>
      <c r="Q16" s="1812"/>
      <c r="R16" s="773"/>
      <c r="S16" s="774"/>
      <c r="T16" s="773"/>
      <c r="U16" s="774"/>
      <c r="V16" s="773"/>
      <c r="W16" s="774"/>
      <c r="X16" s="1815"/>
      <c r="Y16" s="3168"/>
      <c r="Z16" s="1816"/>
      <c r="AA16" s="1813">
        <v>1</v>
      </c>
      <c r="AB16" s="1813">
        <v>1</v>
      </c>
      <c r="AC16" s="1813">
        <v>1</v>
      </c>
    </row>
    <row r="17" spans="1:29" ht="85.5">
      <c r="A17" s="427"/>
      <c r="B17" s="630" t="s">
        <v>2712</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168"/>
      <c r="Q18" s="1812"/>
      <c r="R18" s="773"/>
      <c r="S18" s="774"/>
      <c r="T18" s="773"/>
      <c r="U18" s="774"/>
      <c r="V18" s="773"/>
      <c r="W18" s="774"/>
      <c r="X18" s="1815"/>
      <c r="Y18" s="3168"/>
      <c r="Z18" s="1816"/>
      <c r="AA18" s="1813">
        <v>1</v>
      </c>
      <c r="AB18" s="1813">
        <v>1</v>
      </c>
      <c r="AC18" s="1813">
        <v>1</v>
      </c>
    </row>
    <row r="19" spans="1:29" ht="15">
      <c r="A19" s="427"/>
      <c r="B19" s="630" t="s">
        <v>2751</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8"/>
      <c r="Q19" s="1812" t="str">
        <f t="shared" ref="Q19:Q33" si="8">B19</f>
        <v>区域土地利用方向</v>
      </c>
      <c r="R19" s="773" t="s">
        <v>17</v>
      </c>
      <c r="S19" s="774">
        <f>F19</f>
        <v>100</v>
      </c>
      <c r="T19" s="773" t="s">
        <v>17</v>
      </c>
      <c r="U19" s="774">
        <f>H19</f>
        <v>100</v>
      </c>
      <c r="V19" s="773" t="s">
        <v>17</v>
      </c>
      <c r="W19" s="774">
        <f>J19</f>
        <v>100</v>
      </c>
      <c r="X19" s="1815"/>
      <c r="Y19" s="3168"/>
      <c r="Z19" s="1816" t="str">
        <f>Q19</f>
        <v>区域土地利用方向</v>
      </c>
      <c r="AA19" s="1813">
        <f t="shared" si="3"/>
        <v>1</v>
      </c>
      <c r="AB19" s="1813">
        <f t="shared" si="4"/>
        <v>1</v>
      </c>
      <c r="AC19" s="1813">
        <f t="shared" si="5"/>
        <v>1</v>
      </c>
    </row>
    <row r="20" spans="1:29" ht="15">
      <c r="A20" s="404"/>
      <c r="B20" s="631"/>
      <c r="C20" s="446"/>
      <c r="D20" s="447"/>
      <c r="E20" s="2606"/>
      <c r="F20" s="447"/>
      <c r="G20" s="2606"/>
      <c r="H20" s="447"/>
      <c r="I20" s="2606"/>
      <c r="J20" s="447"/>
      <c r="K20" s="811"/>
      <c r="L20" s="1142"/>
      <c r="M20" s="1133"/>
      <c r="N20" s="1133"/>
      <c r="O20" s="1141"/>
      <c r="P20" s="3168"/>
      <c r="Q20" s="1812"/>
      <c r="R20" s="773"/>
      <c r="S20" s="774"/>
      <c r="T20" s="773"/>
      <c r="U20" s="774"/>
      <c r="V20" s="773"/>
      <c r="W20" s="774"/>
      <c r="X20" s="1815"/>
      <c r="Y20" s="3168"/>
      <c r="Z20" s="1816"/>
      <c r="AA20" s="1813"/>
      <c r="AB20" s="1813"/>
      <c r="AC20" s="1813"/>
    </row>
    <row r="21" spans="1:29" ht="71.25">
      <c r="A21" s="404"/>
      <c r="B21" s="630" t="s">
        <v>2802</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8"/>
      <c r="Q21" s="1812" t="str">
        <f t="shared" si="8"/>
        <v>环境状况</v>
      </c>
      <c r="R21" s="773" t="s">
        <v>17</v>
      </c>
      <c r="S21" s="774">
        <f>F21</f>
        <v>100</v>
      </c>
      <c r="T21" s="773" t="s">
        <v>17</v>
      </c>
      <c r="U21" s="774">
        <f>H21</f>
        <v>100</v>
      </c>
      <c r="V21" s="773" t="s">
        <v>17</v>
      </c>
      <c r="W21" s="774">
        <f>J21</f>
        <v>100</v>
      </c>
      <c r="X21" s="1815"/>
      <c r="Y21" s="3168"/>
      <c r="Z21" s="1816" t="str">
        <f>Q21</f>
        <v>环境状况</v>
      </c>
      <c r="AA21" s="1813">
        <f t="shared" si="3"/>
        <v>1</v>
      </c>
      <c r="AB21" s="1813">
        <f t="shared" si="4"/>
        <v>1</v>
      </c>
      <c r="AC21" s="1813">
        <f t="shared" si="5"/>
        <v>1</v>
      </c>
    </row>
    <row r="22" spans="1:29" ht="15">
      <c r="A22" s="404"/>
      <c r="B22" s="631"/>
      <c r="C22" s="446"/>
      <c r="D22" s="447"/>
      <c r="E22" s="2612"/>
      <c r="F22" s="447"/>
      <c r="G22" s="2612"/>
      <c r="H22" s="447"/>
      <c r="I22" s="446"/>
      <c r="J22" s="447"/>
      <c r="K22" s="671"/>
      <c r="L22" s="1142"/>
      <c r="M22" s="1133"/>
      <c r="N22" s="1133"/>
      <c r="O22" s="1141"/>
      <c r="P22" s="3168"/>
      <c r="Q22" s="1812"/>
      <c r="R22" s="773"/>
      <c r="S22" s="774"/>
      <c r="T22" s="773"/>
      <c r="U22" s="774"/>
      <c r="V22" s="773"/>
      <c r="W22" s="774"/>
      <c r="X22" s="1815"/>
      <c r="Y22" s="3168"/>
      <c r="Z22" s="1816"/>
      <c r="AA22" s="1813">
        <v>1</v>
      </c>
      <c r="AB22" s="1813">
        <v>1</v>
      </c>
      <c r="AC22" s="1813">
        <v>1</v>
      </c>
    </row>
    <row r="23" spans="1:29" s="117" customFormat="1" ht="42.75">
      <c r="A23" s="648"/>
      <c r="B23" s="632" t="s">
        <v>2657</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8"/>
      <c r="Q23" s="1797" t="str">
        <f t="shared" si="8"/>
        <v>公共配套设施</v>
      </c>
      <c r="R23" s="769" t="s">
        <v>17</v>
      </c>
      <c r="S23" s="770">
        <f>F23</f>
        <v>100</v>
      </c>
      <c r="T23" s="769" t="s">
        <v>17</v>
      </c>
      <c r="U23" s="770">
        <f>H23</f>
        <v>100</v>
      </c>
      <c r="V23" s="769" t="s">
        <v>17</v>
      </c>
      <c r="W23" s="770">
        <f>J23</f>
        <v>100</v>
      </c>
      <c r="X23" s="771"/>
      <c r="Y23" s="3168"/>
      <c r="Z23" s="55" t="str">
        <f>Q23</f>
        <v>公共配套设施</v>
      </c>
      <c r="AA23" s="1813">
        <f>D23/F23</f>
        <v>1</v>
      </c>
      <c r="AB23" s="1813">
        <f>D23/H23</f>
        <v>1</v>
      </c>
      <c r="AC23" s="1813">
        <f>D23/J23</f>
        <v>1</v>
      </c>
    </row>
    <row r="24" spans="1:29" s="117" customFormat="1" ht="15">
      <c r="A24" s="648"/>
      <c r="B24" s="631"/>
      <c r="C24" s="2701"/>
      <c r="D24" s="447"/>
      <c r="E24" s="2612"/>
      <c r="F24" s="447"/>
      <c r="G24" s="2612"/>
      <c r="H24" s="447"/>
      <c r="I24" s="446"/>
      <c r="J24" s="447"/>
      <c r="K24" s="671"/>
      <c r="L24" s="1134"/>
      <c r="M24" s="1135"/>
      <c r="N24" s="1135"/>
      <c r="O24" s="1136"/>
      <c r="P24" s="3168"/>
      <c r="Q24" s="1797"/>
      <c r="R24" s="769"/>
      <c r="S24" s="770"/>
      <c r="T24" s="769"/>
      <c r="U24" s="770"/>
      <c r="V24" s="769"/>
      <c r="W24" s="770"/>
      <c r="X24" s="771"/>
      <c r="Y24" s="3168"/>
      <c r="Z24" s="55"/>
      <c r="AA24" s="772">
        <v>1</v>
      </c>
      <c r="AB24" s="772">
        <v>1</v>
      </c>
      <c r="AC24" s="772">
        <v>1</v>
      </c>
    </row>
    <row r="25" spans="1:29" s="117" customFormat="1" ht="28.5">
      <c r="A25" s="648"/>
      <c r="B25" s="632" t="s">
        <v>2658</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8"/>
      <c r="Q25" s="1797" t="str">
        <f t="shared" ref="Q25" si="9">B25</f>
        <v>基础设施水平</v>
      </c>
      <c r="R25" s="769" t="s">
        <v>17</v>
      </c>
      <c r="S25" s="770">
        <f>F25</f>
        <v>100</v>
      </c>
      <c r="T25" s="769" t="s">
        <v>17</v>
      </c>
      <c r="U25" s="770">
        <f>H25</f>
        <v>100</v>
      </c>
      <c r="V25" s="769" t="s">
        <v>17</v>
      </c>
      <c r="W25" s="770">
        <f>J25</f>
        <v>100</v>
      </c>
      <c r="X25" s="771"/>
      <c r="Y25" s="3168"/>
      <c r="Z25" s="55" t="str">
        <f>Q25</f>
        <v>基础设施水平</v>
      </c>
      <c r="AA25" s="1813">
        <f>D25/F25</f>
        <v>1</v>
      </c>
      <c r="AB25" s="1813">
        <f>D25/H25</f>
        <v>1</v>
      </c>
      <c r="AC25" s="1813">
        <f>D25/J25</f>
        <v>1</v>
      </c>
    </row>
    <row r="26" spans="1:29" s="117" customFormat="1" ht="15">
      <c r="A26" s="648"/>
      <c r="B26" s="631"/>
      <c r="C26" s="2701"/>
      <c r="D26" s="447"/>
      <c r="E26" s="2702"/>
      <c r="F26" s="447"/>
      <c r="G26" s="2702"/>
      <c r="H26" s="447"/>
      <c r="I26" s="2702"/>
      <c r="J26" s="447"/>
      <c r="K26" s="671"/>
      <c r="L26" s="1134"/>
      <c r="M26" s="1135"/>
      <c r="N26" s="1135"/>
      <c r="O26" s="1136"/>
      <c r="P26" s="3168"/>
      <c r="Q26" s="1797"/>
      <c r="R26" s="769"/>
      <c r="S26" s="770"/>
      <c r="T26" s="769"/>
      <c r="U26" s="770"/>
      <c r="V26" s="769"/>
      <c r="W26" s="770"/>
      <c r="X26" s="771"/>
      <c r="Y26" s="3168"/>
      <c r="Z26" s="55"/>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8"/>
      <c r="Z27" s="1816" t="str">
        <f t="shared" ref="Z27:Z40" si="13">Q27</f>
        <v>临街状况</v>
      </c>
      <c r="AA27" s="1813">
        <f t="shared" si="3"/>
        <v>1</v>
      </c>
      <c r="AB27" s="1813">
        <f t="shared" si="4"/>
        <v>1</v>
      </c>
      <c r="AC27" s="1813">
        <f t="shared" si="5"/>
        <v>1</v>
      </c>
    </row>
    <row r="28" spans="1:29" ht="27">
      <c r="A28" s="427"/>
      <c r="B28" s="632" t="s">
        <v>2694</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8"/>
      <c r="Q28" s="1812" t="str">
        <f t="shared" si="8"/>
        <v>毗邻道路的类型与等级</v>
      </c>
      <c r="R28" s="773" t="s">
        <v>17</v>
      </c>
      <c r="S28" s="774">
        <f t="shared" si="10"/>
        <v>100</v>
      </c>
      <c r="T28" s="773" t="s">
        <v>17</v>
      </c>
      <c r="U28" s="774">
        <f t="shared" si="11"/>
        <v>100</v>
      </c>
      <c r="V28" s="773" t="s">
        <v>17</v>
      </c>
      <c r="W28" s="774">
        <f t="shared" si="12"/>
        <v>100</v>
      </c>
      <c r="X28" s="1815"/>
      <c r="Y28" s="3168"/>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168"/>
      <c r="Q29" s="1812"/>
      <c r="R29" s="773"/>
      <c r="S29" s="774"/>
      <c r="T29" s="773"/>
      <c r="U29" s="774"/>
      <c r="V29" s="773"/>
      <c r="W29" s="774"/>
      <c r="X29" s="1815"/>
      <c r="Y29" s="3168"/>
      <c r="Z29" s="1816"/>
      <c r="AA29" s="1813">
        <v>1</v>
      </c>
      <c r="AB29" s="1813">
        <v>1</v>
      </c>
      <c r="AC29" s="1813">
        <v>1</v>
      </c>
    </row>
    <row r="30" spans="1:29" ht="15">
      <c r="A30" s="427"/>
      <c r="B30" s="653" t="s">
        <v>2753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8"/>
      <c r="Q30" s="1812" t="str">
        <f t="shared" si="8"/>
        <v>土地级别</v>
      </c>
      <c r="R30" s="773" t="s">
        <v>17</v>
      </c>
      <c r="S30" s="774">
        <f t="shared" si="10"/>
        <v>100</v>
      </c>
      <c r="T30" s="773" t="s">
        <v>17</v>
      </c>
      <c r="U30" s="774">
        <f t="shared" si="11"/>
        <v>100</v>
      </c>
      <c r="V30" s="773" t="s">
        <v>17</v>
      </c>
      <c r="W30" s="774">
        <f t="shared" si="12"/>
        <v>100</v>
      </c>
      <c r="X30" s="1815"/>
      <c r="Y30" s="3168"/>
      <c r="Z30" s="1816" t="str">
        <f t="shared" si="13"/>
        <v>土地级别</v>
      </c>
      <c r="AA30" s="1813">
        <f t="shared" si="3"/>
        <v>1</v>
      </c>
      <c r="AB30" s="1813">
        <f t="shared" si="4"/>
        <v>1</v>
      </c>
      <c r="AC30" s="1813">
        <f t="shared" si="5"/>
        <v>1</v>
      </c>
    </row>
    <row r="31" spans="1:29" ht="15">
      <c r="A31" s="404"/>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8"/>
      <c r="Q31" s="1812">
        <f t="shared" si="8"/>
        <v>111</v>
      </c>
      <c r="R31" s="773" t="s">
        <v>17</v>
      </c>
      <c r="S31" s="774">
        <f t="shared" si="10"/>
        <v>100</v>
      </c>
      <c r="T31" s="773" t="s">
        <v>17</v>
      </c>
      <c r="U31" s="774">
        <f t="shared" si="11"/>
        <v>100</v>
      </c>
      <c r="V31" s="773" t="s">
        <v>17</v>
      </c>
      <c r="W31" s="774">
        <f t="shared" si="12"/>
        <v>100</v>
      </c>
      <c r="X31" s="1815"/>
      <c r="Y31" s="3168"/>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69" t="s">
        <v>2568</v>
      </c>
      <c r="Q32" s="1812">
        <f t="shared" si="8"/>
        <v>111</v>
      </c>
      <c r="R32" s="773" t="s">
        <v>17</v>
      </c>
      <c r="S32" s="774">
        <f t="shared" si="10"/>
        <v>100</v>
      </c>
      <c r="T32" s="773" t="s">
        <v>17</v>
      </c>
      <c r="U32" s="774">
        <f t="shared" si="11"/>
        <v>100</v>
      </c>
      <c r="V32" s="773" t="s">
        <v>17</v>
      </c>
      <c r="W32" s="774">
        <f t="shared" si="12"/>
        <v>100</v>
      </c>
      <c r="X32" s="1815"/>
      <c r="Y32" s="3170" t="s">
        <v>2568</v>
      </c>
      <c r="Z32" s="1816">
        <f t="shared" si="13"/>
        <v>111</v>
      </c>
      <c r="AA32" s="1813">
        <f t="shared" si="3"/>
        <v>1</v>
      </c>
      <c r="AB32" s="1813">
        <f t="shared" si="4"/>
        <v>1</v>
      </c>
      <c r="AC32" s="1813">
        <f t="shared" si="5"/>
        <v>1</v>
      </c>
    </row>
    <row r="33" spans="1:29" s="470" customFormat="1" ht="15.75" thickBot="1">
      <c r="A33" s="675"/>
      <c r="B33" s="2716">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0"/>
      <c r="Q33" s="1812">
        <f t="shared" si="8"/>
        <v>111</v>
      </c>
      <c r="R33" s="776" t="s">
        <v>17</v>
      </c>
      <c r="S33" s="777">
        <f t="shared" si="10"/>
        <v>100</v>
      </c>
      <c r="T33" s="776" t="s">
        <v>17</v>
      </c>
      <c r="U33" s="777">
        <f t="shared" si="11"/>
        <v>100</v>
      </c>
      <c r="V33" s="776" t="s">
        <v>17</v>
      </c>
      <c r="W33" s="777">
        <f t="shared" si="12"/>
        <v>100</v>
      </c>
      <c r="X33" s="778"/>
      <c r="Y33" s="3170"/>
      <c r="Z33" s="779">
        <f t="shared" si="13"/>
        <v>111</v>
      </c>
      <c r="AA33" s="1813">
        <f t="shared" si="3"/>
        <v>1</v>
      </c>
      <c r="AB33" s="1813">
        <f t="shared" si="4"/>
        <v>1</v>
      </c>
      <c r="AC33" s="1813">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0"/>
      <c r="Q34" s="1812" t="str">
        <f>B34</f>
        <v>宗地面积</v>
      </c>
      <c r="R34" s="773" t="s">
        <v>17</v>
      </c>
      <c r="S34" s="774" t="e">
        <f t="shared" si="10"/>
        <v>#N/A</v>
      </c>
      <c r="T34" s="773" t="s">
        <v>17</v>
      </c>
      <c r="U34" s="774" t="e">
        <f t="shared" si="11"/>
        <v>#N/A</v>
      </c>
      <c r="V34" s="773" t="s">
        <v>17</v>
      </c>
      <c r="W34" s="774" t="e">
        <f t="shared" si="12"/>
        <v>#N/A</v>
      </c>
      <c r="X34" s="1815"/>
      <c r="Y34" s="3170"/>
      <c r="Z34" s="1816" t="str">
        <f t="shared" si="13"/>
        <v>宗地面积</v>
      </c>
      <c r="AA34" s="1813" t="e">
        <f t="shared" si="3"/>
        <v>#N/A</v>
      </c>
      <c r="AB34" s="1813" t="e">
        <f t="shared" si="4"/>
        <v>#N/A</v>
      </c>
      <c r="AC34" s="1813" t="e">
        <f t="shared" si="5"/>
        <v>#N/A</v>
      </c>
    </row>
    <row r="35" spans="1:29" ht="15">
      <c r="A35" s="471"/>
      <c r="B35" s="421" t="s">
        <v>2755</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70"/>
      <c r="Q35" s="1812" t="str">
        <f t="shared" ref="Q35:Q40" si="14">B35</f>
        <v>宗地形状</v>
      </c>
      <c r="R35" s="773" t="s">
        <v>17</v>
      </c>
      <c r="S35" s="774">
        <f t="shared" si="10"/>
        <v>100</v>
      </c>
      <c r="T35" s="773" t="s">
        <v>17</v>
      </c>
      <c r="U35" s="774">
        <f t="shared" si="11"/>
        <v>100</v>
      </c>
      <c r="V35" s="773" t="s">
        <v>17</v>
      </c>
      <c r="W35" s="774">
        <f t="shared" si="12"/>
        <v>100</v>
      </c>
      <c r="X35" s="1815"/>
      <c r="Y35" s="3170"/>
      <c r="Z35" s="1816" t="str">
        <f t="shared" si="13"/>
        <v>宗地形状</v>
      </c>
      <c r="AA35" s="1813">
        <f t="shared" si="3"/>
        <v>1</v>
      </c>
      <c r="AB35" s="1813">
        <f t="shared" si="4"/>
        <v>1</v>
      </c>
      <c r="AC35" s="1813">
        <f t="shared" si="5"/>
        <v>1</v>
      </c>
    </row>
    <row r="36" spans="1:29" s="117" customFormat="1" ht="15">
      <c r="A36" s="472"/>
      <c r="B36" s="421" t="s">
        <v>2757</v>
      </c>
      <c r="C36" s="2703"/>
      <c r="D36" s="136">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70"/>
      <c r="Q36" s="1812" t="str">
        <f t="shared" si="14"/>
        <v>宗地开发程度</v>
      </c>
      <c r="R36" s="769" t="s">
        <v>17</v>
      </c>
      <c r="S36" s="770">
        <f t="shared" si="10"/>
        <v>100</v>
      </c>
      <c r="T36" s="769" t="s">
        <v>17</v>
      </c>
      <c r="U36" s="770">
        <f t="shared" si="11"/>
        <v>100</v>
      </c>
      <c r="V36" s="769" t="s">
        <v>17</v>
      </c>
      <c r="W36" s="770">
        <f t="shared" si="12"/>
        <v>100</v>
      </c>
      <c r="X36" s="771"/>
      <c r="Y36" s="3170"/>
      <c r="Z36" s="55" t="str">
        <f t="shared" si="13"/>
        <v>宗地开发程度</v>
      </c>
      <c r="AA36" s="772">
        <f t="shared" si="3"/>
        <v>1</v>
      </c>
      <c r="AB36" s="772">
        <f t="shared" si="4"/>
        <v>1</v>
      </c>
      <c r="AC36" s="772">
        <f t="shared" si="5"/>
        <v>1</v>
      </c>
    </row>
    <row r="37" spans="1:29" ht="15">
      <c r="A37" s="471"/>
      <c r="B37" s="421" t="s">
        <v>2758</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70" t="s">
        <v>2568</v>
      </c>
      <c r="Q37" s="1812" t="str">
        <f t="shared" si="14"/>
        <v>工程地质条件</v>
      </c>
      <c r="R37" s="773" t="s">
        <v>17</v>
      </c>
      <c r="S37" s="774">
        <f t="shared" si="10"/>
        <v>100</v>
      </c>
      <c r="T37" s="773" t="s">
        <v>17</v>
      </c>
      <c r="U37" s="774">
        <f t="shared" si="11"/>
        <v>100</v>
      </c>
      <c r="V37" s="773" t="s">
        <v>17</v>
      </c>
      <c r="W37" s="774">
        <f t="shared" si="12"/>
        <v>100</v>
      </c>
      <c r="X37" s="1815"/>
      <c r="Y37" s="3170" t="s">
        <v>2568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0"/>
      <c r="Q38" s="1812">
        <f t="shared" si="14"/>
        <v>111</v>
      </c>
      <c r="R38" s="773" t="s">
        <v>17</v>
      </c>
      <c r="S38" s="774">
        <f t="shared" si="10"/>
        <v>100</v>
      </c>
      <c r="T38" s="773" t="s">
        <v>17</v>
      </c>
      <c r="U38" s="774">
        <f t="shared" si="11"/>
        <v>100</v>
      </c>
      <c r="V38" s="773" t="s">
        <v>17</v>
      </c>
      <c r="W38" s="774">
        <f t="shared" si="12"/>
        <v>100</v>
      </c>
      <c r="X38" s="1815"/>
      <c r="Y38" s="317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0"/>
      <c r="Q39" s="1812">
        <f t="shared" si="14"/>
        <v>111</v>
      </c>
      <c r="R39" s="773" t="s">
        <v>17</v>
      </c>
      <c r="S39" s="774">
        <f t="shared" si="10"/>
        <v>100</v>
      </c>
      <c r="T39" s="773" t="s">
        <v>17</v>
      </c>
      <c r="U39" s="774">
        <f t="shared" si="11"/>
        <v>100</v>
      </c>
      <c r="V39" s="773" t="s">
        <v>17</v>
      </c>
      <c r="W39" s="774">
        <f t="shared" si="12"/>
        <v>100</v>
      </c>
      <c r="X39" s="1815"/>
      <c r="Y39" s="3170"/>
      <c r="Z39" s="1816">
        <f t="shared" si="13"/>
        <v>111</v>
      </c>
      <c r="AA39" s="1813">
        <f t="shared" si="3"/>
        <v>1</v>
      </c>
      <c r="AB39" s="1813">
        <f t="shared" si="4"/>
        <v>1</v>
      </c>
      <c r="AC39" s="1813">
        <f t="shared" si="5"/>
        <v>1</v>
      </c>
    </row>
    <row r="40" spans="1:29" s="470" customFormat="1" ht="15.75" thickBot="1">
      <c r="A40" s="467"/>
      <c r="B40" s="1389">
        <v>111</v>
      </c>
      <c r="C40" s="2704"/>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0"/>
      <c r="Q40" s="1812">
        <f t="shared" si="14"/>
        <v>111</v>
      </c>
      <c r="R40" s="776" t="s">
        <v>17</v>
      </c>
      <c r="S40" s="777">
        <f t="shared" si="10"/>
        <v>100</v>
      </c>
      <c r="T40" s="776" t="s">
        <v>17</v>
      </c>
      <c r="U40" s="777">
        <f t="shared" si="11"/>
        <v>100</v>
      </c>
      <c r="V40" s="776" t="s">
        <v>17</v>
      </c>
      <c r="W40" s="777">
        <f t="shared" si="12"/>
        <v>100</v>
      </c>
      <c r="X40" s="778"/>
      <c r="Y40" s="3170"/>
      <c r="Z40" s="779">
        <f t="shared" si="13"/>
        <v>111</v>
      </c>
      <c r="AA40" s="1813">
        <f t="shared" si="3"/>
        <v>1</v>
      </c>
      <c r="AB40" s="1813">
        <f t="shared" si="4"/>
        <v>1</v>
      </c>
      <c r="AC40" s="1813">
        <f t="shared" si="5"/>
        <v>1</v>
      </c>
    </row>
    <row r="41" spans="1:29" ht="15">
      <c r="A41" s="478" t="s">
        <v>2723</v>
      </c>
      <c r="B41" s="2705" t="s">
        <v>2803</v>
      </c>
      <c r="C41" s="681" t="s">
        <v>1</v>
      </c>
      <c r="D41" s="480"/>
      <c r="E41" s="481"/>
      <c r="F41" s="482"/>
      <c r="G41" s="483"/>
      <c r="H41" s="484"/>
      <c r="I41" s="481"/>
      <c r="J41" s="484"/>
      <c r="K41" s="782"/>
      <c r="L41" s="1145"/>
      <c r="M41" s="1133"/>
      <c r="N41" s="1133"/>
      <c r="O41" s="1146"/>
      <c r="P41" s="3165" t="str">
        <f>A41</f>
        <v>成交单价</v>
      </c>
      <c r="Q41" s="3165"/>
      <c r="R41" s="3171">
        <f>E41</f>
        <v>0</v>
      </c>
      <c r="S41" s="3171"/>
      <c r="T41" s="3171">
        <f>G41</f>
        <v>0</v>
      </c>
      <c r="U41" s="3171"/>
      <c r="V41" s="3171">
        <f>I41</f>
        <v>0</v>
      </c>
      <c r="W41" s="3171"/>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5"/>
      <c r="M42" s="1133"/>
      <c r="N42" s="1133"/>
      <c r="O42" s="1146"/>
      <c r="P42" s="3165" t="str">
        <f>A42</f>
        <v>比较价值（元/平方米）</v>
      </c>
      <c r="Q42" s="3165"/>
      <c r="R42" s="3158" t="e">
        <f>ROUND(PRODUCT(R41,AA7:AA40),0)</f>
        <v>#DIV/0!</v>
      </c>
      <c r="S42" s="3158"/>
      <c r="T42" s="3158" t="e">
        <f>ROUND(PRODUCT(T41,AB7:AB40),0)</f>
        <v>#DIV/0!</v>
      </c>
      <c r="U42" s="3158"/>
      <c r="V42" s="3158" t="e">
        <f>ROUND(PRODUCT(V41,AC7:AC40),0)</f>
        <v>#DIV/0!</v>
      </c>
      <c r="W42" s="3158"/>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5"/>
      <c r="M43" s="1133"/>
      <c r="N43" s="1133"/>
      <c r="O43" s="1146"/>
      <c r="P43" s="3159" t="str">
        <f>A43</f>
        <v>估价对象XX用房的比较价值（楼面单价，元/平方米）</v>
      </c>
      <c r="Q43" s="3160"/>
      <c r="R43" s="3161" t="e">
        <f>ROUND(AVERAGE(R42:V42),0)</f>
        <v>#DIV/0!</v>
      </c>
      <c r="S43" s="3161"/>
      <c r="T43" s="3161"/>
      <c r="U43" s="3161"/>
      <c r="V43" s="3161"/>
      <c r="W43" s="316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2761</v>
      </c>
      <c r="B50" s="684" t="s">
        <v>2762</v>
      </c>
      <c r="C50" s="2706" t="s">
        <v>2763</v>
      </c>
      <c r="D50" s="2707" t="s">
        <v>2764</v>
      </c>
      <c r="E50" s="685" t="s">
        <v>2765</v>
      </c>
      <c r="F50" s="686" t="s">
        <v>2766</v>
      </c>
      <c r="G50" s="3162" t="s">
        <v>2767</v>
      </c>
      <c r="H50" s="3163"/>
      <c r="I50" s="1816" t="s">
        <v>2804</v>
      </c>
      <c r="J50" s="1816" t="str">
        <f>项目基本情况!F35</f>
        <v>江苏省</v>
      </c>
      <c r="K50" s="2709" t="s">
        <v>2769</v>
      </c>
      <c r="L50" s="1108"/>
      <c r="M50" s="1146"/>
      <c r="N50" s="1146"/>
      <c r="O50" s="1146"/>
    </row>
    <row r="51" spans="1:17" s="691" customFormat="1">
      <c r="A51" s="687" t="s">
        <v>2770</v>
      </c>
      <c r="B51" s="688" t="e">
        <f>C43</f>
        <v>#DIV/0!</v>
      </c>
      <c r="C51" s="689">
        <v>1</v>
      </c>
      <c r="D51" s="1165">
        <v>1</v>
      </c>
      <c r="E51" s="689">
        <f>'数据-汇总表'!E8+'数据-汇总表'!E9</f>
        <v>56971.88999999997</v>
      </c>
      <c r="F51" s="690" t="e">
        <f t="shared" ref="F51:F60" si="15">ROUND(B51*E51/10000,0)</f>
        <v>#DIV/0!</v>
      </c>
      <c r="G51" s="3164"/>
      <c r="H51" s="3165"/>
      <c r="I51" s="944">
        <v>1</v>
      </c>
      <c r="J51" s="944">
        <v>1</v>
      </c>
      <c r="K51" s="1147"/>
      <c r="L51" s="943"/>
      <c r="M51" s="943"/>
      <c r="N51" s="943"/>
      <c r="O51" s="943"/>
    </row>
    <row r="52" spans="1:17" s="691" customFormat="1">
      <c r="A52" s="692" t="s">
        <v>2771</v>
      </c>
      <c r="B52" s="262" t="e">
        <f>ROUND($C$43*C52*D52,0)</f>
        <v>#DIV/0!</v>
      </c>
      <c r="C52" s="200">
        <f t="shared" ref="C52:C60" si="16">IF($C$50="北京市系数",I52,J52)</f>
        <v>0</v>
      </c>
      <c r="D52" s="1166">
        <v>0.25</v>
      </c>
      <c r="E52" s="693"/>
      <c r="F52" s="690" t="e">
        <f t="shared" si="15"/>
        <v>#DIV/0!</v>
      </c>
      <c r="G52" s="3166" t="s">
        <v>2772</v>
      </c>
      <c r="H52" s="1106">
        <f>项目基本情况!B37</f>
        <v>0</v>
      </c>
      <c r="I52" s="944">
        <f>SUMIF(修正!A45:A56,H52,修正!B45:B56)</f>
        <v>0</v>
      </c>
      <c r="J52" s="945"/>
      <c r="K52" s="1146"/>
      <c r="L52" s="943"/>
      <c r="M52" s="943"/>
      <c r="N52" s="943"/>
      <c r="O52" s="943"/>
    </row>
    <row r="53" spans="1:17" s="691" customFormat="1">
      <c r="A53" s="692" t="s">
        <v>2773</v>
      </c>
      <c r="B53" s="262" t="e">
        <f t="shared" ref="B53:B60" si="17">ROUND($C$43*C53*D53,0)</f>
        <v>#DIV/0!</v>
      </c>
      <c r="C53" s="200">
        <f t="shared" si="16"/>
        <v>0</v>
      </c>
      <c r="D53" s="1166">
        <v>0.25</v>
      </c>
      <c r="E53" s="693"/>
      <c r="F53" s="690" t="e">
        <f t="shared" si="15"/>
        <v>#DIV/0!</v>
      </c>
      <c r="G53" s="3166"/>
      <c r="H53" s="1106">
        <f>项目基本情况!B37</f>
        <v>0</v>
      </c>
      <c r="I53" s="944">
        <f>SUMIF(修正!A45:A56,H53,修正!C45:C56)</f>
        <v>0</v>
      </c>
      <c r="J53" s="945"/>
      <c r="K53" s="1147"/>
      <c r="L53" s="943"/>
      <c r="M53" s="943"/>
      <c r="N53" s="943"/>
      <c r="O53" s="943"/>
    </row>
    <row r="54" spans="1:17" s="691" customFormat="1">
      <c r="A54" s="692" t="s">
        <v>2774</v>
      </c>
      <c r="B54" s="262" t="e">
        <f t="shared" si="17"/>
        <v>#DIV/0!</v>
      </c>
      <c r="C54" s="200">
        <f t="shared" si="16"/>
        <v>0</v>
      </c>
      <c r="D54" s="1166">
        <v>0.25</v>
      </c>
      <c r="E54" s="693"/>
      <c r="F54" s="690" t="e">
        <f t="shared" si="15"/>
        <v>#DIV/0!</v>
      </c>
      <c r="G54" s="3166"/>
      <c r="H54" s="1106">
        <f>项目基本情况!B37</f>
        <v>0</v>
      </c>
      <c r="I54" s="944">
        <f>SUMIF(修正!A45:A56,H54,修正!D45:D56)</f>
        <v>0</v>
      </c>
      <c r="J54" s="945"/>
      <c r="K54" s="1146"/>
      <c r="L54" s="943"/>
      <c r="M54" s="943"/>
      <c r="N54" s="943"/>
      <c r="O54" s="943"/>
    </row>
    <row r="55" spans="1:17" s="691" customFormat="1">
      <c r="A55" s="692" t="s">
        <v>2775</v>
      </c>
      <c r="B55" s="262" t="e">
        <f t="shared" si="17"/>
        <v>#DIV/0!</v>
      </c>
      <c r="C55" s="200">
        <f t="shared" si="16"/>
        <v>0</v>
      </c>
      <c r="D55" s="1166">
        <v>0.25</v>
      </c>
      <c r="E55" s="693"/>
      <c r="F55" s="690" t="e">
        <f t="shared" si="15"/>
        <v>#DIV/0!</v>
      </c>
      <c r="G55" s="3166"/>
      <c r="H55" s="1106">
        <f>项目基本情况!B37</f>
        <v>0</v>
      </c>
      <c r="I55" s="944">
        <f>SUMIF(修正!A45:A56,H55,修正!E45:E56)</f>
        <v>0</v>
      </c>
      <c r="J55" s="945"/>
      <c r="K55" s="1147"/>
      <c r="L55" s="943"/>
      <c r="M55" s="943"/>
      <c r="N55" s="943"/>
      <c r="O55" s="943"/>
    </row>
    <row r="56" spans="1:17" s="691" customFormat="1">
      <c r="A56" s="692" t="s">
        <v>2776</v>
      </c>
      <c r="B56" s="262" t="e">
        <f t="shared" si="17"/>
        <v>#DIV/0!</v>
      </c>
      <c r="C56" s="200">
        <f t="shared" si="16"/>
        <v>0</v>
      </c>
      <c r="D56" s="1166">
        <v>0.25</v>
      </c>
      <c r="E56" s="261">
        <f>'数据-汇总表'!E11</f>
        <v>0</v>
      </c>
      <c r="F56" s="690" t="e">
        <f t="shared" si="15"/>
        <v>#DIV/0!</v>
      </c>
      <c r="G56" s="2710" t="s">
        <v>2777</v>
      </c>
      <c r="H56" s="1106">
        <f>项目基本情况!C37</f>
        <v>0</v>
      </c>
      <c r="I56" s="944">
        <f>SUMIF(修正!A45:A56,H56,修正!F45:F56)</f>
        <v>0</v>
      </c>
      <c r="J56" s="945"/>
      <c r="K56" s="1146"/>
      <c r="L56" s="943"/>
      <c r="M56" s="943"/>
      <c r="N56" s="943"/>
      <c r="O56" s="943"/>
    </row>
    <row r="57" spans="1:17" s="691" customFormat="1">
      <c r="A57" s="692" t="s">
        <v>2778</v>
      </c>
      <c r="B57" s="262" t="e">
        <f t="shared" si="17"/>
        <v>#DIV/0!</v>
      </c>
      <c r="C57" s="200">
        <f t="shared" si="16"/>
        <v>0</v>
      </c>
      <c r="D57" s="1166">
        <v>0.25</v>
      </c>
      <c r="E57" s="261">
        <f>'数据-汇总表'!E12</f>
        <v>0</v>
      </c>
      <c r="F57" s="690"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2780</v>
      </c>
      <c r="B58" s="262" t="e">
        <f t="shared" si="17"/>
        <v>#DIV/0!</v>
      </c>
      <c r="C58" s="200">
        <f t="shared" si="16"/>
        <v>0</v>
      </c>
      <c r="D58" s="1166">
        <v>0.25</v>
      </c>
      <c r="E58" s="261">
        <f>'数据-汇总表'!E13</f>
        <v>0</v>
      </c>
      <c r="F58" s="690"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2782</v>
      </c>
      <c r="B59" s="262" t="e">
        <f t="shared" si="17"/>
        <v>#DIV/0!</v>
      </c>
      <c r="C59" s="200">
        <f t="shared" si="16"/>
        <v>0</v>
      </c>
      <c r="D59" s="1166">
        <v>0.25</v>
      </c>
      <c r="E59" s="261">
        <f>'数据-汇总表'!E14</f>
        <v>0</v>
      </c>
      <c r="F59" s="690" t="e">
        <f t="shared" si="15"/>
        <v>#DIV/0!</v>
      </c>
      <c r="G59" s="2710" t="s">
        <v>2772</v>
      </c>
      <c r="H59" s="1106">
        <f>项目基本情况!B37</f>
        <v>0</v>
      </c>
      <c r="I59" s="944">
        <f>SUMIF(修正!A45:A56,H59,修正!H45:H56)</f>
        <v>0</v>
      </c>
      <c r="J59" s="945"/>
      <c r="K59" s="1147"/>
      <c r="L59" s="943"/>
      <c r="M59" s="943"/>
      <c r="N59" s="943"/>
      <c r="O59" s="943"/>
    </row>
    <row r="60" spans="1:17" s="691" customFormat="1" ht="15" thickBot="1">
      <c r="A60" s="692" t="s">
        <v>2783</v>
      </c>
      <c r="B60" s="262" t="e">
        <f t="shared" si="17"/>
        <v>#DIV/0!</v>
      </c>
      <c r="C60" s="200">
        <f t="shared" si="16"/>
        <v>0</v>
      </c>
      <c r="D60" s="1166">
        <v>0.25</v>
      </c>
      <c r="E60" s="261">
        <f>'数据-汇总表'!E15</f>
        <v>0</v>
      </c>
      <c r="F60" s="690" t="e">
        <f t="shared" si="15"/>
        <v>#DIV/0!</v>
      </c>
      <c r="G60" s="2711" t="s">
        <v>2777</v>
      </c>
      <c r="H60" s="1116">
        <f>项目基本情况!C37</f>
        <v>0</v>
      </c>
      <c r="I60" s="944">
        <f>SUMIF(修正!A45:A56,H60,修正!H45:H56)</f>
        <v>0</v>
      </c>
      <c r="J60" s="945"/>
      <c r="K60" s="1146"/>
      <c r="L60" s="943"/>
      <c r="M60" s="943"/>
      <c r="N60" s="943"/>
      <c r="O60" s="943"/>
    </row>
    <row r="61" spans="1:17" s="691" customFormat="1" ht="15" thickBot="1">
      <c r="A61" s="694" t="s">
        <v>2784</v>
      </c>
      <c r="B61" s="695" t="s">
        <v>28</v>
      </c>
      <c r="C61" s="695" t="s">
        <v>29</v>
      </c>
      <c r="D61" s="695" t="s">
        <v>1029</v>
      </c>
      <c r="E61" s="695">
        <f>IF(B41="楼面地价",SUM(E51:E60),'数据-汇总表'!D3)</f>
        <v>29208.38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2677</v>
      </c>
      <c r="B64" s="758"/>
      <c r="C64" s="763"/>
      <c r="D64" s="763"/>
      <c r="E64" s="763"/>
      <c r="F64" s="764"/>
      <c r="G64" s="764"/>
      <c r="H64" s="763"/>
      <c r="I64" s="763"/>
      <c r="J64" s="763"/>
      <c r="K64" s="765"/>
      <c r="L64" s="766"/>
      <c r="M64" s="763"/>
      <c r="N64" s="763"/>
      <c r="O64" s="1161"/>
      <c r="P64" s="502"/>
      <c r="Q64" s="503"/>
    </row>
    <row r="65" spans="1:17" s="507" customFormat="1" ht="15">
      <c r="A65" s="2712" t="s">
        <v>2785</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7" t="s">
        <v>2805</v>
      </c>
      <c r="B66" s="332"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2588</v>
      </c>
      <c r="B67" s="515"/>
      <c r="C67" s="516"/>
      <c r="D67" s="517"/>
      <c r="E67" s="517"/>
      <c r="F67" s="517"/>
      <c r="G67" s="517"/>
      <c r="H67" s="517"/>
      <c r="I67" s="517"/>
      <c r="J67" s="517"/>
      <c r="K67" s="517"/>
      <c r="L67" s="517"/>
      <c r="M67" s="518"/>
      <c r="N67" s="518"/>
      <c r="O67" s="519"/>
      <c r="P67" s="503"/>
      <c r="Q67" s="503"/>
    </row>
    <row r="68" spans="1:17" s="117" customFormat="1" ht="15">
      <c r="A68" s="520" t="s">
        <v>2553</v>
      </c>
      <c r="B68" s="509"/>
      <c r="C68" s="521" t="s">
        <v>2655</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2591</v>
      </c>
      <c r="B70" s="527" t="s">
        <v>2557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2788</v>
      </c>
      <c r="C87" s="572" t="s">
        <v>2600</v>
      </c>
      <c r="D87" s="572" t="s">
        <v>2601</v>
      </c>
      <c r="E87" s="572" t="s">
        <v>2602</v>
      </c>
      <c r="F87" s="572" t="s">
        <v>2603</v>
      </c>
      <c r="G87" s="572" t="s">
        <v>2604</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2789</v>
      </c>
      <c r="C89" s="572" t="s">
        <v>2600</v>
      </c>
      <c r="D89" s="572" t="s">
        <v>2601</v>
      </c>
      <c r="E89" s="572" t="s">
        <v>2602</v>
      </c>
      <c r="F89" s="572" t="s">
        <v>2603</v>
      </c>
      <c r="G89" s="572" t="s">
        <v>2604</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2807</v>
      </c>
      <c r="B1" s="241"/>
      <c r="C1" s="245" t="s">
        <v>2808</v>
      </c>
      <c r="D1" s="388">
        <f>SUM(D29:D30,D33:D39)</f>
        <v>0</v>
      </c>
      <c r="E1" s="2718"/>
      <c r="F1" s="2718"/>
      <c r="G1" s="2718"/>
      <c r="H1" s="2718"/>
      <c r="I1" s="2718"/>
      <c r="J1" s="2718"/>
      <c r="K1" s="1372"/>
      <c r="L1" s="2719" t="s">
        <v>2809</v>
      </c>
      <c r="M1" s="1082">
        <f>SUMPRODUCT((区片价!B5:B9=I2)*(区片价!C3:F3=E2)*(区片价!C5:F9))</f>
        <v>0</v>
      </c>
      <c r="N1" s="1085">
        <f>SUMPRODUCT((因素修正幅度!B5:B9=I2)*(因素修正幅度!C3:F3=E2)*(因素修正幅度!C5:F9))</f>
        <v>0</v>
      </c>
      <c r="O1" s="2720"/>
      <c r="P1" s="2720"/>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5" t="s">
        <v>2815</v>
      </c>
      <c r="B2" s="248"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2"/>
      <c r="L2" s="2727"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2821</v>
      </c>
      <c r="B3" s="248" t="e">
        <f>ROUND(B2*10000/D1,0)</f>
        <v>#DIV/0!</v>
      </c>
      <c r="C3" s="2722" t="s">
        <v>2822</v>
      </c>
      <c r="D3" s="2723" t="s">
        <v>2823</v>
      </c>
      <c r="E3" s="2728"/>
      <c r="F3" s="2729" t="s">
        <v>2824</v>
      </c>
      <c r="G3" s="915">
        <f>IF(F3="宗地容积率",'数据-汇总表'!I4,IF(F3="估价对象容积率",'数据-汇总表'!I6,'数据-汇总表'!I7))</f>
        <v>2.16</v>
      </c>
      <c r="H3" s="198" t="s">
        <v>2825</v>
      </c>
      <c r="I3" s="946"/>
      <c r="J3" s="2726" t="s">
        <v>2826</v>
      </c>
      <c r="K3" s="1372"/>
      <c r="L3" s="2727"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27"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2829</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2831</v>
      </c>
      <c r="B6" s="2741" t="s">
        <v>2832</v>
      </c>
      <c r="C6" s="917">
        <f>SUMIF(L1:L12,G2,M1:M12)</f>
        <v>0</v>
      </c>
      <c r="D6" s="2742" t="s">
        <v>2833</v>
      </c>
      <c r="E6" s="2743"/>
      <c r="F6" s="2743"/>
      <c r="G6" s="2744"/>
      <c r="H6" s="2744"/>
      <c r="I6" s="2744"/>
      <c r="J6" s="2745"/>
      <c r="K6" s="1844"/>
      <c r="L6" s="2727"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65" t="str">
        <f>IF(E2="商业",IF(C8="不临58条商业街","",2),"")</f>
        <v/>
      </c>
      <c r="B7" s="2746" t="s">
        <v>2835</v>
      </c>
      <c r="C7" s="918" t="e">
        <f>IF(C8="不临58条商业街",1,ROUND(1+(1.6*E8+1.2*E9+0.8*E10+0.4*E11)*C9,4))</f>
        <v>#DIV/0!</v>
      </c>
      <c r="D7" s="2747" t="s">
        <v>2836</v>
      </c>
      <c r="E7" s="947"/>
      <c r="F7" s="2748"/>
      <c r="G7" s="2749"/>
      <c r="H7" s="2749"/>
      <c r="I7" s="2749"/>
      <c r="J7" s="2750"/>
      <c r="K7" s="1844"/>
      <c r="L7" s="2727"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2838</v>
      </c>
      <c r="X7" s="1606">
        <f>G2</f>
        <v>0</v>
      </c>
      <c r="Y7" s="1606" t="s">
        <v>2839</v>
      </c>
      <c r="Z7" s="1607">
        <f>G3</f>
        <v>2.16</v>
      </c>
      <c r="AA7" s="1608"/>
      <c r="AB7" s="1608"/>
      <c r="AC7" s="1609"/>
      <c r="AD7" s="1610"/>
      <c r="AE7" s="1610"/>
      <c r="AF7" s="1610"/>
      <c r="AG7" s="1610"/>
      <c r="AH7" s="1610"/>
      <c r="AI7" s="1610"/>
      <c r="AJ7" s="1611"/>
    </row>
    <row r="8" spans="1:36" ht="15">
      <c r="A8" s="3266"/>
      <c r="B8" s="198" t="s">
        <v>2840</v>
      </c>
      <c r="C8" s="2751"/>
      <c r="D8" s="919" t="s">
        <v>139</v>
      </c>
      <c r="E8" s="920" t="e">
        <f>ROUND(C11/E7,4)</f>
        <v>#DIV/0!</v>
      </c>
      <c r="F8" s="2752" t="s">
        <v>2841</v>
      </c>
      <c r="G8" s="2753"/>
      <c r="H8" s="2753"/>
      <c r="I8" s="2753"/>
      <c r="J8" s="2754"/>
      <c r="K8" s="1372"/>
      <c r="L8" s="2727"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8" t="s">
        <v>2843</v>
      </c>
      <c r="X8" s="3259"/>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66"/>
      <c r="B9" s="198" t="s">
        <v>2856</v>
      </c>
      <c r="C9" s="921">
        <f>SUMIF(修正!C59:C119,C8,修正!E59:E119)</f>
        <v>0</v>
      </c>
      <c r="D9" s="200" t="s">
        <v>140</v>
      </c>
      <c r="E9" s="200" t="e">
        <f>ROUND(C11/E7,4)</f>
        <v>#DIV/0!</v>
      </c>
      <c r="F9" s="2752" t="s">
        <v>2857</v>
      </c>
      <c r="G9" s="2753"/>
      <c r="H9" s="2753"/>
      <c r="I9" s="2753"/>
      <c r="J9" s="2754"/>
      <c r="K9" s="1372"/>
      <c r="L9" s="2727"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0"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2861</v>
      </c>
      <c r="C10" s="200">
        <f>SUMIF(修正!C59:C119,C8,修正!F59:F119)</f>
        <v>0</v>
      </c>
      <c r="D10" s="200" t="s">
        <v>141</v>
      </c>
      <c r="E10" s="200" t="e">
        <f>ROUND(C11/E7,4)</f>
        <v>#DIV/0!</v>
      </c>
      <c r="F10" s="2752" t="s">
        <v>2862</v>
      </c>
      <c r="G10" s="2753"/>
      <c r="H10" s="2753"/>
      <c r="I10" s="2753"/>
      <c r="J10" s="2754"/>
      <c r="K10" s="1372"/>
      <c r="L10" s="2727"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5" t="s">
        <v>2864</v>
      </c>
      <c r="C11" s="922">
        <f>C10/4</f>
        <v>0</v>
      </c>
      <c r="D11" s="922" t="s">
        <v>142</v>
      </c>
      <c r="E11" s="922" t="e">
        <f>ROUND(C11/E7,4)</f>
        <v>#DIV/0!</v>
      </c>
      <c r="F11" s="2756" t="s">
        <v>2865</v>
      </c>
      <c r="G11" s="2757"/>
      <c r="H11" s="2757"/>
      <c r="I11" s="2757"/>
      <c r="J11" s="2758"/>
      <c r="K11" s="1372"/>
      <c r="L11" s="2727"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0" t="s">
        <v>2867</v>
      </c>
      <c r="X11" s="1616" t="s">
        <v>2868</v>
      </c>
      <c r="Y11" s="1617">
        <f>$G$3</f>
        <v>2.16</v>
      </c>
      <c r="Z11" s="1617">
        <f t="shared" ref="Z11:AJ11" si="3">$G$3</f>
        <v>2.16</v>
      </c>
      <c r="AA11" s="1617">
        <f t="shared" si="3"/>
        <v>2.16</v>
      </c>
      <c r="AB11" s="1617">
        <f t="shared" si="3"/>
        <v>2.16</v>
      </c>
      <c r="AC11" s="1617">
        <f t="shared" si="3"/>
        <v>2.16</v>
      </c>
      <c r="AD11" s="1617">
        <f t="shared" si="3"/>
        <v>2.16</v>
      </c>
      <c r="AE11" s="1617">
        <f t="shared" si="3"/>
        <v>2.16</v>
      </c>
      <c r="AF11" s="1617">
        <f t="shared" si="3"/>
        <v>2.16</v>
      </c>
      <c r="AG11" s="1617">
        <f t="shared" si="3"/>
        <v>2.16</v>
      </c>
      <c r="AH11" s="1617">
        <f t="shared" si="3"/>
        <v>2.16</v>
      </c>
      <c r="AI11" s="1617">
        <f t="shared" si="3"/>
        <v>2.16</v>
      </c>
      <c r="AJ11" s="1617">
        <f t="shared" si="3"/>
        <v>2.16</v>
      </c>
    </row>
    <row r="12" spans="1:36" ht="25.5" thickBot="1">
      <c r="A12" s="3265" t="s">
        <v>2869</v>
      </c>
      <c r="B12" s="2759" t="s">
        <v>2870</v>
      </c>
      <c r="C12" s="918">
        <f>ROUND(C15*D15*E15*F15*G15*H15*I15*J15,4)</f>
        <v>1</v>
      </c>
      <c r="D12" s="2760" t="s">
        <v>2871</v>
      </c>
      <c r="E12" s="2761"/>
      <c r="F12" s="2761"/>
      <c r="G12" s="2762"/>
      <c r="H12" s="2762"/>
      <c r="I12" s="2762"/>
      <c r="J12" s="2763"/>
      <c r="K12" s="1372"/>
      <c r="L12" s="2764"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0"/>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5" t="s">
        <v>2874</v>
      </c>
      <c r="C13" s="2766" t="s">
        <v>2875</v>
      </c>
      <c r="D13" s="1810" t="s">
        <v>2876</v>
      </c>
      <c r="E13" s="1810" t="s">
        <v>2877</v>
      </c>
      <c r="F13" s="30" t="s">
        <v>2878</v>
      </c>
      <c r="G13" s="2767" t="s">
        <v>2879</v>
      </c>
      <c r="H13" s="2767" t="s">
        <v>2879</v>
      </c>
      <c r="I13" s="2767" t="s">
        <v>2879</v>
      </c>
      <c r="J13" s="2768" t="s">
        <v>2879</v>
      </c>
      <c r="K13" s="1372"/>
      <c r="L13" s="1372"/>
      <c r="M13" s="1372"/>
      <c r="N13" s="1372"/>
      <c r="O13" s="1372"/>
      <c r="P13" s="1372"/>
      <c r="Q13" s="1372"/>
      <c r="R13" s="1604">
        <v>12</v>
      </c>
      <c r="S13" s="1605"/>
      <c r="T13" s="1604" t="e">
        <f t="shared" si="0"/>
        <v>#DIV/0!</v>
      </c>
      <c r="U13" s="1605"/>
      <c r="V13" s="1604" t="e">
        <f t="shared" si="1"/>
        <v>#DIV/0!</v>
      </c>
      <c r="W13" s="3260"/>
      <c r="X13" s="1618"/>
      <c r="Y13" s="1615">
        <f>(-0.163*(Y12^2)-0.59*Y12+7617)*(10^(-4))/Y11</f>
        <v>0.35263888888888889</v>
      </c>
      <c r="Z13" s="1615">
        <f t="shared" ref="Z13:AJ13" si="5">(-0.163*(Z12^2)-0.59*Z12+7617)*(10^(-4))/Z11</f>
        <v>0.35263888888888889</v>
      </c>
      <c r="AA13" s="1615">
        <f t="shared" si="5"/>
        <v>0.35263888888888889</v>
      </c>
      <c r="AB13" s="1615">
        <f t="shared" si="5"/>
        <v>0.35263888888888889</v>
      </c>
      <c r="AC13" s="1615">
        <f t="shared" si="5"/>
        <v>0.35263888888888889</v>
      </c>
      <c r="AD13" s="1615">
        <f t="shared" si="5"/>
        <v>0.35263888888888889</v>
      </c>
      <c r="AE13" s="1615">
        <f t="shared" si="5"/>
        <v>0.35263888888888889</v>
      </c>
      <c r="AF13" s="1615">
        <f t="shared" si="5"/>
        <v>0.35263888888888889</v>
      </c>
      <c r="AG13" s="1615">
        <f t="shared" si="5"/>
        <v>0.35263888888888889</v>
      </c>
      <c r="AH13" s="1615">
        <f t="shared" si="5"/>
        <v>0.35263888888888889</v>
      </c>
      <c r="AI13" s="1615">
        <f t="shared" si="5"/>
        <v>0.35263888888888889</v>
      </c>
      <c r="AJ13" s="1615">
        <f t="shared" si="5"/>
        <v>0.35263888888888889</v>
      </c>
    </row>
    <row r="14" spans="1:36" ht="15">
      <c r="A14" s="3267"/>
      <c r="B14" s="2769"/>
      <c r="C14" s="2770"/>
      <c r="D14" s="2771"/>
      <c r="E14" s="2771"/>
      <c r="F14" s="2772"/>
      <c r="G14" s="2773" t="s">
        <v>2880</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77" t="s">
        <v>2881</v>
      </c>
      <c r="C15" s="229">
        <f>IF(C14="有",1.1,1)</f>
        <v>1</v>
      </c>
      <c r="D15" s="229">
        <f>IF(D14="有",1.1,1)</f>
        <v>1</v>
      </c>
      <c r="E15" s="229">
        <f>IF(E14="有",1.1,1)</f>
        <v>1</v>
      </c>
      <c r="F15" s="229">
        <f>IF(F14="500米范围内",1.2,IF(F14="500-1000米",1.1,1))</f>
        <v>1</v>
      </c>
      <c r="G15" s="948">
        <v>1</v>
      </c>
      <c r="H15" s="948">
        <v>1</v>
      </c>
      <c r="I15" s="948">
        <v>1</v>
      </c>
      <c r="J15" s="949">
        <v>1</v>
      </c>
      <c r="K15" s="1372"/>
      <c r="L15" s="2778" t="s">
        <v>2817</v>
      </c>
      <c r="M15" s="919" t="s">
        <v>2882</v>
      </c>
      <c r="N15" s="919" t="s">
        <v>2883</v>
      </c>
      <c r="O15" s="919" t="s">
        <v>2884</v>
      </c>
      <c r="P15" s="2779" t="s">
        <v>2885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2886</v>
      </c>
      <c r="B16" s="2746" t="s">
        <v>2887</v>
      </c>
      <c r="C16" s="1803" t="e">
        <f>ROUND(SUM(G17:J17)/C17,0)</f>
        <v>#DIV/0!</v>
      </c>
      <c r="D16" s="2780" t="s">
        <v>2888</v>
      </c>
      <c r="E16" s="2781"/>
      <c r="F16" s="2782"/>
      <c r="G16" s="2783"/>
      <c r="H16" s="2783"/>
      <c r="I16" s="2783"/>
      <c r="J16" s="2784"/>
      <c r="K16" s="1372"/>
      <c r="L16" s="2785" t="s">
        <v>2889</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6" t="s">
        <v>2890</v>
      </c>
      <c r="C17" s="923">
        <f>SUMPRODUCT((修正!A2:A5=E2)*(修正!B1:M1=G2)*(修正!B2:M5))</f>
        <v>0</v>
      </c>
      <c r="D17" s="2787"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2894</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2895</v>
      </c>
      <c r="C19" s="926" t="e">
        <f>ROUND(IF(H19="按公示增长率计算",SUMPRODUCT((地价!A3:A24=YEAR(G19)&amp;"-"&amp;ROUNDUP(MONTH(G19)/3,0))*(地价!X2:AB2=E2)*(地价!X3:AB24)),IF(H19="地价指数",M20/M19,(1+I19)^O19)),4)</f>
        <v>#DIV/0!</v>
      </c>
      <c r="D19" s="2798" t="s">
        <v>2896</v>
      </c>
      <c r="E19" s="927">
        <v>41640</v>
      </c>
      <c r="F19" s="2798" t="s">
        <v>2897</v>
      </c>
      <c r="G19" s="928">
        <f>'数据-取费表'!B2</f>
        <v>43424</v>
      </c>
      <c r="H19" s="2799" t="s">
        <v>2898</v>
      </c>
      <c r="I19" s="929" t="str">
        <f>IF(H19="季度增幅（自定义）",SUMIF(N21:N24,E2,O21:O24),"")</f>
        <v/>
      </c>
      <c r="J19" s="2796"/>
      <c r="K19" s="1379"/>
      <c r="L19" s="2800" t="s">
        <v>2899</v>
      </c>
      <c r="M19" s="1736">
        <f>ROUND(SUMIF(地价!B2:F2,E2,地价!B24:F24),0)</f>
        <v>0</v>
      </c>
      <c r="N19" s="2801" t="s">
        <v>2900</v>
      </c>
      <c r="O19" s="930">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2901</v>
      </c>
      <c r="C20" s="931" t="e">
        <f>ROUND(POWER(1+G20,J20-I20)*(POWER(1+G20,I20)-1)/(POWER(1+G20,J20)-1),4)</f>
        <v>#DIV/0!</v>
      </c>
      <c r="D20" s="2807" t="s">
        <v>2902</v>
      </c>
      <c r="E20" s="1770">
        <f ca="1">存贷款利率!D4/100</f>
        <v>4.3499999999999997E-2</v>
      </c>
      <c r="F20" s="2807" t="s">
        <v>2893</v>
      </c>
      <c r="G20" s="936">
        <f>SUMIF(M15:P15,E2,M17:P17)</f>
        <v>0</v>
      </c>
      <c r="H20" s="2807" t="s">
        <v>2903</v>
      </c>
      <c r="I20" s="937" t="e">
        <f>SUMIF('数据-取费表'!C6:C15,E2,'数据-取费表'!F6:F15)/COUNTIF('数据-取费表'!C6:C15,E2)</f>
        <v>#DIV/0!</v>
      </c>
      <c r="J20" s="938">
        <f>IF(E2="住宅",70,IF(E2="商业",40,50))</f>
        <v>50</v>
      </c>
      <c r="K20" s="1379"/>
      <c r="L20" s="2808" t="s">
        <v>2904</v>
      </c>
      <c r="M20" s="1737">
        <f>ROUND(SUMPRODUCT((地价!A4:A24=YEAR(G19)&amp;"-"&amp;ROUNDUP(MONTH(G19)/3,0))*(地价!B2:F2=E2)*(地价!B4:F24)),0)</f>
        <v>0</v>
      </c>
      <c r="N20" s="2809" t="s">
        <v>2905</v>
      </c>
      <c r="O20" s="2810" t="s">
        <v>2906</v>
      </c>
      <c r="P20" s="2811" t="s">
        <v>2907</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2908</v>
      </c>
      <c r="C21" s="939">
        <f>IF(B21="容积率修正",IF(G3&lt;=10,D22,J22),C23)</f>
        <v>0</v>
      </c>
      <c r="D21" s="2814"/>
      <c r="E21" s="2814"/>
      <c r="F21" s="2814"/>
      <c r="G21" s="2814"/>
      <c r="H21" s="2814"/>
      <c r="I21" s="2814"/>
      <c r="J21" s="2815"/>
      <c r="K21" s="1379"/>
      <c r="N21" s="2816" t="s">
        <v>2909</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25">
      <c r="A22" s="2665" t="s">
        <v>2910</v>
      </c>
      <c r="B22" s="2817" t="s">
        <v>2911</v>
      </c>
      <c r="C22" s="1812" t="s">
        <v>2912</v>
      </c>
      <c r="D22" s="1812">
        <f>IF(E22=G22,F22,IF(G3&lt;=10,ROUND(F22+(H22-F22)*(G3-E22)/(G22-E22),4),"——"))</f>
        <v>0</v>
      </c>
      <c r="E22" s="915">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2913</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2914</v>
      </c>
      <c r="B23" s="2818" t="s">
        <v>2915</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2916</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2917</v>
      </c>
      <c r="C24" s="926">
        <f>SUMIF(A45:A88,E2,B45:B88)</f>
        <v>0</v>
      </c>
      <c r="D24" s="2794"/>
      <c r="E24" s="2824"/>
      <c r="F24" s="2824"/>
      <c r="G24" s="2824"/>
      <c r="H24" s="2824"/>
      <c r="I24" s="2824"/>
      <c r="J24" s="2825"/>
      <c r="K24" s="1379"/>
      <c r="N24" s="2826" t="s">
        <v>2918</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2919</v>
      </c>
      <c r="C25" s="932"/>
      <c r="D25" s="2749"/>
      <c r="E25" s="2749"/>
      <c r="F25" s="2828"/>
      <c r="G25" s="2749"/>
      <c r="H25" s="2749"/>
      <c r="I25" s="2749"/>
      <c r="J25" s="2750"/>
      <c r="K25" s="1372"/>
      <c r="N25" s="2829" t="s">
        <v>2920</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0"/>
      <c r="B26" s="2817" t="s">
        <v>2921</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2922</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2923</v>
      </c>
      <c r="C28" s="2841" t="s">
        <v>2924</v>
      </c>
      <c r="D28" s="2841" t="s">
        <v>2925</v>
      </c>
      <c r="E28" s="2842" t="s">
        <v>2926</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2927</v>
      </c>
      <c r="C29" s="206" t="e">
        <f>ROUND(C5*C18*C19*C20*C21*C24,0)</f>
        <v>#DIV/0!</v>
      </c>
      <c r="D29" s="2846"/>
      <c r="E29" s="944" t="e">
        <f>ROUND(C29*D29/10000,0)</f>
        <v>#DIV/0!</v>
      </c>
      <c r="F29" s="2847" t="s">
        <v>2928</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2929</v>
      </c>
      <c r="C30" s="229" t="e">
        <f>ROUND(IF(E2="工业",C29*M39,C29*M38),0)</f>
        <v>#DIV/0!</v>
      </c>
      <c r="D30" s="2852"/>
      <c r="E30" s="944" t="e">
        <f>ROUND(C30*D30/10000,0)</f>
        <v>#DIV/0!</v>
      </c>
      <c r="F30" s="2853" t="s">
        <v>2930</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2924</v>
      </c>
      <c r="D32" s="497" t="s">
        <v>2925</v>
      </c>
      <c r="E32" s="497" t="s">
        <v>2926</v>
      </c>
      <c r="F32" s="388" t="s">
        <v>2934</v>
      </c>
      <c r="G32" s="2861" t="s">
        <v>2924</v>
      </c>
      <c r="H32" s="2861" t="s">
        <v>2925</v>
      </c>
      <c r="I32" s="2861" t="s">
        <v>2926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5" t="s">
        <v>2935</v>
      </c>
      <c r="B33" s="2862" t="s">
        <v>2936</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66" t="s">
        <v>2937</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66" t="s">
        <v>2938</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7"/>
      <c r="B36" s="2766" t="s">
        <v>2939</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2940</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2941</v>
      </c>
      <c r="M37" s="2866"/>
      <c r="N37" s="1372"/>
      <c r="O37" s="1372"/>
      <c r="P37" s="1372"/>
      <c r="Q37" s="1372"/>
      <c r="R37" s="1372"/>
      <c r="S37" s="1372"/>
      <c r="T37" s="1372"/>
      <c r="U37" s="1372"/>
      <c r="V37" s="1372"/>
      <c r="W37" s="1372"/>
      <c r="X37" s="1372"/>
      <c r="Y37" s="1372"/>
      <c r="Z37" s="1373"/>
    </row>
    <row r="38" spans="1:37">
      <c r="A38" s="2864"/>
      <c r="B38" s="2766" t="s">
        <v>2942</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9" t="s">
        <v>2943</v>
      </c>
      <c r="M38" s="2867">
        <v>0.25</v>
      </c>
      <c r="N38" s="1372"/>
      <c r="O38" s="1372"/>
      <c r="P38" s="1372"/>
      <c r="Q38" s="1372"/>
      <c r="R38" s="1372"/>
      <c r="S38" s="1372"/>
      <c r="T38" s="1372"/>
      <c r="U38" s="1372"/>
      <c r="V38" s="1372"/>
      <c r="W38" s="1372"/>
      <c r="X38" s="1372"/>
      <c r="Y38" s="1372"/>
      <c r="Z38" s="1373"/>
    </row>
    <row r="39" spans="1:37" ht="13.5" thickBot="1">
      <c r="A39" s="2850"/>
      <c r="B39" s="2868" t="s">
        <v>2944</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2885</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2945</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2946</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2947</v>
      </c>
      <c r="B47" s="1811" t="s">
        <v>2948</v>
      </c>
      <c r="C47" s="1811" t="s">
        <v>2949</v>
      </c>
      <c r="D47" s="1811" t="s">
        <v>2950</v>
      </c>
      <c r="E47" s="818" t="s">
        <v>2951</v>
      </c>
      <c r="F47" s="2880" t="s">
        <v>2952</v>
      </c>
      <c r="G47" s="1811" t="s">
        <v>754</v>
      </c>
      <c r="H47" s="2881" t="s">
        <v>2953</v>
      </c>
      <c r="I47" s="1811" t="s">
        <v>2954</v>
      </c>
      <c r="J47" s="602" t="s">
        <v>2600</v>
      </c>
      <c r="K47" s="602" t="s">
        <v>2601</v>
      </c>
      <c r="L47" s="602" t="s">
        <v>2602</v>
      </c>
      <c r="M47" s="602" t="s">
        <v>2603</v>
      </c>
      <c r="N47" s="602" t="s">
        <v>2604</v>
      </c>
      <c r="AA47" s="1373"/>
      <c r="AB47" s="1373"/>
      <c r="AC47" s="1373"/>
      <c r="AD47" s="1373"/>
      <c r="AE47" s="1373"/>
      <c r="AF47" s="1373"/>
      <c r="AG47" s="1373"/>
      <c r="AH47" s="1373"/>
      <c r="AI47" s="1373"/>
      <c r="AJ47" s="1373"/>
      <c r="AK47" s="1373"/>
    </row>
    <row r="48" spans="1:37" s="1372" customFormat="1" ht="38.25">
      <c r="A48" s="2879" t="s">
        <v>2955</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2956</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2957</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2958</v>
      </c>
      <c r="B51" s="2884" t="s">
        <v>2959</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2960</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2961</v>
      </c>
      <c r="B53" s="2885" t="s">
        <v>2962</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2963</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2964</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2965</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2966</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2947</v>
      </c>
      <c r="B58" s="1811"/>
      <c r="C58" s="1811" t="s">
        <v>2949</v>
      </c>
      <c r="D58" s="1811" t="s">
        <v>2950</v>
      </c>
      <c r="E58" s="818" t="s">
        <v>2951</v>
      </c>
      <c r="F58" s="2880" t="s">
        <v>2967</v>
      </c>
      <c r="G58" s="1811" t="s">
        <v>754</v>
      </c>
      <c r="H58" s="2881" t="s">
        <v>2953</v>
      </c>
      <c r="I58" s="1811" t="s">
        <v>2954</v>
      </c>
      <c r="J58" s="602" t="s">
        <v>2600</v>
      </c>
      <c r="K58" s="602" t="s">
        <v>2601</v>
      </c>
      <c r="L58" s="602" t="s">
        <v>2602</v>
      </c>
      <c r="M58" s="602" t="s">
        <v>2603</v>
      </c>
      <c r="N58" s="602" t="s">
        <v>2604</v>
      </c>
      <c r="AA58" s="1373"/>
      <c r="AB58" s="1373"/>
      <c r="AC58" s="1373"/>
      <c r="AD58" s="1373"/>
      <c r="AE58" s="1373"/>
      <c r="AF58" s="1373"/>
      <c r="AG58" s="1373"/>
      <c r="AH58" s="1373"/>
      <c r="AI58" s="1373"/>
      <c r="AJ58" s="1373"/>
      <c r="AK58" s="1373"/>
    </row>
    <row r="59" spans="1:37" s="1372" customFormat="1" ht="38.25">
      <c r="A59" s="2879" t="s">
        <v>2968</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2956</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2957</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2958</v>
      </c>
      <c r="B62" s="2884" t="s">
        <v>2959</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2960</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2961</v>
      </c>
      <c r="B64" s="2885" t="s">
        <v>2962</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2963</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2964</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2965</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2969</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2947</v>
      </c>
      <c r="B69" s="1811"/>
      <c r="C69" s="1811" t="s">
        <v>2949</v>
      </c>
      <c r="D69" s="1811" t="s">
        <v>2950</v>
      </c>
      <c r="E69" s="818" t="s">
        <v>2951</v>
      </c>
      <c r="F69" s="2880" t="s">
        <v>2967</v>
      </c>
      <c r="G69" s="1811" t="s">
        <v>754</v>
      </c>
      <c r="H69" s="2881" t="s">
        <v>2953</v>
      </c>
      <c r="I69" s="1811" t="s">
        <v>2954</v>
      </c>
      <c r="J69" s="602" t="s">
        <v>2600</v>
      </c>
      <c r="K69" s="602" t="s">
        <v>2601</v>
      </c>
      <c r="L69" s="602" t="s">
        <v>2602</v>
      </c>
      <c r="M69" s="602" t="s">
        <v>2603</v>
      </c>
      <c r="N69" s="602" t="s">
        <v>2604</v>
      </c>
      <c r="AA69" s="1373"/>
      <c r="AB69" s="1373"/>
      <c r="AC69" s="1373"/>
      <c r="AD69" s="1373"/>
      <c r="AE69" s="1373"/>
      <c r="AF69" s="1373"/>
      <c r="AG69" s="1373"/>
      <c r="AH69" s="1373"/>
      <c r="AI69" s="1373"/>
      <c r="AJ69" s="1373"/>
      <c r="AK69" s="1373"/>
    </row>
    <row r="70" spans="1:37" s="1372" customFormat="1" ht="51">
      <c r="A70" s="2879" t="s">
        <v>2970</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2956</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2957</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2971</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2963</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2964</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2961</v>
      </c>
      <c r="B76" s="2885" t="s">
        <v>2962</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2965</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2972</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2973</v>
      </c>
      <c r="B79" s="2876">
        <f>1+E81</f>
        <v>1</v>
      </c>
      <c r="C79" s="813"/>
      <c r="D79" s="813"/>
      <c r="E79" s="814"/>
      <c r="F79" s="2878"/>
      <c r="G79" s="6"/>
      <c r="H79" s="6"/>
      <c r="I79" s="6"/>
      <c r="J79" s="7"/>
      <c r="K79" s="7"/>
      <c r="L79" s="7"/>
      <c r="M79" s="7"/>
      <c r="N79" s="7"/>
      <c r="Z79" s="2721"/>
      <c r="AA79" s="2797"/>
      <c r="AG79" s="1374"/>
      <c r="AK79" s="2797"/>
    </row>
    <row r="80" spans="1:37" ht="24.75">
      <c r="A80" s="2879" t="s">
        <v>2947</v>
      </c>
      <c r="B80" s="1811"/>
      <c r="C80" s="1811" t="s">
        <v>2949</v>
      </c>
      <c r="D80" s="1811" t="s">
        <v>2950</v>
      </c>
      <c r="E80" s="818" t="s">
        <v>2951</v>
      </c>
      <c r="F80" s="2880" t="s">
        <v>2967</v>
      </c>
      <c r="G80" s="1811" t="s">
        <v>754</v>
      </c>
      <c r="H80" s="2881" t="s">
        <v>2953</v>
      </c>
      <c r="I80" s="1811" t="s">
        <v>2954</v>
      </c>
      <c r="J80" s="602" t="s">
        <v>2600</v>
      </c>
      <c r="K80" s="602" t="s">
        <v>2601</v>
      </c>
      <c r="L80" s="602" t="s">
        <v>2602</v>
      </c>
      <c r="M80" s="602" t="s">
        <v>2603</v>
      </c>
      <c r="N80" s="602" t="s">
        <v>2604</v>
      </c>
      <c r="Z80" s="2721"/>
      <c r="AA80" s="2797"/>
      <c r="AG80" s="1374"/>
      <c r="AK80" s="2797"/>
    </row>
    <row r="81" spans="1:37" ht="38.25">
      <c r="A81" s="2879" t="s">
        <v>2974</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2956</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2957</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2971</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2963</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2964</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2961</v>
      </c>
      <c r="B87" s="2885" t="s">
        <v>2975</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2976</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69" t="s">
        <v>2977</v>
      </c>
      <c r="B90" s="3269"/>
      <c r="C90" s="3269"/>
      <c r="D90" s="3269"/>
      <c r="E90" s="3269"/>
      <c r="F90" s="3269"/>
      <c r="G90" s="3269"/>
      <c r="H90" s="3269"/>
      <c r="I90" s="3269"/>
      <c r="J90" s="3269"/>
      <c r="K90" s="2893"/>
      <c r="L90" s="2893"/>
      <c r="M90" s="2893"/>
      <c r="N90" s="2893"/>
    </row>
    <row r="91" spans="1:37">
      <c r="A91" s="3271" t="s">
        <v>2978</v>
      </c>
      <c r="B91" s="3271" t="s">
        <v>2979</v>
      </c>
      <c r="C91" s="2847" t="s">
        <v>2980</v>
      </c>
      <c r="D91" s="2848"/>
      <c r="E91" s="2848"/>
      <c r="F91" s="2848"/>
      <c r="G91" s="2848"/>
      <c r="H91" s="2848"/>
      <c r="I91" s="2848"/>
      <c r="J91" s="2894"/>
      <c r="K91" s="2895"/>
      <c r="L91" s="2895"/>
      <c r="M91" s="2895"/>
      <c r="N91" s="2895"/>
    </row>
    <row r="92" spans="1:37">
      <c r="A92" s="3271"/>
      <c r="B92" s="3271"/>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72"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3"/>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2" t="s">
        <v>2982</v>
      </c>
      <c r="B101" s="2900" t="s">
        <v>2983</v>
      </c>
      <c r="C101" s="2901">
        <f>$G$3</f>
        <v>2.16</v>
      </c>
      <c r="D101" s="2901">
        <f t="shared" ref="D101:N101" si="31">$G$3</f>
        <v>2.16</v>
      </c>
      <c r="E101" s="2901">
        <f t="shared" si="31"/>
        <v>2.16</v>
      </c>
      <c r="F101" s="2901">
        <f t="shared" si="31"/>
        <v>2.16</v>
      </c>
      <c r="G101" s="2901">
        <f t="shared" si="31"/>
        <v>2.16</v>
      </c>
      <c r="H101" s="2901">
        <f t="shared" si="31"/>
        <v>2.16</v>
      </c>
      <c r="I101" s="2901">
        <f t="shared" si="31"/>
        <v>2.16</v>
      </c>
      <c r="J101" s="2901">
        <f t="shared" si="31"/>
        <v>2.16</v>
      </c>
      <c r="K101" s="2901">
        <f t="shared" si="31"/>
        <v>2.16</v>
      </c>
      <c r="L101" s="2901">
        <f t="shared" si="31"/>
        <v>2.16</v>
      </c>
      <c r="M101" s="2901">
        <f t="shared" si="31"/>
        <v>2.16</v>
      </c>
      <c r="N101" s="2901">
        <f t="shared" si="31"/>
        <v>2.16</v>
      </c>
    </row>
    <row r="102" spans="1:14">
      <c r="A102" s="3273"/>
      <c r="B102" s="2896">
        <v>1</v>
      </c>
      <c r="C102" s="2897">
        <f>1.9362/C101</f>
        <v>0.89638888888888879</v>
      </c>
      <c r="D102" s="2897">
        <f>1.9362/D101</f>
        <v>0.89638888888888879</v>
      </c>
      <c r="E102" s="2897">
        <f>1.8629/E101</f>
        <v>0.86245370370370367</v>
      </c>
      <c r="F102" s="2897">
        <f>1.8629/F101</f>
        <v>0.86245370370370367</v>
      </c>
      <c r="G102" s="2897">
        <f>1.8629/G101</f>
        <v>0.86245370370370367</v>
      </c>
      <c r="H102" s="2897">
        <f>1.8629/H101</f>
        <v>0.86245370370370367</v>
      </c>
      <c r="I102" s="2897">
        <f>1.8629/I101</f>
        <v>0.86245370370370367</v>
      </c>
      <c r="J102" s="2897">
        <f>1.942/J101</f>
        <v>0.89907407407407403</v>
      </c>
      <c r="K102" s="2897">
        <f>1.942/K101</f>
        <v>0.89907407407407403</v>
      </c>
      <c r="L102" s="2897">
        <f>1.942/L101</f>
        <v>0.89907407407407403</v>
      </c>
      <c r="M102" s="2897">
        <f>1.942/M101</f>
        <v>0.89907407407407403</v>
      </c>
      <c r="N102" s="2897">
        <f>1.942/N101</f>
        <v>0.89907407407407403</v>
      </c>
    </row>
    <row r="103" spans="1:14">
      <c r="A103" s="3273"/>
      <c r="B103" s="2896">
        <v>2</v>
      </c>
      <c r="C103" s="2897">
        <f>1.4198/C101</f>
        <v>0.6573148148148148</v>
      </c>
      <c r="D103" s="2897">
        <f>1.4198/D101</f>
        <v>0.6573148148148148</v>
      </c>
      <c r="E103" s="2897">
        <f>1.3372/E101</f>
        <v>0.619074074074074</v>
      </c>
      <c r="F103" s="2897">
        <f>1.3372/F101</f>
        <v>0.619074074074074</v>
      </c>
      <c r="G103" s="2897">
        <f>1.3372/G101</f>
        <v>0.619074074074074</v>
      </c>
      <c r="H103" s="2897">
        <f>1.3372/H101</f>
        <v>0.619074074074074</v>
      </c>
      <c r="I103" s="2897">
        <f>1.3372/I101</f>
        <v>0.619074074074074</v>
      </c>
      <c r="J103" s="2897">
        <f>1.2799/J101</f>
        <v>0.59254629629629629</v>
      </c>
      <c r="K103" s="2897">
        <f>1.2799/K101</f>
        <v>0.59254629629629629</v>
      </c>
      <c r="L103" s="2897">
        <f>1.2799/L101</f>
        <v>0.59254629629629629</v>
      </c>
      <c r="M103" s="2897">
        <f>1.2799/M101</f>
        <v>0.59254629629629629</v>
      </c>
      <c r="N103" s="2897">
        <f>1.2799/N101</f>
        <v>0.59254629629629629</v>
      </c>
    </row>
    <row r="104" spans="1:14">
      <c r="A104" s="3273"/>
      <c r="B104" s="2896">
        <v>3</v>
      </c>
      <c r="C104" s="2897">
        <f>1.1594/C101</f>
        <v>0.53675925925925927</v>
      </c>
      <c r="D104" s="2897">
        <f>1.1594/D101</f>
        <v>0.53675925925925927</v>
      </c>
      <c r="E104" s="2897">
        <f>1.0788/E101</f>
        <v>0.49944444444444441</v>
      </c>
      <c r="F104" s="2897">
        <f>1.0788/F101</f>
        <v>0.49944444444444441</v>
      </c>
      <c r="G104" s="2897">
        <f>1.0788/G101</f>
        <v>0.49944444444444441</v>
      </c>
      <c r="H104" s="2897">
        <f>1.0788/H101</f>
        <v>0.49944444444444441</v>
      </c>
      <c r="I104" s="2897">
        <f>1.0788/I101</f>
        <v>0.49944444444444441</v>
      </c>
      <c r="J104" s="2897">
        <f>1.0072/J101</f>
        <v>0.46629629629629632</v>
      </c>
      <c r="K104" s="2897">
        <f>1.0072/K101</f>
        <v>0.46629629629629632</v>
      </c>
      <c r="L104" s="2897">
        <f>1.0072/L101</f>
        <v>0.46629629629629632</v>
      </c>
      <c r="M104" s="2897">
        <f>1.0072/M101</f>
        <v>0.46629629629629632</v>
      </c>
      <c r="N104" s="2897">
        <f>1.0072/N101</f>
        <v>0.46629629629629632</v>
      </c>
    </row>
    <row r="105" spans="1:14">
      <c r="A105" s="3273"/>
      <c r="B105" s="2896">
        <v>4</v>
      </c>
      <c r="C105" s="2897">
        <f>0.9622/C101</f>
        <v>0.44546296296296295</v>
      </c>
      <c r="D105" s="2897">
        <f>0.9622/D101</f>
        <v>0.44546296296296295</v>
      </c>
      <c r="E105" s="2897">
        <f>0.8656/E101</f>
        <v>0.40074074074074073</v>
      </c>
      <c r="F105" s="2897">
        <f>0.8656/F101</f>
        <v>0.40074074074074073</v>
      </c>
      <c r="G105" s="2897">
        <f>0.8656/G101</f>
        <v>0.40074074074074073</v>
      </c>
      <c r="H105" s="2897">
        <f>0.8656/H101</f>
        <v>0.40074074074074073</v>
      </c>
      <c r="I105" s="2897">
        <f>0.8656/I101</f>
        <v>0.40074074074074073</v>
      </c>
      <c r="J105" s="2897">
        <f>0.7525/J101</f>
        <v>0.34837962962962959</v>
      </c>
      <c r="K105" s="2897">
        <f>0.7525/K101</f>
        <v>0.34837962962962959</v>
      </c>
      <c r="L105" s="2897">
        <f>0.7525/L101</f>
        <v>0.34837962962962959</v>
      </c>
      <c r="M105" s="2897">
        <f>0.7525/M101</f>
        <v>0.34837962962962959</v>
      </c>
      <c r="N105" s="2897">
        <f>0.7525/N101</f>
        <v>0.34837962962962959</v>
      </c>
    </row>
    <row r="106" spans="1:14">
      <c r="A106" s="3273"/>
      <c r="B106" s="2896">
        <v>5</v>
      </c>
      <c r="C106" s="2897">
        <f>0.8417/C101</f>
        <v>0.38967592592592593</v>
      </c>
      <c r="D106" s="2897">
        <f>0.8417/D101</f>
        <v>0.38967592592592593</v>
      </c>
      <c r="E106" s="2897">
        <f>0.7371/E101</f>
        <v>0.34124999999999994</v>
      </c>
      <c r="F106" s="2897">
        <f>0.7371/F101</f>
        <v>0.34124999999999994</v>
      </c>
      <c r="G106" s="2897">
        <f>0.7371/G101</f>
        <v>0.34124999999999994</v>
      </c>
      <c r="H106" s="2897">
        <f>0.7371/H101</f>
        <v>0.34124999999999994</v>
      </c>
      <c r="I106" s="2897">
        <f>0.7371/I101</f>
        <v>0.34124999999999994</v>
      </c>
      <c r="J106" s="2897">
        <f>0.5659/J101</f>
        <v>0.26199074074074069</v>
      </c>
      <c r="K106" s="2897">
        <f>0.5659/K101</f>
        <v>0.26199074074074069</v>
      </c>
      <c r="L106" s="2897">
        <f>0.5659/L101</f>
        <v>0.26199074074074069</v>
      </c>
      <c r="M106" s="2897">
        <f>0.5659/M101</f>
        <v>0.26199074074074069</v>
      </c>
      <c r="N106" s="2897">
        <f>0.5659/N101</f>
        <v>0.26199074074074069</v>
      </c>
    </row>
    <row r="107" spans="1:14">
      <c r="A107" s="3273"/>
      <c r="B107" s="2896">
        <v>6</v>
      </c>
      <c r="C107" s="2897">
        <f>0.7608/C101</f>
        <v>0.35222222222222221</v>
      </c>
      <c r="D107" s="2897">
        <f>0.7608/D101</f>
        <v>0.35222222222222221</v>
      </c>
      <c r="E107" s="2897">
        <f>0.6482/E101</f>
        <v>0.30009259259259258</v>
      </c>
      <c r="F107" s="2897">
        <f>0.6482/F101</f>
        <v>0.30009259259259258</v>
      </c>
      <c r="G107" s="2897">
        <f>0.6482/G101</f>
        <v>0.30009259259259258</v>
      </c>
      <c r="H107" s="2897">
        <f>0.6482/H101</f>
        <v>0.30009259259259258</v>
      </c>
      <c r="I107" s="2897">
        <f>0.6482/I101</f>
        <v>0.30009259259259258</v>
      </c>
      <c r="J107" s="2897">
        <f>0.4525/J101</f>
        <v>0.20949074074074073</v>
      </c>
      <c r="K107" s="2897">
        <f>0.4525/K101</f>
        <v>0.20949074074074073</v>
      </c>
      <c r="L107" s="2897">
        <f>0.4525/L101</f>
        <v>0.20949074074074073</v>
      </c>
      <c r="M107" s="2897">
        <f>0.4525/M101</f>
        <v>0.20949074074074073</v>
      </c>
      <c r="N107" s="2897">
        <f>0.4525/N101</f>
        <v>0.20949074074074073</v>
      </c>
    </row>
    <row r="108" spans="1:14">
      <c r="A108" s="3273"/>
      <c r="B108" s="3131"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4"/>
      <c r="B109" s="3132"/>
      <c r="C109" s="2899">
        <f>(-0.163*(C108^2)-0.59*C108+7617)*(10^(-4))/C101</f>
        <v>0.35263888888888889</v>
      </c>
      <c r="D109" s="2899">
        <f>(-0.163*(D108^2)-0.59*D108+7617)*(10^(-4))/D101</f>
        <v>0.35263888888888889</v>
      </c>
      <c r="E109" s="2899">
        <f>(-0.161*(E108^2)-7.509*E108+6533)*(10^(-4))/E101</f>
        <v>0.30245370370370367</v>
      </c>
      <c r="F109" s="2899">
        <f>(-0.161*(F108^2)-7.509*F108+6533)*(10^(-4))/F101</f>
        <v>0.30245370370370367</v>
      </c>
      <c r="G109" s="2899">
        <f>(-0.161*(G108^2)-7.509*G108+6533)*(10^(-4))/G101</f>
        <v>0.30245370370370367</v>
      </c>
      <c r="H109" s="2899">
        <f>(-0.161*(H108^2)-7.509*H108+6533)*(10^(-4))/H101</f>
        <v>0.30245370370370367</v>
      </c>
      <c r="I109" s="2899">
        <f>(-0.161*(I108^2)-7.509*I108+6533)*(10^(-4))/I101</f>
        <v>0.30245370370370367</v>
      </c>
      <c r="J109" s="2899">
        <f>(-0.214*(J108^2)-21.991*J108+4665)*(10^(-4))/J101</f>
        <v>0.21597222222222223</v>
      </c>
      <c r="K109" s="2899">
        <f>(-0.214*(K108^2)-21.991*K108+4665)*(10^(-4))/K101</f>
        <v>0.21597222222222223</v>
      </c>
      <c r="L109" s="2899">
        <f>(-0.214*(L108^2)-21.991*L108+4665)*(10^(-4))/L101</f>
        <v>0.21597222222222223</v>
      </c>
      <c r="M109" s="2899">
        <f>(-0.214*(M108^2)-21.991*M108+4665)*(10^(-4))/M101</f>
        <v>0.21597222222222223</v>
      </c>
      <c r="N109" s="2899">
        <f>(-0.214*(N108^2)-21.991*N108+4665)*(10^(-4))/N101</f>
        <v>0.21597222222222223</v>
      </c>
    </row>
    <row r="110" spans="1:14">
      <c r="A110" s="3270" t="s">
        <v>2985</v>
      </c>
      <c r="B110" s="3270"/>
      <c r="C110" s="3270"/>
      <c r="D110" s="3270"/>
      <c r="E110" s="3270"/>
      <c r="F110" s="3270"/>
      <c r="G110" s="3270"/>
      <c r="H110" s="3270"/>
      <c r="I110" s="3270"/>
      <c r="J110" s="3270"/>
      <c r="K110" s="2902"/>
      <c r="L110" s="2902"/>
      <c r="M110" s="2902"/>
      <c r="N110" s="2902"/>
    </row>
    <row r="112" spans="1:14" ht="13.5" thickBot="1"/>
    <row r="113" spans="1:13" ht="25.5" thickBot="1">
      <c r="A113" s="902" t="s">
        <v>2986</v>
      </c>
      <c r="B113" s="1289">
        <f>G3</f>
        <v>2.16</v>
      </c>
      <c r="C113" s="903" t="s">
        <v>2987</v>
      </c>
      <c r="D113" s="904">
        <f>SUMPRODUCT((A115:A118=F113)*(B114:M114=H113)*B115:M118)</f>
        <v>0</v>
      </c>
      <c r="E113" s="2725" t="s">
        <v>2817</v>
      </c>
      <c r="F113" s="2904">
        <f>E2</f>
        <v>0</v>
      </c>
      <c r="G113" s="2725" t="s">
        <v>2818</v>
      </c>
      <c r="H113" s="2904">
        <f>G2</f>
        <v>0</v>
      </c>
      <c r="I113" s="2725"/>
      <c r="J113" s="2905"/>
      <c r="K113" s="2905"/>
      <c r="L113" s="2905"/>
      <c r="M113" s="2905"/>
    </row>
    <row r="114" spans="1:13">
      <c r="A114" s="907"/>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08" t="s">
        <v>2882</v>
      </c>
      <c r="B115" s="909">
        <f>ROUND(0.9335-0.0094*B113,4)</f>
        <v>0.91320000000000001</v>
      </c>
      <c r="C115" s="909">
        <f>B115</f>
        <v>0.91320000000000001</v>
      </c>
      <c r="D115" s="909">
        <f>ROUND(0.8331-0.0109*B113,4)</f>
        <v>0.80959999999999999</v>
      </c>
      <c r="E115" s="909">
        <f>D115</f>
        <v>0.80959999999999999</v>
      </c>
      <c r="F115" s="909">
        <f>E115</f>
        <v>0.80959999999999999</v>
      </c>
      <c r="G115" s="909">
        <f>F115</f>
        <v>0.80959999999999999</v>
      </c>
      <c r="H115" s="909">
        <f>G115</f>
        <v>0.80959999999999999</v>
      </c>
      <c r="I115" s="909">
        <f>ROUND(0.689-0.0155*B113,4)</f>
        <v>0.65549999999999997</v>
      </c>
      <c r="J115" s="909">
        <f t="shared" ref="J115:M118" si="33">I115</f>
        <v>0.65549999999999997</v>
      </c>
      <c r="K115" s="909">
        <f t="shared" si="33"/>
        <v>0.65549999999999997</v>
      </c>
      <c r="L115" s="909">
        <f t="shared" si="33"/>
        <v>0.65549999999999997</v>
      </c>
      <c r="M115" s="910">
        <f t="shared" si="33"/>
        <v>0.65549999999999997</v>
      </c>
    </row>
    <row r="116" spans="1:13">
      <c r="A116" s="908" t="s">
        <v>2883</v>
      </c>
      <c r="B116" s="909">
        <f>ROUND(0.949-0.012*B113,4)</f>
        <v>0.92310000000000003</v>
      </c>
      <c r="C116" s="909">
        <f>B116</f>
        <v>0.92310000000000003</v>
      </c>
      <c r="D116" s="909">
        <f>ROUND(0.8567-0.013*B113,4)</f>
        <v>0.8286</v>
      </c>
      <c r="E116" s="909">
        <f t="shared" ref="E116:H117" si="34">D116</f>
        <v>0.8286</v>
      </c>
      <c r="F116" s="909">
        <f t="shared" si="34"/>
        <v>0.8286</v>
      </c>
      <c r="G116" s="909">
        <f t="shared" si="34"/>
        <v>0.8286</v>
      </c>
      <c r="H116" s="909">
        <f t="shared" si="34"/>
        <v>0.8286</v>
      </c>
      <c r="I116" s="909">
        <f>ROUND(0.7694-0.014*B113,4)</f>
        <v>0.73919999999999997</v>
      </c>
      <c r="J116" s="909">
        <f t="shared" si="33"/>
        <v>0.73919999999999997</v>
      </c>
      <c r="K116" s="909">
        <f t="shared" si="33"/>
        <v>0.73919999999999997</v>
      </c>
      <c r="L116" s="909">
        <f t="shared" si="33"/>
        <v>0.73919999999999997</v>
      </c>
      <c r="M116" s="910">
        <f t="shared" si="33"/>
        <v>0.73919999999999997</v>
      </c>
    </row>
    <row r="117" spans="1:13">
      <c r="A117" s="908" t="s">
        <v>2884</v>
      </c>
      <c r="B117" s="909">
        <f>ROUND(0.8808-0.006*B113,4)</f>
        <v>0.86780000000000002</v>
      </c>
      <c r="C117" s="909">
        <f>B117</f>
        <v>0.86780000000000002</v>
      </c>
      <c r="D117" s="909">
        <f>ROUND(0.8748-0.008*B113,4)</f>
        <v>0.85750000000000004</v>
      </c>
      <c r="E117" s="909">
        <f t="shared" si="34"/>
        <v>0.85750000000000004</v>
      </c>
      <c r="F117" s="909">
        <f t="shared" si="34"/>
        <v>0.85750000000000004</v>
      </c>
      <c r="G117" s="909">
        <f t="shared" si="34"/>
        <v>0.85750000000000004</v>
      </c>
      <c r="H117" s="909">
        <f t="shared" si="34"/>
        <v>0.85750000000000004</v>
      </c>
      <c r="I117" s="909">
        <f>ROUND(0.7412-0.0095*B113,4)</f>
        <v>0.72070000000000001</v>
      </c>
      <c r="J117" s="909">
        <f t="shared" si="33"/>
        <v>0.72070000000000001</v>
      </c>
      <c r="K117" s="909">
        <f t="shared" si="33"/>
        <v>0.72070000000000001</v>
      </c>
      <c r="L117" s="909">
        <f t="shared" si="33"/>
        <v>0.72070000000000001</v>
      </c>
      <c r="M117" s="910">
        <f t="shared" si="33"/>
        <v>0.72070000000000001</v>
      </c>
    </row>
    <row r="118" spans="1:13" ht="13.5" thickBot="1">
      <c r="A118" s="713" t="s">
        <v>2885</v>
      </c>
      <c r="B118" s="911">
        <f>ROUND(0.7275-0.01*B113,4)</f>
        <v>0.70589999999999997</v>
      </c>
      <c r="C118" s="911">
        <f>B118</f>
        <v>0.70589999999999997</v>
      </c>
      <c r="D118" s="911">
        <f>ROUND(0.7043-0.012*B113,4)</f>
        <v>0.6784</v>
      </c>
      <c r="E118" s="911">
        <f>D118</f>
        <v>0.6784</v>
      </c>
      <c r="F118" s="911">
        <f>E118</f>
        <v>0.6784</v>
      </c>
      <c r="G118" s="911">
        <f>ROUND(0.6299-0.0122*B113,4)</f>
        <v>0.60350000000000004</v>
      </c>
      <c r="H118" s="911">
        <f>G118</f>
        <v>0.60350000000000004</v>
      </c>
      <c r="I118" s="911">
        <f>ROUND(0.5667-0.0136*B113,4)</f>
        <v>0.5373</v>
      </c>
      <c r="J118" s="911">
        <f t="shared" si="33"/>
        <v>0.5373</v>
      </c>
      <c r="K118" s="911">
        <f t="shared" si="33"/>
        <v>0.5373</v>
      </c>
      <c r="L118" s="911">
        <f t="shared" si="33"/>
        <v>0.5373</v>
      </c>
      <c r="M118" s="912">
        <f t="shared" si="33"/>
        <v>0.5373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3008</v>
      </c>
    </row>
    <row r="2" spans="1:5" ht="15.75">
      <c r="A2" s="2911" t="s">
        <v>3000</v>
      </c>
      <c r="B2" s="2912" t="e">
        <f ca="1">SUMIF(B6:B13,"&lt;&gt;#ref!",B6:B13)</f>
        <v>#DIV/0!</v>
      </c>
      <c r="C2" s="2911" t="s">
        <v>3001</v>
      </c>
      <c r="D2" s="2911" t="s">
        <v>3002</v>
      </c>
      <c r="E2" s="2912">
        <f ca="1">SUMIF(E6:E13,"&lt;&gt;#ref!",E6:E13)</f>
        <v>0</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6">
        <f ca="1">SUMIF(INDIRECT("'"&amp;A6&amp;"'"&amp;"!C:C"),"建筑面积",INDIRECT("'"&amp;A6&amp;"'"&amp;"!D:D"))</f>
        <v>0</v>
      </c>
    </row>
    <row r="7" spans="1:5" ht="15.75">
      <c r="A7" s="2916"/>
      <c r="B7" s="2912" t="e">
        <f ca="1">SUMIF(INDIRECT("'"&amp;A7&amp;"'"&amp;"!A:A"),"总价",INDIRECT("'"&amp;A7&amp;"'"&amp;"!B:B"))</f>
        <v>#REF!</v>
      </c>
      <c r="C7" s="2911" t="s">
        <v>3001</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6" t="e">
        <f t="shared" ca="1" si="0"/>
        <v>#REF!</v>
      </c>
    </row>
    <row r="9" spans="1:5" ht="15.75">
      <c r="A9" s="2916"/>
      <c r="B9" s="2912" t="e">
        <f t="shared" ca="1" si="1"/>
        <v>#REF!</v>
      </c>
      <c r="C9" s="2911" t="s">
        <v>3001</v>
      </c>
      <c r="D9" s="2913"/>
      <c r="E9" s="2576" t="e">
        <f t="shared" ca="1" si="0"/>
        <v>#REF!</v>
      </c>
    </row>
    <row r="10" spans="1:5" ht="15.75">
      <c r="A10" s="2916"/>
      <c r="B10" s="2912" t="e">
        <f t="shared" ca="1" si="1"/>
        <v>#REF!</v>
      </c>
      <c r="C10" s="2911" t="s">
        <v>3001</v>
      </c>
      <c r="D10" s="2913"/>
      <c r="E10" s="2576" t="e">
        <f t="shared" ca="1" si="0"/>
        <v>#REF!</v>
      </c>
    </row>
    <row r="11" spans="1:5" ht="15.75">
      <c r="A11" s="2916"/>
      <c r="B11" s="2912" t="e">
        <f t="shared" ca="1" si="1"/>
        <v>#REF!</v>
      </c>
      <c r="C11" s="2911" t="s">
        <v>3001</v>
      </c>
      <c r="D11" s="2913"/>
      <c r="E11" s="2576" t="e">
        <f t="shared" ca="1" si="0"/>
        <v>#REF!</v>
      </c>
    </row>
    <row r="12" spans="1:5" ht="15.75">
      <c r="A12" s="2916"/>
      <c r="B12" s="2912" t="e">
        <f t="shared" ca="1" si="1"/>
        <v>#REF!</v>
      </c>
      <c r="C12" s="2911" t="s">
        <v>3001</v>
      </c>
      <c r="D12" s="2913"/>
      <c r="E12" s="2576" t="e">
        <f t="shared" ca="1" si="0"/>
        <v>#REF!</v>
      </c>
    </row>
    <row r="13" spans="1:5" ht="15.75">
      <c r="A13" s="2916"/>
      <c r="B13" s="2912" t="e">
        <f t="shared" ca="1" si="1"/>
        <v>#REF!</v>
      </c>
      <c r="C13" s="2911" t="s">
        <v>3001</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R43" sqref="R43:W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4" t="s">
        <v>1150</v>
      </c>
      <c r="C1" s="3284"/>
      <c r="D1" s="3284"/>
      <c r="E1" s="3284"/>
      <c r="F1" s="3284"/>
      <c r="G1" s="3283" t="s">
        <v>1151</v>
      </c>
      <c r="H1" s="3283"/>
      <c r="I1" s="3283"/>
      <c r="J1" s="3283"/>
      <c r="K1" s="3283"/>
      <c r="L1" s="3283"/>
      <c r="N1" s="3283" t="s">
        <v>1152</v>
      </c>
      <c r="O1" s="3283"/>
      <c r="P1" s="3283"/>
      <c r="Q1" s="3283"/>
      <c r="R1" s="1448"/>
      <c r="S1" s="3283" t="s">
        <v>1153</v>
      </c>
      <c r="T1" s="3283"/>
      <c r="U1" s="3283"/>
      <c r="V1" s="3283"/>
      <c r="X1" s="3282" t="s">
        <v>1154</v>
      </c>
      <c r="Y1" s="3283"/>
      <c r="Z1" s="3283"/>
      <c r="AA1" s="3283"/>
      <c r="AB1" s="3283"/>
      <c r="AD1" s="3282" t="s">
        <v>1155</v>
      </c>
      <c r="AE1" s="3283"/>
      <c r="AF1" s="3283"/>
      <c r="AG1" s="3283"/>
      <c r="AH1" s="328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3043</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3044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3050</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3039</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3040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9">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0">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0">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1">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9">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0">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0">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3010</v>
      </c>
      <c r="C1" s="3290" t="s">
        <v>3011</v>
      </c>
      <c r="D1" s="3291"/>
      <c r="E1" s="3291"/>
      <c r="F1" s="3291"/>
      <c r="G1" s="3291"/>
      <c r="H1" s="3291"/>
      <c r="I1" s="3291"/>
      <c r="J1" s="3291"/>
      <c r="K1" s="3291"/>
      <c r="L1" s="3291"/>
      <c r="M1" s="3291"/>
      <c r="N1" s="3291"/>
      <c r="O1" s="3291"/>
      <c r="P1" s="3291"/>
      <c r="Q1" s="3291"/>
      <c r="R1" s="3291"/>
      <c r="S1" s="3292"/>
      <c r="T1" s="1206" t="s">
        <v>3012</v>
      </c>
    </row>
    <row r="2" spans="1:45" s="706" customFormat="1">
      <c r="A2" s="1207"/>
      <c r="B2" s="702" t="s">
        <v>3013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3014</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3020</v>
      </c>
      <c r="B17" s="2918"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3022</v>
      </c>
      <c r="E19" s="1794"/>
      <c r="F19" s="1794"/>
      <c r="G19" s="1794"/>
      <c r="H19" s="1282"/>
      <c r="I19" s="168"/>
      <c r="J19" s="168"/>
      <c r="K19" s="168"/>
      <c r="L19" s="168"/>
      <c r="M19" s="168"/>
      <c r="N19" s="168"/>
      <c r="O19" s="168"/>
      <c r="P19" s="168"/>
      <c r="Q19" s="168"/>
      <c r="R19" s="787"/>
      <c r="S19" s="138"/>
    </row>
    <row r="20" spans="1:45" ht="16.5" thickBot="1">
      <c r="A20" s="714" t="s">
        <v>3023</v>
      </c>
      <c r="B20" s="338" t="e">
        <f ca="1">IF(D20="——",S22,S22-F20)</f>
        <v>#REF!</v>
      </c>
      <c r="C20" s="168"/>
      <c r="D20" s="2920" t="s">
        <v>3024</v>
      </c>
      <c r="E20" s="1795"/>
      <c r="F20" s="1206" t="e">
        <f ca="1">SUMIF(INDIRECT("'"&amp;H20&amp;"'"&amp;"!A:A"),"承租人权益价值",INDIRECT("'"&amp;H20&amp;"'"&amp;"!c:c"))</f>
        <v>#REF!</v>
      </c>
      <c r="G20" s="1206" t="s">
        <v>3025</v>
      </c>
      <c r="H20" s="2921"/>
      <c r="I20" s="168"/>
      <c r="J20" s="168"/>
      <c r="K20" s="168"/>
      <c r="L20" s="168"/>
      <c r="M20" s="168"/>
      <c r="N20" s="168"/>
      <c r="O20" s="168"/>
      <c r="P20" s="168"/>
      <c r="Q20" s="168"/>
      <c r="R20" s="787"/>
      <c r="S20" s="138"/>
    </row>
    <row r="21" spans="1:45" ht="15.75">
      <c r="A21" s="714" t="s">
        <v>3026</v>
      </c>
      <c r="B21" s="338">
        <f>R22</f>
        <v>10000</v>
      </c>
      <c r="C21" s="168"/>
      <c r="D21" s="168"/>
      <c r="E21" s="168"/>
      <c r="F21" s="168"/>
      <c r="G21" s="168"/>
      <c r="H21" s="168"/>
      <c r="I21" s="168"/>
      <c r="J21" s="168"/>
      <c r="K21" s="168"/>
      <c r="L21" s="168"/>
      <c r="M21" s="168"/>
      <c r="N21" s="168"/>
      <c r="O21" s="168"/>
      <c r="P21" s="168"/>
      <c r="Q21" s="168"/>
      <c r="R21" s="787"/>
      <c r="S21" s="138"/>
    </row>
    <row r="22" spans="1:45">
      <c r="A22" s="361" t="s">
        <v>3027</v>
      </c>
      <c r="B22" s="24">
        <f>SUM(B24:B10000)</f>
        <v>100</v>
      </c>
      <c r="C22" s="3153" t="s">
        <v>33</v>
      </c>
      <c r="D22" s="3154"/>
      <c r="E22" s="3154"/>
      <c r="F22" s="3154"/>
      <c r="G22" s="3154"/>
      <c r="H22" s="3154"/>
      <c r="I22" s="3154"/>
      <c r="J22" s="3154"/>
      <c r="K22" s="3154"/>
      <c r="L22" s="3154"/>
      <c r="M22" s="3154"/>
      <c r="N22" s="3154"/>
      <c r="O22" s="3154"/>
      <c r="P22" s="3154"/>
      <c r="Q22" s="3289"/>
      <c r="R22" s="715">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1630</v>
      </c>
      <c r="C4" s="2976"/>
      <c r="D4" s="2976"/>
      <c r="E4" s="1963"/>
    </row>
    <row r="5" spans="1:5" ht="16.5" thickTop="1">
      <c r="A5" s="1961"/>
      <c r="B5" s="2974" t="s">
        <v>1622</v>
      </c>
      <c r="C5" s="1964" t="s">
        <v>1623</v>
      </c>
      <c r="D5" s="1042">
        <f ca="1">结果表!H101</f>
        <v>49787</v>
      </c>
      <c r="E5" s="1961"/>
    </row>
    <row r="6" spans="1:5" ht="15.75">
      <c r="A6" s="1961"/>
      <c r="B6" s="2974"/>
      <c r="C6" s="1964" t="s">
        <v>1624</v>
      </c>
      <c r="D6" s="1042" t="str">
        <f ca="1">NUMBERSTRING(INT(D5*10000),2)&amp;"元整"</f>
        <v>肆亿玖仟柒佰捌拾柒万元整</v>
      </c>
      <c r="E6" s="1961"/>
    </row>
    <row r="7" spans="1:5" ht="15.75">
      <c r="A7" s="1961"/>
      <c r="B7" s="2979"/>
      <c r="C7" s="1965" t="s">
        <v>1625</v>
      </c>
      <c r="D7" s="1043">
        <f ca="1">结果表!H102</f>
        <v>7624</v>
      </c>
      <c r="E7" s="1961"/>
    </row>
    <row r="8" spans="1:5" ht="15.75">
      <c r="A8" s="1961"/>
      <c r="B8" s="2980" t="str">
        <f>结果表!E103</f>
        <v>2.估价师知悉的法定优先受偿款</v>
      </c>
      <c r="C8" s="1966" t="s">
        <v>1626</v>
      </c>
      <c r="D8" s="1043">
        <f>结果表!H103</f>
        <v>0</v>
      </c>
      <c r="E8" s="1961"/>
    </row>
    <row r="9" spans="1:5" ht="15.75">
      <c r="A9" s="1961"/>
      <c r="B9" s="2982"/>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3" t="str">
        <f>结果表!E107</f>
        <v>3.房地产抵押价值</v>
      </c>
      <c r="C13" s="1969" t="s">
        <v>1623</v>
      </c>
      <c r="D13" s="1045">
        <f ca="1">结果表!H107</f>
        <v>49787</v>
      </c>
      <c r="E13" s="1961"/>
    </row>
    <row r="14" spans="1:5" ht="15.75">
      <c r="A14" s="1961"/>
      <c r="B14" s="2974"/>
      <c r="C14" s="1964" t="s">
        <v>1624</v>
      </c>
      <c r="D14" s="1042" t="str">
        <f ca="1">NUMBERSTRING(INT(D13*10000),2)&amp;"元整"</f>
        <v>肆亿玖仟柒佰捌拾柒万元整</v>
      </c>
      <c r="E14" s="1961"/>
    </row>
    <row r="15" spans="1:5" ht="15">
      <c r="A15" s="1961"/>
      <c r="B15" s="2979"/>
      <c r="C15" s="1965" t="s">
        <v>1634</v>
      </c>
      <c r="D15" s="1054">
        <f ca="1">结果表!H108</f>
        <v>7624</v>
      </c>
      <c r="E15" s="1961"/>
    </row>
    <row r="16" spans="1:5" ht="15">
      <c r="A16" s="1961"/>
      <c r="B16" s="2980" t="str">
        <f>结果表!E109</f>
        <v>——</v>
      </c>
      <c r="C16" s="1969" t="s">
        <v>1635</v>
      </c>
      <c r="D16" s="1970" t="str">
        <f>结果表!H109</f>
        <v>——</v>
      </c>
      <c r="E16" s="1961"/>
    </row>
    <row r="17" spans="1:5" ht="15.75">
      <c r="A17" s="1961"/>
      <c r="B17" s="2981"/>
      <c r="C17" s="1964" t="s">
        <v>1636</v>
      </c>
      <c r="D17" s="1042" t="e">
        <f>NUMBERSTRING(INT(D16*10000),2)&amp;"元整"</f>
        <v>#VALUE!</v>
      </c>
      <c r="E17" s="1961"/>
    </row>
    <row r="18" spans="1:5" ht="15">
      <c r="A18" s="1961"/>
      <c r="B18" s="2982"/>
      <c r="C18" s="1965" t="s">
        <v>1625</v>
      </c>
      <c r="D18" s="1054" t="str">
        <f>结果表!H110</f>
        <v>——</v>
      </c>
      <c r="E18" s="1961"/>
    </row>
    <row r="19" spans="1:5" ht="15.75">
      <c r="A19" s="1961"/>
      <c r="B19" s="2973" t="str">
        <f>结果表!E111</f>
        <v>——</v>
      </c>
      <c r="C19" s="1969" t="s">
        <v>1623</v>
      </c>
      <c r="D19" s="1043" t="str">
        <f>结果表!H111</f>
        <v>——</v>
      </c>
      <c r="E19" s="1961"/>
    </row>
    <row r="20" spans="1:5" ht="15.75">
      <c r="A20" s="1961"/>
      <c r="B20" s="2974"/>
      <c r="C20" s="1964" t="s">
        <v>1636</v>
      </c>
      <c r="D20" s="1042" t="e">
        <f>NUMBERSTRING(INT(D19*10000),2)&amp;"元整"</f>
        <v>#VALUE!</v>
      </c>
      <c r="E20" s="1961"/>
    </row>
    <row r="21" spans="1:5" ht="15.75" thickBot="1">
      <c r="A21" s="1961"/>
      <c r="B21" s="2975"/>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38862</v>
      </c>
      <c r="C2" s="2" t="s">
        <v>133</v>
      </c>
      <c r="D2" s="243"/>
      <c r="E2" s="243"/>
      <c r="F2" s="243"/>
      <c r="G2" s="243"/>
    </row>
    <row r="3" spans="1:7" s="244" customFormat="1" ht="18" customHeight="1" thickBot="1">
      <c r="A3" s="247" t="s">
        <v>85</v>
      </c>
      <c r="B3" s="248">
        <f ca="1">ROUND(B2*10000/'数据-汇总表'!E3,0)</f>
        <v>5951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570</v>
      </c>
      <c r="D9" s="1034">
        <f>'数据-汇总表'!E5</f>
        <v>56971.88999999997</v>
      </c>
      <c r="E9" s="269">
        <f>'数据-取费表'!B27</f>
        <v>100</v>
      </c>
      <c r="F9" s="265"/>
      <c r="G9" s="270"/>
    </row>
    <row r="10" spans="1:7" s="258" customFormat="1" ht="13.5" customHeight="1">
      <c r="A10" s="952" t="s">
        <v>801</v>
      </c>
      <c r="B10" s="268" t="s">
        <v>94</v>
      </c>
      <c r="C10" s="269">
        <f>ROUND(D10*E10/10000,0)</f>
        <v>83</v>
      </c>
      <c r="D10" s="1034">
        <f>'数据-汇总表'!E6</f>
        <v>8333.3300000000017</v>
      </c>
      <c r="E10" s="269">
        <f>'数据-取费表'!B28</f>
        <v>100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980</v>
      </c>
      <c r="D19" s="1038">
        <f>'数据-汇总表'!E3</f>
        <v>65305.219999999972</v>
      </c>
      <c r="E19" s="255">
        <f>'数据-取费表'!B31</f>
        <v>150</v>
      </c>
      <c r="F19" s="275"/>
      <c r="G19" s="1" t="s">
        <v>1074</v>
      </c>
    </row>
    <row r="20" spans="1:7" s="258" customFormat="1" ht="13.5" customHeight="1">
      <c r="A20" s="950" t="s">
        <v>1057</v>
      </c>
      <c r="B20" s="254" t="s">
        <v>104</v>
      </c>
      <c r="C20" s="276">
        <f>ROUND((C5+C19)*F20,0)</f>
        <v>432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1248</v>
      </c>
      <c r="D22" s="279">
        <f ca="1">C26</f>
        <v>5.9999999999999995E-4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1180</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56</v>
      </c>
      <c r="D24" s="282"/>
      <c r="E24" s="282"/>
      <c r="F24" s="283"/>
      <c r="G24" s="284" t="s">
        <v>109</v>
      </c>
    </row>
    <row r="25" spans="1:7" s="258" customFormat="1" ht="24">
      <c r="A25" s="953" t="s">
        <v>793</v>
      </c>
      <c r="B25" s="259" t="s">
        <v>1058</v>
      </c>
      <c r="C25" s="1357">
        <f ca="1">ROUND(IF('数据-取费表'!B22&lt;=1,C20*F22*'数据-取费表'!B23/2,C20*(POWER((1+F22),'数据-取费表'!B23/2)-1)),0)</f>
        <v>12</v>
      </c>
      <c r="D25" s="282"/>
      <c r="E25" s="285"/>
      <c r="F25" s="283"/>
      <c r="G25" s="286" t="s">
        <v>110</v>
      </c>
    </row>
    <row r="26" spans="1:7" s="258" customFormat="1">
      <c r="A26" s="953" t="s">
        <v>795</v>
      </c>
      <c r="B26" s="259" t="s">
        <v>1060</v>
      </c>
      <c r="C26" s="282">
        <f ca="1">ROUND(IF('数据-取费表'!B22&lt;=1,F21*F22*'数据-取费表'!B23/2,F21*(POWER((1+F22),'数据-取费表'!B23/2)-1)),4)</f>
        <v>5.9999999999999995E-4</v>
      </c>
      <c r="D26" s="282"/>
      <c r="E26" s="285"/>
      <c r="F26" s="283"/>
      <c r="G26" s="287"/>
    </row>
    <row r="27" spans="1:7" s="258" customFormat="1" ht="24.75">
      <c r="A27" s="950" t="s">
        <v>787</v>
      </c>
      <c r="B27" s="288" t="s">
        <v>112</v>
      </c>
      <c r="C27" s="289">
        <f>C28</f>
        <v>1321</v>
      </c>
      <c r="D27" s="279">
        <f>C29</f>
        <v>1.1999999999999999E-3</v>
      </c>
      <c r="E27" s="280" t="s">
        <v>126</v>
      </c>
      <c r="F27" s="290">
        <f>'数据-取费表'!Q16</f>
        <v>0.1</v>
      </c>
      <c r="G27" s="291" t="s">
        <v>1069</v>
      </c>
    </row>
    <row r="28" spans="1:7" s="258" customFormat="1" ht="13.5" customHeight="1">
      <c r="A28" s="953" t="s">
        <v>794</v>
      </c>
      <c r="B28" s="292" t="s">
        <v>1062</v>
      </c>
      <c r="C28" s="293">
        <f>ROUND((C5+C19+C20)*F27*'数据-取费表'!B21/'数据-取费表'!B20,0)</f>
        <v>1321</v>
      </c>
      <c r="D28" s="279"/>
      <c r="E28" s="280"/>
      <c r="F28" s="290"/>
      <c r="G28" s="291"/>
    </row>
    <row r="29" spans="1:7" s="258" customFormat="1" ht="13.5" customHeight="1">
      <c r="A29" s="953" t="s">
        <v>792</v>
      </c>
      <c r="B29" s="292" t="s">
        <v>1063</v>
      </c>
      <c r="C29" s="282">
        <f>ROUND(C21*F27*'数据-取费表'!B21/'数据-取费表'!B20,4)</f>
        <v>1.1999999999999999E-3</v>
      </c>
      <c r="D29" s="279"/>
      <c r="E29" s="280"/>
      <c r="F29" s="290"/>
      <c r="G29" s="291"/>
    </row>
    <row r="30" spans="1:7" s="258" customFormat="1" ht="13.5" customHeight="1">
      <c r="A30" s="950" t="s">
        <v>788</v>
      </c>
      <c r="B30" s="254" t="s">
        <v>58</v>
      </c>
      <c r="C30" s="279">
        <f>F30</f>
        <v>5.7000000000000002E-2</v>
      </c>
      <c r="D30" s="280" t="s">
        <v>127</v>
      </c>
      <c r="E30" s="285"/>
      <c r="F30" s="281">
        <f>'数据-取费表'!B41</f>
        <v>5.7000000000000002E-2</v>
      </c>
      <c r="G30" s="278" t="s">
        <v>113</v>
      </c>
    </row>
    <row r="31" spans="1:7" ht="16.5" customHeight="1">
      <c r="A31" s="253">
        <v>1</v>
      </c>
      <c r="B31" s="254" t="s">
        <v>128</v>
      </c>
      <c r="C31" s="255">
        <f ca="1">ROUND((C5+C19+C20+C22+C27)/(1-C21-D22-D27-C30/(1+'数据-取费表'!B42)),0)</f>
        <v>26616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9823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8621</v>
      </c>
      <c r="D34" s="261"/>
      <c r="E34" s="264"/>
      <c r="F34" s="301">
        <f>IF('数据-取费表'!B24=0,1,'数据-取费表'!N16)</f>
        <v>0.6</v>
      </c>
      <c r="G34" s="263" t="s">
        <v>116</v>
      </c>
    </row>
    <row r="35" spans="1:7" ht="13.5" customHeight="1">
      <c r="A35" s="953" t="s">
        <v>796</v>
      </c>
      <c r="B35" s="259" t="s">
        <v>60</v>
      </c>
      <c r="C35" s="264">
        <f>ROUND(C34*F35,0)</f>
        <v>259</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226</v>
      </c>
      <c r="D36" s="264"/>
      <c r="E36" s="264"/>
      <c r="F36" s="303">
        <f>'数据-取费表'!B34</f>
        <v>0.03</v>
      </c>
      <c r="G36" s="304" t="s">
        <v>62</v>
      </c>
    </row>
    <row r="37" spans="1:7" s="302" customFormat="1" ht="13.5" customHeight="1">
      <c r="A37" s="953" t="s">
        <v>798</v>
      </c>
      <c r="B37" s="259" t="s">
        <v>118</v>
      </c>
      <c r="C37" s="293">
        <f>ROUND(E37*D37*F34/10000,0)</f>
        <v>588</v>
      </c>
      <c r="D37" s="261">
        <f>'数据-汇总表'!E3</f>
        <v>65305.219999999972</v>
      </c>
      <c r="E37" s="293">
        <f>'数据-取费表'!B35</f>
        <v>150</v>
      </c>
      <c r="F37" s="303"/>
      <c r="G37" s="305" t="s">
        <v>119</v>
      </c>
    </row>
    <row r="38" spans="1:7" ht="13.5" customHeight="1">
      <c r="A38" s="953" t="s">
        <v>799</v>
      </c>
      <c r="B38" s="259" t="s">
        <v>63</v>
      </c>
      <c r="C38" s="264">
        <f>ROUND(C34*F38,0)</f>
        <v>129</v>
      </c>
      <c r="D38" s="264"/>
      <c r="E38" s="264"/>
      <c r="F38" s="303">
        <f>'数据-取费表'!B36</f>
        <v>1.4999999999999999E-2</v>
      </c>
      <c r="G38" s="263" t="s">
        <v>117</v>
      </c>
    </row>
    <row r="39" spans="1:7" s="258" customFormat="1" ht="13.5" customHeight="1">
      <c r="A39" s="950" t="s">
        <v>783</v>
      </c>
      <c r="B39" s="254" t="s">
        <v>104</v>
      </c>
      <c r="C39" s="276">
        <f>ROUND(C33*F20,0)</f>
        <v>196</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283</v>
      </c>
      <c r="D41" s="279">
        <f ca="1">C44</f>
        <v>5.9999999999999995E-4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277</v>
      </c>
      <c r="D42" s="282"/>
      <c r="E42" s="282"/>
      <c r="F42" s="283"/>
      <c r="G42" s="3201" t="s">
        <v>121</v>
      </c>
    </row>
    <row r="43" spans="1:7" ht="13.5" customHeight="1">
      <c r="A43" s="953" t="s">
        <v>792</v>
      </c>
      <c r="B43" s="259" t="s">
        <v>1064</v>
      </c>
      <c r="C43" s="282">
        <f ca="1">ROUND(IF('数据-取费表'!B22&lt;=1,C39*F22*'数据-取费表'!B21/2,C39*(POWER((1+F22),'数据-取费表'!B21/2)-1)),0)</f>
        <v>6</v>
      </c>
      <c r="D43" s="282"/>
      <c r="E43" s="282"/>
      <c r="F43" s="283"/>
      <c r="G43" s="3202"/>
    </row>
    <row r="44" spans="1:7" ht="13.5" customHeight="1">
      <c r="A44" s="953" t="s">
        <v>793</v>
      </c>
      <c r="B44" s="259" t="s">
        <v>1066</v>
      </c>
      <c r="C44" s="282">
        <f ca="1">ROUND(IF('数据-取费表'!B22&lt;=1,C40*F22*'数据-取费表'!B21/2,C40*(POWER((1+F22),'数据-取费表'!B21/2)-1)),4)</f>
        <v>5.9999999999999995E-4</v>
      </c>
      <c r="D44" s="282"/>
      <c r="E44" s="282"/>
      <c r="F44" s="283"/>
      <c r="G44" s="3203"/>
    </row>
    <row r="45" spans="1:7" s="258" customFormat="1" ht="13.5" customHeight="1">
      <c r="A45" s="950" t="s">
        <v>786</v>
      </c>
      <c r="B45" s="288" t="s">
        <v>112</v>
      </c>
      <c r="C45" s="289">
        <f>C46</f>
        <v>1002</v>
      </c>
      <c r="D45" s="279">
        <f>C47</f>
        <v>2E-3</v>
      </c>
      <c r="E45" s="280" t="s">
        <v>129</v>
      </c>
      <c r="F45" s="290"/>
      <c r="G45" s="291" t="s">
        <v>1072</v>
      </c>
    </row>
    <row r="46" spans="1:7" s="258" customFormat="1" ht="13.5" customHeight="1">
      <c r="A46" s="953" t="s">
        <v>794</v>
      </c>
      <c r="B46" s="292" t="s">
        <v>1065</v>
      </c>
      <c r="C46" s="293">
        <f>ROUND((C33+C39)*F27,0)</f>
        <v>1002</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5.7000000000000002E-2</v>
      </c>
      <c r="D48" s="280" t="s">
        <v>130</v>
      </c>
      <c r="E48" s="276"/>
      <c r="F48" s="281"/>
      <c r="G48" s="278" t="s">
        <v>123</v>
      </c>
    </row>
    <row r="49" spans="1:7" ht="16.5" customHeight="1">
      <c r="A49" s="950" t="s">
        <v>788</v>
      </c>
      <c r="B49" s="254" t="s">
        <v>131</v>
      </c>
      <c r="C49" s="276">
        <f ca="1">ROUND((C33+C39+C41+C45)/(1-C40-D41-D45-C48/(1+'数据-取费表'!B42)),0)</f>
        <v>12246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12246</v>
      </c>
      <c r="D51" s="276"/>
      <c r="E51" s="276"/>
      <c r="F51" s="308"/>
      <c r="G51" s="278" t="s">
        <v>64</v>
      </c>
    </row>
    <row r="52" spans="1:7" s="252" customFormat="1" ht="16.5" thickBot="1">
      <c r="A52" s="309" t="s">
        <v>65</v>
      </c>
      <c r="B52" s="310"/>
      <c r="C52" s="311">
        <f ca="1">C31+C51</f>
        <v>38862</v>
      </c>
      <c r="D52" s="310"/>
      <c r="E52" s="310"/>
      <c r="F52" s="310"/>
      <c r="G52" s="312"/>
    </row>
    <row r="55" spans="1:7" ht="15">
      <c r="B55" s="314" t="s">
        <v>66</v>
      </c>
      <c r="C55" s="315"/>
    </row>
    <row r="56" spans="1:7">
      <c r="B56" s="317" t="s">
        <v>67</v>
      </c>
      <c r="C56" s="318">
        <f ca="1">ROUND(C51/C52,3)</f>
        <v>0.315</v>
      </c>
    </row>
    <row r="57" spans="1:7">
      <c r="B57" s="317" t="s">
        <v>68</v>
      </c>
      <c r="C57" s="319">
        <f ca="1">1-C56</f>
        <v>0.68500000000000005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871</v>
      </c>
      <c r="B1" s="329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43424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1"/>
  <sheetViews>
    <sheetView workbookViewId="0">
      <selection activeCell="Q11" sqref="Q11"/>
    </sheetView>
  </sheetViews>
  <sheetFormatPr defaultRowHeight="14.25"/>
  <cols>
    <col min="2" max="2" width="18.375" bestFit="1" customWidth="1"/>
    <col min="3" max="3" width="23" bestFit="1" customWidth="1"/>
    <col min="5" max="5" width="11.625" bestFit="1" customWidth="1"/>
    <col min="11" max="11" width="9" style="1947"/>
    <col min="12" max="12" width="13.375" style="1947" bestFit="1" customWidth="1"/>
    <col min="13" max="13" width="9.125" style="1947" bestFit="1" customWidth="1"/>
    <col min="14" max="14" width="11" style="1947" bestFit="1" customWidth="1"/>
    <col min="15" max="15" width="10.5" style="1947" bestFit="1" customWidth="1"/>
    <col min="17" max="17" width="10.625" customWidth="1"/>
  </cols>
  <sheetData>
    <row r="1" spans="2:17">
      <c r="B1" s="1274"/>
      <c r="C1" s="1274"/>
      <c r="D1" s="2213"/>
      <c r="E1" s="2213"/>
      <c r="F1" s="2955" t="s">
        <v>3117</v>
      </c>
      <c r="G1" s="2955" t="s">
        <v>3118</v>
      </c>
      <c r="H1" s="2213"/>
      <c r="I1" s="2213"/>
      <c r="K1" s="2961"/>
      <c r="L1" s="2961" t="s">
        <v>3218</v>
      </c>
      <c r="M1" s="2961" t="s">
        <v>3219</v>
      </c>
      <c r="N1" s="2961" t="s">
        <v>3220</v>
      </c>
      <c r="O1" s="2961" t="s">
        <v>3221</v>
      </c>
      <c r="P1" s="2963" t="s">
        <v>3223</v>
      </c>
    </row>
    <row r="2" spans="2:17">
      <c r="B2" s="1274">
        <v>1</v>
      </c>
      <c r="C2" s="1274" t="s">
        <v>3065</v>
      </c>
      <c r="D2" s="2213">
        <v>10221.700000000001</v>
      </c>
      <c r="E2" s="2213"/>
      <c r="F2" s="2213">
        <v>8500</v>
      </c>
      <c r="G2" s="2213"/>
      <c r="H2" s="2213"/>
      <c r="I2" s="2213">
        <f>D2-F2</f>
        <v>1721.7000000000007</v>
      </c>
      <c r="K2" s="2965" t="s">
        <v>3209</v>
      </c>
      <c r="L2" s="2966">
        <v>8567.6599999999944</v>
      </c>
      <c r="M2" s="2966">
        <v>548.74</v>
      </c>
      <c r="N2" s="2965"/>
      <c r="O2" s="2966">
        <v>9116.3999999999942</v>
      </c>
      <c r="P2" s="2967">
        <v>17</v>
      </c>
      <c r="Q2" s="2970">
        <f>20%+10/17*40%</f>
        <v>0.43529411764705883</v>
      </c>
    </row>
    <row r="3" spans="2:17">
      <c r="B3" s="1274">
        <v>2</v>
      </c>
      <c r="C3" s="1274" t="s">
        <v>3066</v>
      </c>
      <c r="D3" s="2213"/>
      <c r="E3" s="2213">
        <v>6883</v>
      </c>
      <c r="F3" s="2213"/>
      <c r="G3" s="2213">
        <v>4729</v>
      </c>
      <c r="H3" s="2213"/>
      <c r="I3" s="2213">
        <f>E3-G3</f>
        <v>2154</v>
      </c>
      <c r="K3" s="2961" t="s">
        <v>3210</v>
      </c>
      <c r="L3" s="2962">
        <v>3169.0800000000036</v>
      </c>
      <c r="M3" s="2962">
        <v>513.04</v>
      </c>
      <c r="N3" s="2962">
        <v>545.51</v>
      </c>
      <c r="O3" s="2962">
        <v>4227.6300000000037</v>
      </c>
      <c r="P3" s="2964">
        <v>7</v>
      </c>
      <c r="Q3" s="2970">
        <v>0.55000000000000004</v>
      </c>
    </row>
    <row r="4" spans="2:17">
      <c r="B4" s="1274">
        <v>3</v>
      </c>
      <c r="C4" s="1274" t="s">
        <v>3067</v>
      </c>
      <c r="D4" s="2213"/>
      <c r="E4" s="2213">
        <v>5901.4</v>
      </c>
      <c r="F4" s="2213"/>
      <c r="G4" s="2213">
        <v>3826</v>
      </c>
      <c r="H4" s="2213"/>
      <c r="I4" s="2213">
        <f>E4-G4</f>
        <v>2075.3999999999996</v>
      </c>
      <c r="K4" s="2961" t="s">
        <v>3211</v>
      </c>
      <c r="L4" s="2962">
        <v>2526.6400000000012</v>
      </c>
      <c r="M4" s="2962">
        <v>414.98</v>
      </c>
      <c r="N4" s="2962">
        <v>542.70000000000005</v>
      </c>
      <c r="O4" s="2962">
        <v>3484.3200000000015</v>
      </c>
      <c r="P4" s="2964">
        <v>7</v>
      </c>
      <c r="Q4" s="2970">
        <v>0.55000000000000004</v>
      </c>
    </row>
    <row r="5" spans="2:17">
      <c r="B5" s="1274">
        <v>4</v>
      </c>
      <c r="C5" s="1274" t="s">
        <v>3068</v>
      </c>
      <c r="D5" s="2213">
        <v>12515</v>
      </c>
      <c r="E5" s="2213"/>
      <c r="F5" s="2213">
        <v>10385</v>
      </c>
      <c r="G5" s="2213"/>
      <c r="H5" s="2213"/>
      <c r="I5" s="2213">
        <f t="shared" ref="I5:I13" si="0">D5-F5</f>
        <v>2130</v>
      </c>
      <c r="K5" s="2961" t="s">
        <v>3212</v>
      </c>
      <c r="L5" s="2962">
        <v>4548.7300000000023</v>
      </c>
      <c r="M5" s="2961"/>
      <c r="N5" s="2962">
        <v>770.63000000000011</v>
      </c>
      <c r="O5" s="2962">
        <v>5319.3600000000024</v>
      </c>
      <c r="P5" s="2964">
        <v>7</v>
      </c>
      <c r="Q5" s="2970">
        <v>0.55000000000000004</v>
      </c>
    </row>
    <row r="6" spans="2:17">
      <c r="B6" s="1274">
        <v>5</v>
      </c>
      <c r="C6" s="1274" t="s">
        <v>3069</v>
      </c>
      <c r="D6" s="2213"/>
      <c r="E6" s="2213">
        <v>4496.1000000000004</v>
      </c>
      <c r="F6" s="2213"/>
      <c r="G6" s="2213">
        <v>3143</v>
      </c>
      <c r="H6" s="2213"/>
      <c r="I6" s="2213">
        <f t="shared" ref="I6:I9" si="1">E6-G6</f>
        <v>1353.1000000000004</v>
      </c>
      <c r="K6" s="2965" t="s">
        <v>3213</v>
      </c>
      <c r="L6" s="2966">
        <v>10473.699999999986</v>
      </c>
      <c r="M6" s="2966">
        <v>700.49</v>
      </c>
      <c r="N6" s="2965"/>
      <c r="O6" s="2966">
        <v>11174.189999999986</v>
      </c>
      <c r="P6" s="2967">
        <v>17</v>
      </c>
      <c r="Q6" s="2970">
        <f>20%+10/17*40%</f>
        <v>0.43529411764705883</v>
      </c>
    </row>
    <row r="7" spans="2:17">
      <c r="B7" s="1274">
        <v>6</v>
      </c>
      <c r="C7" s="1274" t="s">
        <v>3070</v>
      </c>
      <c r="D7" s="2213"/>
      <c r="E7" s="2213">
        <v>5812</v>
      </c>
      <c r="F7" s="2213"/>
      <c r="G7" s="2213">
        <v>4051</v>
      </c>
      <c r="H7" s="2213"/>
      <c r="I7" s="2213">
        <f t="shared" si="1"/>
        <v>1761</v>
      </c>
      <c r="K7" s="2961" t="s">
        <v>3214</v>
      </c>
      <c r="L7" s="2962">
        <v>3622.6000000000004</v>
      </c>
      <c r="M7" s="2962">
        <v>513.04</v>
      </c>
      <c r="N7" s="2962">
        <v>591.96</v>
      </c>
      <c r="O7" s="2962">
        <v>4727.6000000000004</v>
      </c>
      <c r="P7" s="2964">
        <v>8</v>
      </c>
      <c r="Q7" s="2970">
        <v>0.55000000000000004</v>
      </c>
    </row>
    <row r="8" spans="2:17">
      <c r="B8" s="1274">
        <v>7</v>
      </c>
      <c r="C8" s="1274" t="s">
        <v>3071</v>
      </c>
      <c r="D8" s="2213"/>
      <c r="E8" s="2213">
        <v>3702.2</v>
      </c>
      <c r="F8" s="2213"/>
      <c r="G8" s="2213">
        <v>2511</v>
      </c>
      <c r="H8" s="2213"/>
      <c r="I8" s="2213">
        <f t="shared" si="1"/>
        <v>1191.1999999999998</v>
      </c>
      <c r="K8" s="2961" t="s">
        <v>3215</v>
      </c>
      <c r="L8" s="2962">
        <v>5444.16</v>
      </c>
      <c r="M8" s="2962">
        <v>770.6400000000001</v>
      </c>
      <c r="N8" s="2962">
        <v>888.3</v>
      </c>
      <c r="O8" s="2962">
        <v>7103.1</v>
      </c>
      <c r="P8" s="2964">
        <v>8</v>
      </c>
      <c r="Q8" s="2970">
        <v>0.55000000000000004</v>
      </c>
    </row>
    <row r="9" spans="2:17">
      <c r="B9" s="1274">
        <v>8</v>
      </c>
      <c r="C9" s="1274" t="s">
        <v>3072</v>
      </c>
      <c r="D9" s="2213"/>
      <c r="E9" s="2213">
        <v>6103.8</v>
      </c>
      <c r="F9" s="2213"/>
      <c r="G9" s="2213">
        <v>4504</v>
      </c>
      <c r="H9" s="2213"/>
      <c r="I9" s="2213">
        <f t="shared" si="1"/>
        <v>1599.8000000000002</v>
      </c>
      <c r="K9" s="2965" t="s">
        <v>3216</v>
      </c>
      <c r="L9" s="2966">
        <v>11644.519999999982</v>
      </c>
      <c r="M9" s="2966">
        <v>746.31</v>
      </c>
      <c r="N9" s="2965">
        <v>33.69</v>
      </c>
      <c r="O9" s="2966">
        <v>12424.519999999982</v>
      </c>
      <c r="P9" s="2967">
        <v>17</v>
      </c>
      <c r="Q9" s="2970">
        <f>20%+10/17*40%</f>
        <v>0.43529411764705883</v>
      </c>
    </row>
    <row r="10" spans="2:17">
      <c r="B10" s="1274">
        <v>9</v>
      </c>
      <c r="C10" s="1274" t="s">
        <v>3073</v>
      </c>
      <c r="D10" s="2213">
        <v>12504</v>
      </c>
      <c r="E10" s="2213"/>
      <c r="F10" s="2213">
        <v>10385</v>
      </c>
      <c r="G10" s="2213"/>
      <c r="H10" s="2213"/>
      <c r="I10" s="2213">
        <f t="shared" si="0"/>
        <v>2119</v>
      </c>
      <c r="K10" s="2965" t="s">
        <v>3217</v>
      </c>
      <c r="L10" s="2966">
        <v>6974.8000000000065</v>
      </c>
      <c r="M10" s="2965">
        <v>753.3</v>
      </c>
      <c r="N10" s="2965"/>
      <c r="O10" s="2966">
        <v>7728.1000000000067</v>
      </c>
      <c r="P10" s="2967">
        <v>10</v>
      </c>
      <c r="Q10" s="2970">
        <v>0.55000000000000004</v>
      </c>
    </row>
    <row r="11" spans="2:17">
      <c r="B11" s="1274">
        <v>10</v>
      </c>
      <c r="C11" s="1274" t="s">
        <v>3074</v>
      </c>
      <c r="D11" s="2213"/>
      <c r="E11" s="2213">
        <v>4784.7</v>
      </c>
      <c r="F11" s="2213"/>
      <c r="G11" s="2213">
        <v>3594</v>
      </c>
      <c r="H11" s="2213"/>
      <c r="I11" s="2213">
        <f>E11-G11</f>
        <v>1190.6999999999998</v>
      </c>
      <c r="K11" s="2961"/>
      <c r="L11" s="2961"/>
      <c r="M11" s="2961"/>
      <c r="N11" s="2961"/>
      <c r="O11" s="2962">
        <v>65305.219999999972</v>
      </c>
      <c r="Q11" s="2971">
        <f>ROUND(SUMPRODUCT(O2:O10,Q2:Q10)/SUM(O2:O10),2)</f>
        <v>0.49</v>
      </c>
    </row>
    <row r="12" spans="2:17">
      <c r="B12" s="1274">
        <v>11</v>
      </c>
      <c r="C12" s="1274" t="s">
        <v>3075</v>
      </c>
      <c r="D12" s="2213"/>
      <c r="E12" s="2213">
        <v>7181.8</v>
      </c>
      <c r="F12" s="2213"/>
      <c r="G12" s="2213">
        <v>5405</v>
      </c>
      <c r="H12" s="2213"/>
      <c r="I12" s="2213">
        <f>E12-G12</f>
        <v>1776.8000000000002</v>
      </c>
    </row>
    <row r="13" spans="2:17">
      <c r="B13" s="1274">
        <v>12</v>
      </c>
      <c r="C13" s="1274" t="s">
        <v>3076</v>
      </c>
      <c r="D13" s="2213">
        <f>E19-E16-E15-E14-E12-E11-D10-E9-E8-E7-E6-D5-E4-E3-D2</f>
        <v>5641.4999999999964</v>
      </c>
      <c r="E13" s="2213"/>
      <c r="F13" s="2213">
        <v>12024</v>
      </c>
      <c r="G13" s="2213"/>
      <c r="H13" s="2213"/>
      <c r="I13" s="2213">
        <f t="shared" si="0"/>
        <v>-6382.5000000000036</v>
      </c>
    </row>
    <row r="14" spans="2:17">
      <c r="B14" s="1274">
        <v>13</v>
      </c>
      <c r="C14" s="1274" t="s">
        <v>3077</v>
      </c>
      <c r="D14" s="2213"/>
      <c r="E14" s="2213">
        <v>8294.7999999999993</v>
      </c>
      <c r="F14" s="2213"/>
      <c r="G14" s="2213">
        <v>6921</v>
      </c>
      <c r="H14" s="2213"/>
      <c r="I14" s="2213">
        <f>E14-G14</f>
        <v>1373.7999999999993</v>
      </c>
    </row>
    <row r="15" spans="2:17">
      <c r="B15" s="1274"/>
      <c r="C15" s="2956" t="s">
        <v>3208</v>
      </c>
      <c r="D15" s="2213"/>
      <c r="E15" s="2213">
        <f>180+297</f>
        <v>477</v>
      </c>
      <c r="F15" s="2213"/>
      <c r="G15" s="2213"/>
      <c r="H15" s="2213"/>
      <c r="I15" s="2213"/>
    </row>
    <row r="16" spans="2:17">
      <c r="B16" s="1274"/>
      <c r="C16" s="2956" t="s">
        <v>3207</v>
      </c>
      <c r="D16" s="2213"/>
      <c r="E16" s="2213">
        <v>16210</v>
      </c>
      <c r="F16" s="2213"/>
      <c r="G16" s="2213"/>
      <c r="H16" s="2213"/>
      <c r="I16" s="2213"/>
    </row>
    <row r="17" spans="2:6">
      <c r="E17" s="2960">
        <v>80477</v>
      </c>
    </row>
    <row r="18" spans="2:6">
      <c r="E18" s="2960">
        <v>30252</v>
      </c>
    </row>
    <row r="19" spans="2:6" ht="15" thickBot="1">
      <c r="E19" s="2960">
        <f>SUM(E17:E18)</f>
        <v>110729</v>
      </c>
    </row>
    <row r="20" spans="2:6" ht="15" thickBot="1">
      <c r="B20" s="2946" t="s">
        <v>3084</v>
      </c>
      <c r="C20" s="2947" t="s">
        <v>3085</v>
      </c>
      <c r="D20" s="2947" t="s">
        <v>3086</v>
      </c>
      <c r="E20" s="2947" t="s">
        <v>3087</v>
      </c>
    </row>
    <row r="21" spans="2:6" ht="15" thickBot="1">
      <c r="B21" s="3300" t="s">
        <v>3088</v>
      </c>
      <c r="C21" s="2948" t="s">
        <v>3089</v>
      </c>
      <c r="D21" s="2948">
        <v>6</v>
      </c>
      <c r="E21" s="2948">
        <v>720.36</v>
      </c>
    </row>
    <row r="22" spans="2:6" ht="15" thickBot="1">
      <c r="B22" s="3301"/>
      <c r="C22" s="2948" t="s">
        <v>3090</v>
      </c>
      <c r="D22" s="2948">
        <v>30</v>
      </c>
      <c r="E22" s="2949">
        <v>3390.85</v>
      </c>
    </row>
    <row r="23" spans="2:6" ht="15" thickBot="1">
      <c r="B23" s="3302"/>
      <c r="C23" s="2948" t="s">
        <v>3091</v>
      </c>
      <c r="D23" s="2948">
        <v>6</v>
      </c>
      <c r="E23" s="2948">
        <v>664.26</v>
      </c>
      <c r="F23">
        <f>SUM(E21:E23)</f>
        <v>4775.47</v>
      </c>
    </row>
    <row r="24" spans="2:6" ht="15" thickBot="1">
      <c r="B24" s="3300" t="s">
        <v>3092</v>
      </c>
      <c r="C24" s="2948" t="s">
        <v>3089</v>
      </c>
      <c r="D24" s="2948">
        <v>6</v>
      </c>
      <c r="E24" s="2948">
        <v>715.89</v>
      </c>
    </row>
    <row r="25" spans="2:6" ht="15" thickBot="1">
      <c r="B25" s="3301"/>
      <c r="C25" s="2948" t="s">
        <v>3090</v>
      </c>
      <c r="D25" s="2948">
        <v>24</v>
      </c>
      <c r="E25" s="2949">
        <v>2695.13</v>
      </c>
    </row>
    <row r="26" spans="2:6" ht="15" thickBot="1">
      <c r="B26" s="3302"/>
      <c r="C26" s="2948" t="s">
        <v>3091</v>
      </c>
      <c r="D26" s="2948">
        <v>4</v>
      </c>
      <c r="E26" s="2948">
        <v>440.76</v>
      </c>
    </row>
    <row r="27" spans="2:6" ht="15" thickBot="1">
      <c r="B27" s="3297" t="s">
        <v>3093</v>
      </c>
      <c r="C27" s="2948" t="s">
        <v>3094</v>
      </c>
      <c r="D27" s="2948">
        <v>4</v>
      </c>
      <c r="E27" s="2948">
        <v>478.04</v>
      </c>
    </row>
    <row r="28" spans="2:6" ht="15" thickBot="1">
      <c r="B28" s="3298"/>
      <c r="C28" s="2948" t="s">
        <v>3090</v>
      </c>
      <c r="D28" s="2948">
        <v>20</v>
      </c>
      <c r="E28" s="2949">
        <v>2250.1999999999998</v>
      </c>
    </row>
    <row r="29" spans="2:6" ht="15" thickBot="1">
      <c r="B29" s="3299"/>
      <c r="C29" s="2948" t="s">
        <v>3091</v>
      </c>
      <c r="D29" s="2948">
        <v>4</v>
      </c>
      <c r="E29" s="2948">
        <v>440.84</v>
      </c>
    </row>
    <row r="30" spans="2:6" ht="15" thickBot="1">
      <c r="B30" s="3300" t="s">
        <v>3095</v>
      </c>
      <c r="C30" s="2948" t="s">
        <v>3089</v>
      </c>
      <c r="D30" s="2948">
        <v>6</v>
      </c>
      <c r="E30" s="2948">
        <v>719.34</v>
      </c>
    </row>
    <row r="31" spans="2:6" ht="15" thickBot="1">
      <c r="B31" s="3301"/>
      <c r="C31" s="2948" t="s">
        <v>3090</v>
      </c>
      <c r="D31" s="2948">
        <v>24</v>
      </c>
      <c r="E31" s="2949">
        <v>2708.12</v>
      </c>
    </row>
    <row r="32" spans="2:6" ht="15" thickBot="1">
      <c r="B32" s="3302"/>
      <c r="C32" s="2948" t="s">
        <v>3091</v>
      </c>
      <c r="D32" s="2948">
        <v>6</v>
      </c>
      <c r="E32" s="2948">
        <v>663.18</v>
      </c>
    </row>
    <row r="33" spans="2:6" ht="15" thickBot="1">
      <c r="B33" s="3297" t="s">
        <v>3096</v>
      </c>
      <c r="C33" s="2948" t="s">
        <v>3089</v>
      </c>
      <c r="D33" s="2948">
        <v>3</v>
      </c>
      <c r="E33" s="2948">
        <v>381.21</v>
      </c>
    </row>
    <row r="34" spans="2:6" ht="15" thickBot="1">
      <c r="B34" s="3298"/>
      <c r="C34" s="2948" t="s">
        <v>3090</v>
      </c>
      <c r="D34" s="2948">
        <v>15</v>
      </c>
      <c r="E34" s="2949">
        <v>1793.8</v>
      </c>
    </row>
    <row r="35" spans="2:6" ht="15" thickBot="1">
      <c r="B35" s="3299"/>
      <c r="C35" s="2948" t="s">
        <v>3091</v>
      </c>
      <c r="D35" s="2948">
        <v>3</v>
      </c>
      <c r="E35" s="2948">
        <v>351.63</v>
      </c>
    </row>
    <row r="36" spans="2:6" ht="15" thickBot="1">
      <c r="B36" s="3297" t="s">
        <v>3097</v>
      </c>
      <c r="C36" s="2948" t="s">
        <v>3089</v>
      </c>
      <c r="D36" s="2948">
        <v>6</v>
      </c>
      <c r="E36" s="2948">
        <v>720.3</v>
      </c>
    </row>
    <row r="37" spans="2:6" ht="15" thickBot="1">
      <c r="B37" s="3298"/>
      <c r="C37" s="2948" t="s">
        <v>3090</v>
      </c>
      <c r="D37" s="2948">
        <v>30</v>
      </c>
      <c r="E37" s="2949">
        <v>3385.63</v>
      </c>
    </row>
    <row r="38" spans="2:6" ht="15" thickBot="1">
      <c r="B38" s="3299"/>
      <c r="C38" s="2948" t="s">
        <v>3091</v>
      </c>
      <c r="D38" s="2948">
        <v>4</v>
      </c>
      <c r="E38" s="2948">
        <v>442.8</v>
      </c>
    </row>
    <row r="39" spans="2:6" ht="15" thickBot="1">
      <c r="B39" s="3297" t="s">
        <v>3098</v>
      </c>
      <c r="C39" s="2948" t="s">
        <v>3089</v>
      </c>
      <c r="D39" s="2948">
        <v>4</v>
      </c>
      <c r="E39" s="2948">
        <v>477.76</v>
      </c>
    </row>
    <row r="40" spans="2:6" ht="15" thickBot="1">
      <c r="B40" s="3298"/>
      <c r="C40" s="2948" t="s">
        <v>3090</v>
      </c>
      <c r="D40" s="2948">
        <v>24</v>
      </c>
      <c r="E40" s="2949">
        <v>2703.48</v>
      </c>
    </row>
    <row r="41" spans="2:6" ht="15" thickBot="1">
      <c r="B41" s="3299"/>
      <c r="C41" s="2948" t="s">
        <v>3091</v>
      </c>
      <c r="D41" s="2948">
        <v>4</v>
      </c>
      <c r="E41" s="2948">
        <v>441.36</v>
      </c>
    </row>
    <row r="42" spans="2:6" ht="15" thickBot="1">
      <c r="B42" s="3297" t="s">
        <v>3099</v>
      </c>
      <c r="C42" s="2948" t="s">
        <v>3089</v>
      </c>
      <c r="D42" s="2948">
        <v>6</v>
      </c>
      <c r="E42" s="2948">
        <v>719.16</v>
      </c>
    </row>
    <row r="43" spans="2:6" ht="15" thickBot="1">
      <c r="B43" s="3298"/>
      <c r="C43" s="2948" t="s">
        <v>3090</v>
      </c>
      <c r="D43" s="2948">
        <v>36</v>
      </c>
      <c r="E43" s="2949">
        <v>4061.88</v>
      </c>
    </row>
    <row r="44" spans="2:6" ht="15" thickBot="1">
      <c r="B44" s="3299"/>
      <c r="C44" s="2948" t="s">
        <v>3091</v>
      </c>
      <c r="D44" s="2948">
        <v>6</v>
      </c>
      <c r="E44" s="2948">
        <v>663.12</v>
      </c>
    </row>
    <row r="45" spans="2:6" ht="15" thickBot="1">
      <c r="B45" s="3297" t="s">
        <v>3100</v>
      </c>
      <c r="C45" s="2948" t="s">
        <v>3101</v>
      </c>
      <c r="D45" s="2948">
        <v>4</v>
      </c>
      <c r="E45" s="2948">
        <v>503.98</v>
      </c>
      <c r="F45">
        <f>SUM(E45:E47)</f>
        <v>8567.66</v>
      </c>
    </row>
    <row r="46" spans="2:6" ht="15" thickBot="1">
      <c r="B46" s="3298"/>
      <c r="C46" s="2948" t="s">
        <v>3090</v>
      </c>
      <c r="D46" s="2948">
        <v>59</v>
      </c>
      <c r="E46" s="2949">
        <v>7559.7</v>
      </c>
    </row>
    <row r="47" spans="2:6" ht="15" thickBot="1">
      <c r="B47" s="3299"/>
      <c r="C47" s="2948" t="s">
        <v>3091</v>
      </c>
      <c r="D47" s="2948">
        <v>4</v>
      </c>
      <c r="E47" s="2948">
        <v>503.98</v>
      </c>
    </row>
    <row r="48" spans="2:6" ht="15" thickBot="1">
      <c r="B48" s="3300" t="s">
        <v>3102</v>
      </c>
      <c r="C48" s="2948" t="s">
        <v>3101</v>
      </c>
      <c r="D48" s="2948">
        <v>6</v>
      </c>
      <c r="E48" s="2948">
        <v>616.1</v>
      </c>
    </row>
    <row r="49" spans="2:5" ht="15" thickBot="1">
      <c r="B49" s="3301"/>
      <c r="C49" s="2948" t="s">
        <v>3090</v>
      </c>
      <c r="D49" s="2948">
        <v>90</v>
      </c>
      <c r="E49" s="2949">
        <v>9241.5</v>
      </c>
    </row>
    <row r="50" spans="2:5" ht="15" thickBot="1">
      <c r="B50" s="3302"/>
      <c r="C50" s="2948" t="s">
        <v>3091</v>
      </c>
      <c r="D50" s="2948">
        <v>6</v>
      </c>
      <c r="E50" s="2948">
        <v>616.1</v>
      </c>
    </row>
    <row r="51" spans="2:5" ht="15" thickBot="1">
      <c r="B51" s="3297" t="s">
        <v>3103</v>
      </c>
      <c r="C51" s="2948" t="s">
        <v>3101</v>
      </c>
      <c r="D51" s="2948">
        <v>6</v>
      </c>
      <c r="E51" s="2948">
        <v>616.1</v>
      </c>
    </row>
    <row r="52" spans="2:5" ht="15" thickBot="1">
      <c r="B52" s="3298"/>
      <c r="C52" s="2948" t="s">
        <v>3090</v>
      </c>
      <c r="D52" s="2948">
        <v>90</v>
      </c>
      <c r="E52" s="2949">
        <v>9241.5</v>
      </c>
    </row>
    <row r="53" spans="2:5" ht="15" thickBot="1">
      <c r="B53" s="3299"/>
      <c r="C53" s="2948" t="s">
        <v>3091</v>
      </c>
      <c r="D53" s="2948">
        <v>6</v>
      </c>
      <c r="E53" s="2948">
        <v>616.1</v>
      </c>
    </row>
    <row r="54" spans="2:5" ht="15" thickBot="1">
      <c r="B54" s="3297" t="s">
        <v>3104</v>
      </c>
      <c r="C54" s="2948" t="s">
        <v>3101</v>
      </c>
      <c r="D54" s="2948">
        <v>2</v>
      </c>
      <c r="E54" s="2948">
        <v>252.01</v>
      </c>
    </row>
    <row r="55" spans="2:5" ht="15" thickBot="1">
      <c r="B55" s="3298"/>
      <c r="C55" s="2948" t="s">
        <v>3090</v>
      </c>
      <c r="D55" s="2948">
        <v>89</v>
      </c>
      <c r="E55" s="2949">
        <v>10681.27</v>
      </c>
    </row>
    <row r="56" spans="2:5" ht="15" thickBot="1">
      <c r="B56" s="3299"/>
      <c r="C56" s="2948" t="s">
        <v>3091</v>
      </c>
      <c r="D56" s="2948">
        <v>6</v>
      </c>
      <c r="E56" s="2948">
        <v>711.24</v>
      </c>
    </row>
    <row r="57" spans="2:5" ht="15" thickBot="1">
      <c r="B57" s="3297" t="s">
        <v>3105</v>
      </c>
      <c r="C57" s="2948" t="s">
        <v>3101</v>
      </c>
      <c r="D57" s="2948">
        <v>6</v>
      </c>
      <c r="E57" s="2948">
        <v>697.48</v>
      </c>
    </row>
    <row r="58" spans="2:5" ht="15" thickBot="1">
      <c r="B58" s="3298"/>
      <c r="C58" s="2948" t="s">
        <v>3090</v>
      </c>
      <c r="D58" s="2948">
        <v>48</v>
      </c>
      <c r="E58" s="2949">
        <v>5579.84</v>
      </c>
    </row>
    <row r="59" spans="2:5" ht="15" thickBot="1">
      <c r="B59" s="3299"/>
      <c r="C59" s="2948" t="s">
        <v>3091</v>
      </c>
      <c r="D59" s="2948">
        <v>6</v>
      </c>
      <c r="E59" s="2948">
        <v>697.48</v>
      </c>
    </row>
    <row r="60" spans="2:5" ht="15" thickBot="1">
      <c r="B60" s="2950"/>
      <c r="C60" s="2948" t="s">
        <v>3106</v>
      </c>
      <c r="D60" s="2948">
        <v>65</v>
      </c>
      <c r="E60" s="2949">
        <v>7617.73</v>
      </c>
    </row>
    <row r="61" spans="2:5" ht="15" thickBot="1">
      <c r="B61" s="2950"/>
      <c r="C61" s="2948" t="s">
        <v>3107</v>
      </c>
      <c r="D61" s="2948">
        <v>579</v>
      </c>
      <c r="E61" s="2949">
        <v>65292.9</v>
      </c>
    </row>
    <row r="62" spans="2:5" ht="15" thickBot="1">
      <c r="B62" s="2950"/>
      <c r="C62" s="2948" t="s">
        <v>3108</v>
      </c>
      <c r="D62" s="2948">
        <v>65</v>
      </c>
      <c r="E62" s="2949">
        <v>7252.85</v>
      </c>
    </row>
    <row r="63" spans="2:5" ht="15" thickBot="1">
      <c r="B63" s="2950"/>
      <c r="C63" s="2948" t="s">
        <v>3109</v>
      </c>
      <c r="D63" s="2948"/>
      <c r="E63" s="2949">
        <v>80163.48</v>
      </c>
    </row>
    <row r="64" spans="2:5" ht="15" thickBot="1">
      <c r="B64" s="2950"/>
      <c r="C64" s="2951" t="s">
        <v>3110</v>
      </c>
      <c r="D64" s="2952">
        <v>47</v>
      </c>
      <c r="E64" s="2953">
        <v>5462.14</v>
      </c>
    </row>
    <row r="65" spans="2:5" ht="15" thickBot="1">
      <c r="B65" s="2950"/>
      <c r="C65" s="2951" t="s">
        <v>3111</v>
      </c>
      <c r="D65" s="2952">
        <v>501</v>
      </c>
      <c r="E65" s="2953">
        <v>56498.8</v>
      </c>
    </row>
    <row r="66" spans="2:5" ht="15" thickBot="1">
      <c r="B66" s="2950"/>
      <c r="C66" s="2951" t="s">
        <v>3112</v>
      </c>
      <c r="D66" s="2952">
        <v>49</v>
      </c>
      <c r="E66" s="2953">
        <v>5484.65</v>
      </c>
    </row>
    <row r="67" spans="2:5" ht="15" thickBot="1">
      <c r="B67" s="2950"/>
      <c r="C67" s="2952" t="s">
        <v>3113</v>
      </c>
      <c r="D67" s="2952">
        <v>597</v>
      </c>
      <c r="E67" s="2953">
        <v>67445.59</v>
      </c>
    </row>
    <row r="68" spans="2:5" ht="15" thickBot="1">
      <c r="B68" s="2950"/>
      <c r="C68" s="2954" t="s">
        <v>3114</v>
      </c>
      <c r="D68" s="2948"/>
      <c r="E68" s="2954">
        <v>22</v>
      </c>
    </row>
    <row r="69" spans="2:5" ht="15" thickBot="1">
      <c r="B69" s="2950"/>
      <c r="C69" s="2954" t="s">
        <v>3115</v>
      </c>
      <c r="D69" s="2948"/>
      <c r="E69" s="2954">
        <v>180</v>
      </c>
    </row>
    <row r="70" spans="2:5" ht="15" thickBot="1">
      <c r="B70" s="2950"/>
      <c r="C70" s="2954" t="s">
        <v>3115</v>
      </c>
      <c r="D70" s="2948"/>
      <c r="E70" s="2954">
        <v>297</v>
      </c>
    </row>
    <row r="71" spans="2:5" ht="15" thickBot="1">
      <c r="B71" s="2950"/>
      <c r="C71" s="2954" t="s">
        <v>3116</v>
      </c>
      <c r="D71" s="2948"/>
      <c r="E71" s="2954">
        <v>499</v>
      </c>
    </row>
  </sheetData>
  <mergeCells count="13">
    <mergeCell ref="B57:B59"/>
    <mergeCell ref="B39:B41"/>
    <mergeCell ref="B42:B44"/>
    <mergeCell ref="B45:B47"/>
    <mergeCell ref="B48:B50"/>
    <mergeCell ref="B51:B53"/>
    <mergeCell ref="B54:B56"/>
    <mergeCell ref="B36:B38"/>
    <mergeCell ref="B21:B23"/>
    <mergeCell ref="B24:B26"/>
    <mergeCell ref="B27:B29"/>
    <mergeCell ref="B30:B32"/>
    <mergeCell ref="B33:B35"/>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AN5" sqref="AN5"/>
    </sheetView>
  </sheetViews>
  <sheetFormatPr defaultRowHeight="13.5"/>
  <cols>
    <col min="13" max="22" width="3.625" customWidth="1"/>
  </cols>
  <sheetData>
    <row r="1" spans="1:44" s="1637" customFormat="1">
      <c r="A1" s="1637" t="s">
        <v>3127</v>
      </c>
      <c r="B1" s="1637" t="s">
        <v>3128</v>
      </c>
      <c r="C1" s="1637" t="s">
        <v>3129</v>
      </c>
      <c r="D1" s="1637" t="s">
        <v>3130</v>
      </c>
      <c r="E1" s="1637" t="s">
        <v>3131</v>
      </c>
      <c r="F1" s="1637" t="s">
        <v>3132</v>
      </c>
      <c r="G1" s="1637" t="s">
        <v>3133</v>
      </c>
      <c r="H1" s="1637" t="s">
        <v>3134</v>
      </c>
      <c r="I1" s="1637" t="s">
        <v>3135</v>
      </c>
      <c r="J1" s="1637" t="s">
        <v>3136</v>
      </c>
      <c r="K1" s="1637" t="s">
        <v>3137</v>
      </c>
      <c r="L1" s="1637" t="s">
        <v>3138</v>
      </c>
      <c r="M1" s="1637" t="s">
        <v>3139</v>
      </c>
      <c r="N1" s="1637" t="s">
        <v>3140</v>
      </c>
      <c r="O1" s="1637" t="s">
        <v>3141</v>
      </c>
      <c r="P1" s="1637" t="s">
        <v>3142</v>
      </c>
      <c r="Q1" s="1637" t="s">
        <v>3143</v>
      </c>
      <c r="R1" s="1637" t="s">
        <v>3144</v>
      </c>
      <c r="S1" s="1637" t="s">
        <v>3145</v>
      </c>
      <c r="T1" s="1637" t="s">
        <v>3146</v>
      </c>
      <c r="U1" s="1637" t="s">
        <v>3147</v>
      </c>
      <c r="V1" s="1637" t="s">
        <v>3148</v>
      </c>
      <c r="W1" s="1637" t="s">
        <v>3149</v>
      </c>
      <c r="X1" s="1637" t="s">
        <v>3150</v>
      </c>
      <c r="Y1" s="1637" t="s">
        <v>3151</v>
      </c>
      <c r="Z1" s="1637" t="s">
        <v>3152</v>
      </c>
      <c r="AA1" s="1637" t="s">
        <v>3153</v>
      </c>
      <c r="AB1" s="1637" t="s">
        <v>3154</v>
      </c>
      <c r="AC1" s="1637" t="s">
        <v>3155</v>
      </c>
      <c r="AD1" s="1637" t="s">
        <v>3156</v>
      </c>
      <c r="AE1" s="1637" t="s">
        <v>3157</v>
      </c>
      <c r="AF1" s="1637" t="s">
        <v>3158</v>
      </c>
      <c r="AG1" s="1637" t="s">
        <v>3159</v>
      </c>
      <c r="AH1" s="1637" t="s">
        <v>3160</v>
      </c>
      <c r="AI1" s="1637" t="s">
        <v>3161</v>
      </c>
      <c r="AJ1" s="1637" t="s">
        <v>3162</v>
      </c>
      <c r="AK1" s="1637" t="s">
        <v>3163</v>
      </c>
      <c r="AL1" s="1637" t="s">
        <v>3164</v>
      </c>
      <c r="AM1" s="1637" t="s">
        <v>3165</v>
      </c>
      <c r="AN1" s="1637" t="s">
        <v>3166</v>
      </c>
      <c r="AO1" s="1637" t="s">
        <v>3167</v>
      </c>
      <c r="AP1" s="1637" t="s">
        <v>3168</v>
      </c>
      <c r="AQ1" s="1637" t="s">
        <v>3169</v>
      </c>
      <c r="AR1" s="1637" t="s">
        <v>3170</v>
      </c>
    </row>
    <row r="2" spans="1:44" s="2959" customFormat="1">
      <c r="A2" s="2959" t="s">
        <v>3188</v>
      </c>
      <c r="B2" s="2959" t="s">
        <v>3172</v>
      </c>
      <c r="C2" s="2959" t="s">
        <v>3173</v>
      </c>
      <c r="D2" s="2959" t="s">
        <v>3174</v>
      </c>
      <c r="E2" s="2959" t="s">
        <v>1331</v>
      </c>
      <c r="F2" s="2959" t="s">
        <v>3188</v>
      </c>
      <c r="G2" s="2959" t="s">
        <v>3175</v>
      </c>
      <c r="H2" s="2959" t="s">
        <v>3189</v>
      </c>
      <c r="I2" s="2959" t="s">
        <v>3177</v>
      </c>
      <c r="J2" s="2959">
        <v>50868</v>
      </c>
      <c r="K2" s="2959">
        <v>91562.4</v>
      </c>
      <c r="L2" s="2959" t="s">
        <v>3178</v>
      </c>
      <c r="M2" s="2959" t="s">
        <v>1331</v>
      </c>
      <c r="N2" s="2959" t="s">
        <v>3179</v>
      </c>
      <c r="O2" s="2959" t="s">
        <v>1331</v>
      </c>
      <c r="P2" s="2959" t="s">
        <v>1331</v>
      </c>
      <c r="Q2" s="2959" t="s">
        <v>1331</v>
      </c>
      <c r="R2" s="2959" t="s">
        <v>1331</v>
      </c>
      <c r="S2" s="2959" t="s">
        <v>1331</v>
      </c>
      <c r="T2" s="2959" t="s">
        <v>1331</v>
      </c>
      <c r="U2" s="2959" t="s">
        <v>1331</v>
      </c>
      <c r="V2" s="2959" t="s">
        <v>1331</v>
      </c>
      <c r="W2" s="2959" t="s">
        <v>3180</v>
      </c>
      <c r="X2" s="2959" t="s">
        <v>3181</v>
      </c>
      <c r="Y2" s="2959" t="s">
        <v>3182</v>
      </c>
      <c r="Z2" s="2959" t="s">
        <v>3183</v>
      </c>
      <c r="AA2" s="2959" t="s">
        <v>3183</v>
      </c>
      <c r="AB2" s="2959" t="s">
        <v>3190</v>
      </c>
      <c r="AC2" s="2959" t="s">
        <v>3185</v>
      </c>
      <c r="AD2" s="2959" t="s">
        <v>3191</v>
      </c>
      <c r="AE2" s="2959">
        <v>7000</v>
      </c>
      <c r="AF2" s="2959">
        <v>34798</v>
      </c>
      <c r="AG2" s="2959">
        <v>47398</v>
      </c>
      <c r="AH2" s="2959">
        <v>456.06</v>
      </c>
      <c r="AI2" s="2959">
        <v>621.19000000000005</v>
      </c>
      <c r="AJ2" s="2959">
        <v>3800.46</v>
      </c>
      <c r="AK2" s="2959">
        <v>5176.57</v>
      </c>
      <c r="AL2" s="2959" t="s">
        <v>1331</v>
      </c>
      <c r="AM2" s="2959" t="s">
        <v>1331</v>
      </c>
      <c r="AN2" s="2959">
        <v>36.21</v>
      </c>
      <c r="AO2" s="2959" t="s">
        <v>3187</v>
      </c>
      <c r="AP2" s="2959" t="s">
        <v>1331</v>
      </c>
      <c r="AQ2" s="2959" t="s">
        <v>1331</v>
      </c>
      <c r="AR2" s="2959" t="s">
        <v>1331</v>
      </c>
    </row>
    <row r="3" spans="1:44" s="2959" customFormat="1">
      <c r="A3" s="2959" t="s">
        <v>3192</v>
      </c>
      <c r="B3" s="2959" t="s">
        <v>3172</v>
      </c>
      <c r="C3" s="2959" t="s">
        <v>3173</v>
      </c>
      <c r="D3" s="2959" t="s">
        <v>3174</v>
      </c>
      <c r="E3" s="2959" t="s">
        <v>1331</v>
      </c>
      <c r="F3" s="2959" t="s">
        <v>3192</v>
      </c>
      <c r="G3" s="2959" t="s">
        <v>3175</v>
      </c>
      <c r="H3" s="2959" t="s">
        <v>3193</v>
      </c>
      <c r="I3" s="2959" t="s">
        <v>3177</v>
      </c>
      <c r="J3" s="2959">
        <v>23748</v>
      </c>
      <c r="K3" s="2959">
        <v>42746.400000000001</v>
      </c>
      <c r="L3" s="2959" t="s">
        <v>3178</v>
      </c>
      <c r="M3" s="2959" t="s">
        <v>1331</v>
      </c>
      <c r="N3" s="2959" t="s">
        <v>3179</v>
      </c>
      <c r="O3" s="2959" t="s">
        <v>1331</v>
      </c>
      <c r="P3" s="2959" t="s">
        <v>1331</v>
      </c>
      <c r="Q3" s="2959" t="s">
        <v>1331</v>
      </c>
      <c r="R3" s="2959" t="s">
        <v>1331</v>
      </c>
      <c r="S3" s="2959" t="s">
        <v>1331</v>
      </c>
      <c r="T3" s="2959" t="s">
        <v>1331</v>
      </c>
      <c r="U3" s="2959" t="s">
        <v>1331</v>
      </c>
      <c r="V3" s="2959" t="s">
        <v>1331</v>
      </c>
      <c r="W3" s="2959" t="s">
        <v>3180</v>
      </c>
      <c r="X3" s="2959" t="s">
        <v>3194</v>
      </c>
      <c r="Y3" s="2959" t="s">
        <v>3195</v>
      </c>
      <c r="Z3" s="2959" t="s">
        <v>3196</v>
      </c>
      <c r="AA3" s="2959" t="s">
        <v>3196</v>
      </c>
      <c r="AB3" s="2959" t="s">
        <v>3197</v>
      </c>
      <c r="AC3" s="2959" t="s">
        <v>3185</v>
      </c>
      <c r="AD3" s="2959" t="s">
        <v>3198</v>
      </c>
      <c r="AE3" s="2959">
        <v>2000</v>
      </c>
      <c r="AF3" s="2959">
        <v>9408</v>
      </c>
      <c r="AG3" s="2959">
        <v>20508</v>
      </c>
      <c r="AH3" s="2959">
        <v>264.11</v>
      </c>
      <c r="AI3" s="2959">
        <v>575.71</v>
      </c>
      <c r="AJ3" s="2959">
        <v>2200.88</v>
      </c>
      <c r="AK3" s="2959">
        <v>4797.6000000000004</v>
      </c>
      <c r="AL3" s="2959" t="s">
        <v>1331</v>
      </c>
      <c r="AM3" s="2959" t="s">
        <v>1331</v>
      </c>
      <c r="AN3" s="2959">
        <v>117.98</v>
      </c>
      <c r="AO3" s="2959" t="s">
        <v>3187</v>
      </c>
      <c r="AP3" s="2959" t="s">
        <v>1331</v>
      </c>
      <c r="AQ3" s="2959" t="s">
        <v>1331</v>
      </c>
      <c r="AR3" s="2959" t="s">
        <v>1331</v>
      </c>
    </row>
    <row r="4" spans="1:44" s="2959" customFormat="1">
      <c r="A4" s="2959" t="s">
        <v>3199</v>
      </c>
      <c r="B4" s="2959" t="s">
        <v>3172</v>
      </c>
      <c r="C4" s="2959" t="s">
        <v>3173</v>
      </c>
      <c r="D4" s="2959" t="s">
        <v>3174</v>
      </c>
      <c r="E4" s="2959" t="s">
        <v>1331</v>
      </c>
      <c r="F4" s="2959" t="s">
        <v>3199</v>
      </c>
      <c r="G4" s="2959" t="s">
        <v>3175</v>
      </c>
      <c r="H4" s="2959" t="s">
        <v>3200</v>
      </c>
      <c r="I4" s="2959" t="s">
        <v>3177</v>
      </c>
      <c r="J4" s="2959">
        <v>57534</v>
      </c>
      <c r="K4" s="2959">
        <v>126574.8</v>
      </c>
      <c r="L4" s="2959" t="s">
        <v>3201</v>
      </c>
      <c r="M4" s="2959" t="s">
        <v>1331</v>
      </c>
      <c r="N4" s="2959" t="s">
        <v>3179</v>
      </c>
      <c r="O4" s="2959" t="s">
        <v>1331</v>
      </c>
      <c r="P4" s="2959" t="s">
        <v>1331</v>
      </c>
      <c r="Q4" s="2959" t="s">
        <v>1331</v>
      </c>
      <c r="R4" s="2959" t="s">
        <v>1331</v>
      </c>
      <c r="S4" s="2959" t="s">
        <v>1331</v>
      </c>
      <c r="T4" s="2959" t="s">
        <v>1331</v>
      </c>
      <c r="U4" s="2959" t="s">
        <v>1331</v>
      </c>
      <c r="V4" s="2959" t="s">
        <v>1331</v>
      </c>
      <c r="W4" s="2959" t="s">
        <v>3180</v>
      </c>
      <c r="X4" s="2959" t="s">
        <v>3202</v>
      </c>
      <c r="Y4" s="2959" t="s">
        <v>3203</v>
      </c>
      <c r="Z4" s="2959" t="s">
        <v>3204</v>
      </c>
      <c r="AA4" s="2959" t="s">
        <v>3204</v>
      </c>
      <c r="AB4" s="2959" t="s">
        <v>3205</v>
      </c>
      <c r="AC4" s="2959" t="s">
        <v>3185</v>
      </c>
      <c r="AD4" s="2959" t="s">
        <v>3206</v>
      </c>
      <c r="AE4" s="2959">
        <v>5200</v>
      </c>
      <c r="AF4" s="2959">
        <v>25918</v>
      </c>
      <c r="AG4" s="2959">
        <v>57918</v>
      </c>
      <c r="AH4" s="2959">
        <v>300.32</v>
      </c>
      <c r="AI4" s="2959">
        <v>671.12</v>
      </c>
      <c r="AJ4" s="2959">
        <v>2047.64</v>
      </c>
      <c r="AK4" s="2959">
        <v>4575.78</v>
      </c>
      <c r="AL4" s="2959" t="s">
        <v>1331</v>
      </c>
      <c r="AM4" s="2959" t="s">
        <v>1331</v>
      </c>
      <c r="AN4" s="2959">
        <v>123.47</v>
      </c>
      <c r="AO4" s="2959" t="s">
        <v>3187</v>
      </c>
      <c r="AP4" s="2959" t="s">
        <v>1331</v>
      </c>
      <c r="AQ4" s="2959" t="s">
        <v>1331</v>
      </c>
      <c r="AR4" s="2959" t="s">
        <v>1331</v>
      </c>
    </row>
    <row r="5" spans="1:44" s="1637" customFormat="1">
      <c r="A5" s="2958" t="s">
        <v>3171</v>
      </c>
      <c r="B5" s="2958" t="s">
        <v>3172</v>
      </c>
      <c r="C5" s="2958" t="s">
        <v>3173</v>
      </c>
      <c r="D5" s="2958" t="s">
        <v>3174</v>
      </c>
      <c r="E5" s="2958" t="s">
        <v>1331</v>
      </c>
      <c r="F5" s="2958" t="s">
        <v>3171</v>
      </c>
      <c r="G5" s="2958" t="s">
        <v>3175</v>
      </c>
      <c r="H5" s="2958" t="s">
        <v>3176</v>
      </c>
      <c r="I5" s="2958" t="s">
        <v>3177</v>
      </c>
      <c r="J5" s="2958">
        <v>44717</v>
      </c>
      <c r="K5" s="2958">
        <v>80490.600000000006</v>
      </c>
      <c r="L5" s="2958" t="s">
        <v>3178</v>
      </c>
      <c r="M5" s="2958" t="s">
        <v>1331</v>
      </c>
      <c r="N5" s="2958" t="s">
        <v>3179</v>
      </c>
      <c r="O5" s="2958" t="s">
        <v>1331</v>
      </c>
      <c r="P5" s="2958" t="s">
        <v>1331</v>
      </c>
      <c r="Q5" s="2958" t="s">
        <v>1331</v>
      </c>
      <c r="R5" s="2958" t="s">
        <v>1331</v>
      </c>
      <c r="S5" s="2958" t="s">
        <v>1331</v>
      </c>
      <c r="T5" s="2958" t="s">
        <v>1331</v>
      </c>
      <c r="U5" s="2958" t="s">
        <v>1331</v>
      </c>
      <c r="V5" s="2958" t="s">
        <v>1331</v>
      </c>
      <c r="W5" s="2958" t="s">
        <v>3180</v>
      </c>
      <c r="X5" s="2958" t="s">
        <v>3181</v>
      </c>
      <c r="Y5" s="2958" t="s">
        <v>3182</v>
      </c>
      <c r="Z5" s="2958" t="s">
        <v>3183</v>
      </c>
      <c r="AA5" s="2958" t="s">
        <v>3183</v>
      </c>
      <c r="AB5" s="2958" t="s">
        <v>3184</v>
      </c>
      <c r="AC5" s="2958" t="s">
        <v>3185</v>
      </c>
      <c r="AD5" s="2958" t="s">
        <v>3186</v>
      </c>
      <c r="AE5" s="2958">
        <v>7000</v>
      </c>
      <c r="AF5" s="2958">
        <v>30588</v>
      </c>
      <c r="AG5" s="2958">
        <v>43388</v>
      </c>
      <c r="AH5" s="2958">
        <v>456.02</v>
      </c>
      <c r="AI5" s="2958">
        <v>646.85</v>
      </c>
      <c r="AJ5" s="2958">
        <v>3800.19</v>
      </c>
      <c r="AK5" s="2958">
        <v>5390.43</v>
      </c>
      <c r="AL5" s="2958" t="s">
        <v>1331</v>
      </c>
      <c r="AM5" s="2958" t="s">
        <v>1331</v>
      </c>
      <c r="AN5" s="2958">
        <v>41.85</v>
      </c>
      <c r="AO5" s="2958" t="s">
        <v>3187</v>
      </c>
      <c r="AP5" s="2958" t="s">
        <v>1331</v>
      </c>
      <c r="AQ5" s="2958" t="s">
        <v>1331</v>
      </c>
      <c r="AR5" s="2958"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6" t="s">
        <v>1638</v>
      </c>
      <c r="E3" s="1046" t="s">
        <v>1644</v>
      </c>
      <c r="F3" s="1046" t="s">
        <v>1638</v>
      </c>
      <c r="G3" s="1046" t="s">
        <v>1639</v>
      </c>
      <c r="H3" s="1046" t="s">
        <v>1638</v>
      </c>
      <c r="I3" s="1046" t="s">
        <v>1639</v>
      </c>
    </row>
    <row r="4" spans="1:9" ht="60">
      <c r="A4" s="1975" t="str">
        <f>项目基本情况!S2</f>
        <v>江苏省泰兴市根思路南侧、文江路西侧10号地块出让国有建设用地使用权及在建建筑物房地产</v>
      </c>
      <c r="B4" s="1046">
        <f>项目基本情况!C17</f>
        <v>65305.219999999972</v>
      </c>
      <c r="C4" s="1046">
        <f>项目基本情况!C18</f>
        <v>29208.38</v>
      </c>
      <c r="D4" s="1046" t="e">
        <f ca="1">结果表!D118</f>
        <v>#REF!</v>
      </c>
      <c r="E4" s="1046" t="e">
        <f ca="1">结果表!E118</f>
        <v>#REF!</v>
      </c>
      <c r="F4" s="1046" t="e">
        <f ca="1">结果表!F118</f>
        <v>#REF!</v>
      </c>
      <c r="G4" s="1046" t="e">
        <f ca="1">结果表!G118</f>
        <v>#REF!</v>
      </c>
      <c r="H4" s="1046">
        <f ca="1">结果表!H118</f>
        <v>49787</v>
      </c>
      <c r="I4" s="1046">
        <f ca="1">结果表!I118</f>
        <v>7624</v>
      </c>
    </row>
    <row r="5" spans="1:9" ht="30" customHeight="1">
      <c r="A5" s="2987" t="s">
        <v>1640</v>
      </c>
      <c r="B5" s="2987"/>
      <c r="C5" s="2987"/>
      <c r="D5" s="2988" t="e">
        <f ca="1">结果表!D119</f>
        <v>#REF!</v>
      </c>
      <c r="E5" s="2988"/>
      <c r="F5" s="2988" t="e">
        <f ca="1">结果表!F119</f>
        <v>#REF!</v>
      </c>
      <c r="G5" s="2988"/>
      <c r="H5" s="2988" t="str">
        <f ca="1">结果表!H119</f>
        <v>肆亿玖仟柒佰捌拾柒万元整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49787</v>
      </c>
      <c r="E8" s="2986"/>
      <c r="F8" s="2986"/>
      <c r="G8" s="2986"/>
      <c r="H8" s="2986"/>
      <c r="I8" s="2986"/>
    </row>
    <row r="9" spans="1:9" ht="15">
      <c r="A9" s="2987" t="s">
        <v>1640</v>
      </c>
      <c r="B9" s="2987"/>
      <c r="C9" s="2987"/>
      <c r="D9" s="2988" t="str">
        <f ca="1">结果表!D123</f>
        <v>肆亿玖仟柒佰捌拾柒万元整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崔锴</v>
      </c>
      <c r="B5" s="1981">
        <f ca="1">项目基本情况!E4</f>
        <v>1120100036</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43426</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44395</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3049</v>
      </c>
      <c r="B12" s="1024">
        <v>1120110054</v>
      </c>
      <c r="C12" s="2941">
        <v>43937</v>
      </c>
      <c r="D12" s="1704" t="s">
        <v>3049</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41">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7" customFormat="1" ht="24" customHeight="1">
      <c r="A26" s="3012" t="s">
        <v>847</v>
      </c>
      <c r="B26" s="3012"/>
      <c r="C26" s="3013"/>
      <c r="D26" s="3014" t="s">
        <v>848</v>
      </c>
      <c r="E26" s="3012"/>
      <c r="F26" s="3012"/>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2018-11-22T01:29:02Z</dcterms:modified>
</cp:coreProperties>
</file>