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I33" i="21"/>
  <c r="G33" i="21"/>
  <c r="E33" i="21"/>
  <c r="C33" i="21"/>
  <c r="I26" i="21"/>
  <c r="G26" i="21"/>
  <c r="E26" i="21"/>
  <c r="I27" i="21"/>
  <c r="G27" i="21"/>
  <c r="E27" i="21"/>
  <c r="I7" i="21"/>
  <c r="G7" i="21"/>
  <c r="E7" i="21"/>
  <c r="I5" i="21"/>
  <c r="G5" i="21"/>
  <c r="E5" i="21" l="1"/>
  <c r="F19" i="6"/>
  <c r="C148" i="80"/>
  <c r="C147" i="80"/>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40" i="67"/>
  <c r="F43" i="67"/>
  <c r="M26" i="67"/>
  <c r="AO13" i="1"/>
  <c r="F6" i="67"/>
  <c r="M24" i="15"/>
  <c r="L47" i="67"/>
  <c r="F26" i="67"/>
  <c r="F42" i="67"/>
  <c r="M28" i="67"/>
  <c r="F5" i="73"/>
  <c r="M6" i="15"/>
  <c r="C76" i="15"/>
  <c r="B8" i="76"/>
  <c r="M23" i="15"/>
  <c r="C19" i="9"/>
  <c r="F42" i="15"/>
  <c r="J15" i="67"/>
  <c r="E2" i="68"/>
  <c r="E8" i="76"/>
  <c r="J15" i="15"/>
  <c r="E11" i="76"/>
  <c r="F26" i="15"/>
  <c r="E10" i="76"/>
  <c r="M23" i="67"/>
  <c r="F36" i="67"/>
  <c r="M8" i="15"/>
  <c r="M29" i="15"/>
  <c r="B11" i="76"/>
  <c r="C20" i="9"/>
  <c r="F16" i="15"/>
  <c r="F3" i="73"/>
  <c r="E12" i="76"/>
  <c r="F7" i="15"/>
  <c r="F8" i="67"/>
  <c r="B10" i="76"/>
  <c r="D35" i="9"/>
  <c r="E13" i="76"/>
  <c r="L48" i="15"/>
  <c r="M8" i="67"/>
  <c r="B9" i="76"/>
  <c r="F7" i="67"/>
  <c r="B7" i="76"/>
  <c r="M28" i="15"/>
  <c r="F7" i="73"/>
  <c r="M24" i="67"/>
  <c r="F16" i="67"/>
  <c r="M26" i="15"/>
  <c r="F20" i="31"/>
  <c r="D7" i="73"/>
  <c r="D20" i="9"/>
  <c r="D34" i="9"/>
  <c r="C76" i="67"/>
  <c r="D5" i="73"/>
  <c r="M22" i="15"/>
  <c r="F38" i="15"/>
  <c r="M9" i="67"/>
  <c r="B13" i="76"/>
  <c r="E7" i="76"/>
  <c r="F43" i="15"/>
  <c r="F37" i="15"/>
  <c r="L47" i="15"/>
  <c r="E9" i="76"/>
  <c r="F9" i="67"/>
  <c r="F8" i="15"/>
  <c r="F9" i="15"/>
  <c r="D3" i="73"/>
  <c r="F40" i="15"/>
  <c r="L48" i="67"/>
  <c r="F36" i="15"/>
  <c r="F6" i="15"/>
  <c r="M29" i="67"/>
  <c r="M9" i="15"/>
  <c r="E2" i="69"/>
  <c r="M22" i="67"/>
  <c r="F37" i="67"/>
  <c r="M6" i="67"/>
  <c r="D19" i="9"/>
  <c r="B12" i="76"/>
  <c r="F6" i="73"/>
  <c r="F13" i="67"/>
  <c r="F13" i="15"/>
  <c r="F38" i="67"/>
  <c r="F4" i="73"/>
  <c r="W42" i="21" l="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6" i="73"/>
  <c r="C16" i="15"/>
  <c r="C16" i="67"/>
  <c r="D4" i="73"/>
  <c r="G1" i="73"/>
  <c r="E475" i="3" l="1"/>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D116" i="43" l="1"/>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4" i="67"/>
  <c r="C17" i="15"/>
  <c r="C17" i="67"/>
  <c r="C25" i="11" l="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Q57" i="67" l="1"/>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6" i="1"/>
  <c r="AO8"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M48" i="9" l="1"/>
  <c r="H107" i="9"/>
  <c r="D45" i="9"/>
  <c r="D5" i="53"/>
  <c r="D4" i="52"/>
  <c r="B47" i="72" s="1"/>
  <c r="D119" i="9"/>
  <c r="D5" i="52" s="1"/>
  <c r="B49" i="72" s="1"/>
  <c r="D122" i="9" l="1"/>
  <c r="H108" i="9"/>
  <c r="D13" i="53"/>
  <c r="B20" i="72"/>
  <c r="D6" i="53"/>
  <c r="B22" i="72" s="1"/>
  <c r="D53" i="9"/>
  <c r="D52" i="9"/>
  <c r="C78" i="9"/>
  <c r="C73" i="9" s="1"/>
  <c r="D55" i="9"/>
  <c r="M53" i="9" s="1"/>
  <c r="C93" i="9"/>
  <c r="C86" i="9" s="1"/>
  <c r="C72" i="9"/>
  <c r="C79" i="9" s="1"/>
  <c r="C64" i="9"/>
  <c r="C63" i="9" s="1"/>
  <c r="C67" i="9" s="1"/>
  <c r="C85" i="9"/>
  <c r="C95" i="9" s="1"/>
  <c r="C68" i="9" l="1"/>
  <c r="D54" i="9" s="1"/>
  <c r="D59" i="9"/>
  <c r="M55" i="9" s="1"/>
  <c r="C6" i="74"/>
  <c r="D15" i="53"/>
  <c r="B31" i="72" s="1"/>
  <c r="C96" i="9"/>
  <c r="E96" i="9" s="1"/>
  <c r="E97" i="9" s="1"/>
  <c r="C80" i="9"/>
  <c r="E80" i="9" s="1"/>
  <c r="E81" i="9" s="1"/>
  <c r="B30" i="72"/>
  <c r="D14" i="53"/>
  <c r="B32" i="72" s="1"/>
  <c r="D8" i="52"/>
  <c r="D123" i="9"/>
  <c r="D9" i="52" s="1"/>
  <c r="C97" i="9" l="1"/>
  <c r="D58" i="9" s="1"/>
  <c r="D56" i="9" s="1"/>
  <c r="M54" i="9" s="1"/>
  <c r="N57" i="9" s="1"/>
  <c r="N58" i="9" s="1"/>
  <c r="C81" i="9"/>
  <c r="P57"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<sst xmlns="http://schemas.openxmlformats.org/spreadsheetml/2006/main" count="7807" uniqueCount="3410">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</sst>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受贵公司委托，我公司对房地产市场价值进行了预评估。</v>
      </c>
    </row>
    <row r="7" spans="1:2" s="1203" customFormat="1">
      <c r="A7" s="1201" t="s">
        <v>566</v>
      </c>
      <c r="B7" s="1202" t="str">
        <f>'预评函-1'!A7</f>
        <v>估价对象为房地产，为所有。根据《国有土地使用证》[]，估价对象（分摊）出让国有建设用地使用权面积为0平方米，建筑面积为63.46平方米。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估价对象为房地产,属开发建设的，该项目尚在开发建设中。根据《国有土地使用证》[]，估价对象（分摊）出让国有建设用地使用权面积为0平方米，规划建筑面积为63.46平方米。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2023年1月16日</v>
      </c>
    </row>
    <row r="13" spans="1:2" s="1203" customFormat="1">
      <c r="A13" s="1201" t="s">
        <v>529</v>
      </c>
      <c r="B13" s="1202"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95</v>
      </c>
    </row>
    <row r="21" spans="1:2" s="1203" customFormat="1">
      <c r="A21" s="1201" t="s">
        <v>537</v>
      </c>
      <c r="B21" s="1202">
        <f ca="1">'预评函-2'!D7</f>
        <v>15043</v>
      </c>
    </row>
    <row r="22" spans="1:2" s="1203" customFormat="1">
      <c r="A22" s="1201" t="s">
        <v>538</v>
      </c>
      <c r="B22" s="1202" t="str">
        <f ca="1">'预评函-2'!D6</f>
        <v>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95</v>
      </c>
    </row>
    <row r="31" spans="1:2" s="1203" customFormat="1">
      <c r="A31" s="1201" t="s">
        <v>576</v>
      </c>
      <c r="B31" s="1202">
        <f ca="1">'预评函-2'!D15</f>
        <v>15043</v>
      </c>
    </row>
    <row r="32" spans="1:2" s="1203" customFormat="1">
      <c r="A32" s="1201" t="s">
        <v>543</v>
      </c>
      <c r="B32" s="1202" t="str">
        <f ca="1">'预评函-2'!D14</f>
        <v>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63.46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0" t="s">
        <v>2583</v>
      </c>
      <c r="J2" s="3490"/>
      <c r="K2" s="3490"/>
      <c r="L2" s="3490"/>
      <c r="M2" s="3490"/>
      <c r="N2" s="3490"/>
      <c r="O2" s="3490"/>
      <c r="P2" s="3490"/>
      <c r="Q2" s="3490"/>
      <c r="R2" s="3490"/>
    </row>
    <row r="3" spans="1:18">
      <c r="A3" s="3019" t="s">
        <v>2504</v>
      </c>
      <c r="B3" s="3020">
        <f>项目基本情况!D3</f>
        <v>44942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3.92</v>
      </c>
      <c r="D5" s="3024">
        <f>IF(ISERROR(ROUND(POWER(1+E5,A5-C5)*(POWER(1+E5,C5)-1)/(POWER(1+E5,A5)-1),3)),0,ROUND(POWER(1+E5,A5-C5)*(POWER(1+E5,C5)-1)/(POWER(1+E5,A5)-1),4))</f>
        <v>0.18</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13.93</v>
      </c>
      <c r="D6" s="3024">
        <f>IF(ISERROR(ROUND(POWER(1+E6,A6-C6)*(POWER(1+E6,C6)-1)/(POWER(1+E6,A6)-1),3)),0,ROUND(POWER(1+E6,A6-C6)*(POWER(1+E6,C6)-1)/(POWER(1+E6,A6)-1),4))</f>
        <v>0.4899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33.94</v>
      </c>
      <c r="D7" s="3024">
        <f>IF(ISERROR(ROUND(POWER(1+E7,A7-C7)*(POWER(1+E7,C7)-1)/(POWER(1+E7,A7)-1),3)),0,ROUND(POWER(1+E7,A7-C7)*(POWER(1+E7,C7)-1)/(POWER(1+E7,A7)-1),4))</f>
        <v>0.7863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9" sqref="L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491" t="str">
        <f>IF(B10="北京市","北京市",C10)&amp;F10&amp;IF(结果表!G1="在建","出让国有建设用地使用权及在建建筑物",IF(结果表!G1="土地","出让国有建设用地使用权",))&amp;B9&amp;"预评估"</f>
        <v>房地产市场价值预评估</v>
      </c>
      <c r="C1" s="3492"/>
      <c r="D1" s="3492"/>
      <c r="E1" s="3492"/>
      <c r="F1" s="3492"/>
      <c r="G1" s="3492"/>
      <c r="H1" s="3492"/>
      <c r="I1" s="349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房地产市场价值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2"/>
      <c r="C3" s="2373" t="s">
        <v>2171</v>
      </c>
      <c r="D3" s="2372">
        <v>44942</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3381</v>
      </c>
      <c r="C8" s="2389"/>
      <c r="D8" s="3494" t="s">
        <v>2177</v>
      </c>
      <c r="E8" s="2390"/>
      <c r="F8" s="2391"/>
      <c r="G8" s="2662"/>
      <c r="H8" s="2662"/>
      <c r="I8" s="2662"/>
      <c r="J8" s="2438"/>
      <c r="K8" s="2613"/>
      <c r="L8" s="2612"/>
      <c r="M8" s="2612"/>
      <c r="N8" s="2438"/>
      <c r="O8" s="2449"/>
      <c r="P8" s="2438"/>
      <c r="Q8" s="2438"/>
      <c r="R8" s="2438"/>
    </row>
    <row r="9" spans="1:30" ht="13.5" thickBot="1">
      <c r="A9" s="2392" t="s">
        <v>2178</v>
      </c>
      <c r="B9" s="2393" t="s">
        <v>3382</v>
      </c>
      <c r="C9" s="2394"/>
      <c r="D9" s="3495"/>
      <c r="E9" s="2393"/>
      <c r="F9" s="2395"/>
      <c r="G9" s="2664"/>
      <c r="H9" s="2664"/>
      <c r="I9" s="2664"/>
      <c r="J9" s="2438"/>
      <c r="K9" s="2615"/>
      <c r="L9" s="2612"/>
      <c r="M9" s="2612"/>
      <c r="N9" s="2438"/>
      <c r="O9" s="2449"/>
      <c r="P9" s="2438"/>
      <c r="Q9" s="2438"/>
      <c r="R9" s="2438"/>
    </row>
    <row r="10" spans="1:30" ht="13.5" thickTop="1">
      <c r="A10" s="2396" t="s">
        <v>2179</v>
      </c>
      <c r="B10" s="2397" t="s">
        <v>3379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3380</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3339</v>
      </c>
      <c r="B13" s="2406" t="s">
        <v>2190</v>
      </c>
      <c r="C13" s="856">
        <v>55894</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30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63.46</v>
      </c>
      <c r="D17" s="2321"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63.46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63.46</v>
      </c>
      <c r="H5" s="13">
        <f t="shared" ref="H5:AT5" si="0">SUM(H13:H656)</f>
        <v>63.46</v>
      </c>
      <c r="I5" s="13">
        <f t="shared" si="0"/>
        <v>63.46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63.46</v>
      </c>
      <c r="BA5" s="15">
        <f t="shared" si="1"/>
        <v>63.46</v>
      </c>
      <c r="BB5" s="15">
        <f t="shared" si="1"/>
        <v>63.46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3390</v>
      </c>
      <c r="E13" s="13">
        <f>IF($C$3="是",ROUND($A$3*G13/$B$3,2),ROUND($A$3*(G13-AT13)/$B$3,2))</f>
        <v>0</v>
      </c>
      <c r="F13" s="29"/>
      <c r="G13" s="30">
        <f>H13+AC13+AT13</f>
        <v>63.46</v>
      </c>
      <c r="H13" s="17">
        <f>SUMIF(I$12:AB$12,"总值",I13:AB13)</f>
        <v>63.46</v>
      </c>
      <c r="I13" s="1626">
        <v>63.46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63.46</v>
      </c>
      <c r="BA13" s="13">
        <f>SUM(BB13:BK13)</f>
        <v>63.46</v>
      </c>
      <c r="BB13" s="13">
        <f>IF($D13="是",I13-J13,0)</f>
        <v>63.46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8"/>
      <c r="G2" s="2649"/>
      <c r="H2" s="2650"/>
      <c r="I2" s="2324" t="s">
        <v>1132</v>
      </c>
      <c r="J2" s="2658"/>
      <c r="K2" s="2658"/>
      <c r="L2" s="2658"/>
      <c r="M2" s="2658"/>
      <c r="N2" s="2660"/>
      <c r="O2" s="2658"/>
      <c r="P2" s="2658"/>
    </row>
    <row r="3" spans="1:16" ht="15.75" thickBot="1">
      <c r="A3" s="3531" t="s">
        <v>1105</v>
      </c>
      <c r="B3" s="3531"/>
      <c r="C3" s="3531"/>
      <c r="D3" s="43">
        <f>'数据-基础表'!AY6</f>
        <v>0</v>
      </c>
      <c r="E3" s="43">
        <f>'数据-基础表'!AZ5</f>
        <v>63.46</v>
      </c>
      <c r="F3" s="2658"/>
      <c r="G3" s="1145"/>
      <c r="H3" s="1026" t="s">
        <v>1106</v>
      </c>
      <c r="I3" s="855" t="e">
        <f>ROUND('数据-基础表'!B3/'数据-基础表'!A3,2)</f>
        <v>#DIV/0!</v>
      </c>
      <c r="J3" s="2658"/>
      <c r="K3" s="2658"/>
      <c r="L3" s="2658"/>
      <c r="M3" s="2658"/>
      <c r="N3" s="2660"/>
      <c r="O3" s="2658"/>
      <c r="P3" s="2658"/>
    </row>
    <row r="4" spans="1:16" ht="15">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5" t="s">
        <v>1110</v>
      </c>
      <c r="C5" s="3535"/>
      <c r="D5" s="45">
        <f>ROUND($D$3*E5/$E$3,2)</f>
        <v>0</v>
      </c>
      <c r="E5" s="46">
        <f>SUMIF('数据-基础表'!$11:$11,"住宅",'数据-基础表'!$5:$5)</f>
        <v>63.46</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27"/>
      <c r="B7" s="3528"/>
      <c r="C7" s="3529"/>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63.46</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63.46</v>
      </c>
      <c r="F16" s="2658"/>
      <c r="G16" s="2659"/>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3394</v>
      </c>
      <c r="D19" s="45">
        <f>ROUND($D$3*E19/$E$3,2)</f>
        <v>0</v>
      </c>
      <c r="E19" s="53">
        <f t="shared" ref="E19:E26" si="1">SUM(F19:G19)</f>
        <v>63.46</v>
      </c>
      <c r="F19" s="2794">
        <f>'数据-基础表'!I13</f>
        <v>63.46</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63.46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63.46</v>
      </c>
      <c r="F27" s="1140">
        <f>IF(SUM(F19:F26)=E8,SUM(F19:F26),"地上面积有误")</f>
        <v>63.46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63.46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63.46</v>
      </c>
      <c r="F31" s="677">
        <f>F27+F30</f>
        <v>63.46</v>
      </c>
      <c r="G31" s="678">
        <f>G27+G30</f>
        <v>0</v>
      </c>
      <c r="H31" s="2658"/>
      <c r="I31" s="2658"/>
      <c r="J31" s="2658"/>
      <c r="K31" s="2658"/>
      <c r="L31" s="2658"/>
      <c r="M31" s="2658"/>
      <c r="N31" s="2658"/>
      <c r="O31" s="2658"/>
      <c r="P31" s="2658"/>
    </row>
    <row r="32" spans="1:19">
      <c r="A32" s="1643"/>
      <c r="B32" s="1643" t="s">
        <v>1159</v>
      </c>
      <c r="C32" s="1643"/>
      <c r="D32" s="1643"/>
      <c r="E32" s="1053">
        <f>SUMIF(C19:C26,"*住宅*",E19:E26)</f>
        <v>63.46</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55" sqref="M5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3392</v>
      </c>
      <c r="D6" s="858">
        <f>SUMIF(项目基本情况!C$12:I$12,C6,项目基本情况!C$14:I$14)</f>
        <v>70</v>
      </c>
      <c r="E6" s="857">
        <f>IF(B6="","",SUMIF(项目基本情况!C$12:I$12,C6,项目基本情况!C$13:I$13))</f>
        <v>55894</v>
      </c>
      <c r="F6" s="64">
        <f>SUMIF(项目基本情况!C$12:I$12,C6,项目基本情况!C$15:I$15)</f>
        <v>30</v>
      </c>
      <c r="G6" s="65">
        <f>IF(ISERROR(ROUND(POWER(1+H6,D6-F6)*(POWER(1+H6,F6)-1)/(POWER(1+H6,D6)-1),3)),0,ROUND(POWER(1+H6,D6-F6)*(POWER(1+H6,F6)-1)/(POWER(1+H6,D6)-1),3))</f>
        <v>0.79500000000000004</v>
      </c>
      <c r="H6" s="732">
        <v>0.05</v>
      </c>
      <c r="I6" s="732">
        <v>5.5E-2</v>
      </c>
      <c r="J6" s="66">
        <v>7.0000000000000007E-2</v>
      </c>
      <c r="K6" s="1030">
        <f>SUMIF('数据-汇总表'!C$19:C$33,A6,'数据-汇总表'!E$19:E$33)</f>
        <v>63.46</v>
      </c>
      <c r="L6" s="733">
        <v>2500</v>
      </c>
      <c r="M6" s="67">
        <f t="shared" ref="M6:M14" si="0">ROUND(K6*L6/10000,0)</f>
        <v>16</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158650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0.79500000000000004</v>
      </c>
      <c r="H16" s="90">
        <f>ROUND(SUMPRODUCT(H6:H13,K6:K13)/SUMPRODUCT((H6:H13&gt;0)*(K6:K13)),3)</f>
        <v>0.05</v>
      </c>
      <c r="I16" s="91"/>
      <c r="J16" s="91"/>
      <c r="K16" s="92">
        <f>SUM(K6:K15)</f>
        <v>63.46</v>
      </c>
      <c r="L16" s="93">
        <f>ROUND(M16*10000/SUM(K6:K14),0)</f>
        <v>2521</v>
      </c>
      <c r="M16" s="93">
        <f>SUM(M6:M14)</f>
        <v>16</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44942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15043</v>
      </c>
      <c r="D5" s="2511" t="e">
        <f>ROUND(B5*10000/$B$2,0)</f>
        <v>#DIV/0!</v>
      </c>
      <c r="E5" s="2685"/>
      <c r="F5" s="2686"/>
      <c r="G5" s="2686"/>
      <c r="H5" s="2687"/>
      <c r="I5" s="2687"/>
      <c r="J5" s="2687"/>
      <c r="K5" s="2687"/>
    </row>
    <row r="6" spans="1:11" ht="16.5">
      <c r="A6" s="2511" t="s">
        <v>656</v>
      </c>
      <c r="B6" s="2511">
        <f>SUM(G14:G23)</f>
        <v>0</v>
      </c>
      <c r="C6" s="2511">
        <f ca="1">IF(B6=G14,结果表!H108,ROUND(B6*10000/$B$1,0))</f>
        <v>15043</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38" sqref="G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3408</v>
      </c>
      <c r="D4" s="1756" t="s">
        <v>3408</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1</v>
      </c>
      <c r="D14" s="3599">
        <v>0</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1</v>
      </c>
      <c r="D17" s="132">
        <f>SUM(D5:D16)</f>
        <v>0</v>
      </c>
      <c r="E17" s="129"/>
      <c r="F17" s="129"/>
      <c r="G17" s="129"/>
      <c r="H17" s="129"/>
      <c r="I17" s="129"/>
      <c r="K17" s="302"/>
      <c r="L17" s="302" t="s">
        <v>1286</v>
      </c>
      <c r="M17" s="302" t="s">
        <v>1287</v>
      </c>
    </row>
    <row r="18" spans="1:36" ht="31.9" customHeight="1" thickBot="1">
      <c r="A18" s="1759" t="s">
        <v>1288</v>
      </c>
      <c r="B18" s="1760"/>
      <c r="C18" s="133">
        <f>ROUND(C17/SUM(C17:D17),2)</f>
        <v>1</v>
      </c>
      <c r="D18" s="133">
        <f>1-C18</f>
        <v>0</v>
      </c>
      <c r="E18" s="3630" t="s">
        <v>2131</v>
      </c>
      <c r="F18" s="3631"/>
      <c r="G18" s="3631"/>
      <c r="H18" s="3631"/>
      <c r="I18" s="3631"/>
      <c r="K18" s="302" t="s">
        <v>1289</v>
      </c>
      <c r="L18" s="302">
        <f>IF(C1="",'数据-汇总表'!E3,SUMIF(项目类型,C1,'数据-汇总表'!E17:E26)+SUMIF(项目类型,C1,'数据-汇总表'!I17:I26))</f>
        <v>63.46</v>
      </c>
      <c r="M18" s="302">
        <f>IF(C1="",'数据-汇总表'!E3,SUMIF(项目类型,C1,'数据-汇总表'!E17:E26))</f>
        <v>63.46</v>
      </c>
    </row>
    <row r="19" spans="1:36" ht="15">
      <c r="A19" s="1761" t="s">
        <v>1290</v>
      </c>
      <c r="B19" s="1762" t="s">
        <v>1291</v>
      </c>
      <c r="C19" s="134">
        <f ca="1">SUMIF(INDIRECT("'"&amp;C4&amp;"'"&amp;"!A:A"),结果表!B19,INDIRECT("'"&amp;C4&amp;"'"&amp;"!B:B"))</f>
        <v>95.462900000000005</v>
      </c>
      <c r="D19" s="135">
        <f ca="1">SUMIF(INDIRECT("'"&amp;D4&amp;"'"&amp;"!A:A"),结果表!B19,INDIRECT("'"&amp;D4&amp;"'"&amp;"!B:B"))</f>
        <v>95.462900000000005</v>
      </c>
      <c r="E19" s="1761" t="s">
        <v>1292</v>
      </c>
      <c r="F19" s="1762" t="s">
        <v>1291</v>
      </c>
      <c r="G19" s="136">
        <f ca="1">ROUND(C19*$C$18+D19*$D$18,0)</f>
        <v>95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15043</v>
      </c>
      <c r="D20" s="138">
        <f ca="1">SUMIF(INDIRECT("'"&amp;D4&amp;"'"&amp;"!A:A"),结果表!B20,INDIRECT("'"&amp;D4&amp;"'"&amp;"!B:B"))</f>
        <v>15043</v>
      </c>
      <c r="E20" s="1764"/>
      <c r="F20" s="1026" t="s">
        <v>1295</v>
      </c>
      <c r="G20" s="139">
        <f ca="1">ROUND(C20*$C$18+D20*$D$18,0)</f>
        <v>15043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15043</v>
      </c>
      <c r="D32" s="1775" t="s">
        <v>3409</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95</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44942</v>
      </c>
      <c r="N47" s="3543"/>
      <c r="O47" s="3543"/>
    </row>
    <row r="48" spans="1:15" ht="25.5">
      <c r="A48" s="3603" t="s">
        <v>1338</v>
      </c>
      <c r="B48" s="3604"/>
      <c r="C48" s="360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41" t="s">
        <v>1340</v>
      </c>
      <c r="L48" s="3541"/>
      <c r="M48" s="3544">
        <f ca="1">H101</f>
        <v>95</v>
      </c>
      <c r="N48" s="3544"/>
      <c r="O48" s="3544"/>
    </row>
    <row r="49" spans="1:35" ht="25.5" customHeight="1">
      <c r="A49" s="2332" t="s">
        <v>1341</v>
      </c>
      <c r="B49" s="3589" t="s">
        <v>1342</v>
      </c>
      <c r="C49" s="3589"/>
      <c r="D49" s="1590">
        <v>0</v>
      </c>
      <c r="E49" s="324" t="s">
        <v>1343</v>
      </c>
      <c r="F49" s="2423" t="s">
        <v>28</v>
      </c>
      <c r="G49" s="3572"/>
      <c r="H49" s="2309" t="s">
        <v>2134</v>
      </c>
      <c r="I49" s="2310"/>
      <c r="J49" s="2522">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0"/>
      <c r="B50" s="3589" t="s">
        <v>1344</v>
      </c>
      <c r="C50" s="3589"/>
      <c r="D50" s="2551"/>
      <c r="E50" s="332"/>
      <c r="F50" s="2423"/>
      <c r="G50" s="3573"/>
      <c r="H50" s="2311" t="s">
        <v>2135</v>
      </c>
      <c r="I50" s="2310"/>
      <c r="J50" s="3540" t="s">
        <v>1345</v>
      </c>
      <c r="K50" s="3540"/>
      <c r="L50" s="3540"/>
      <c r="M50" s="3540"/>
      <c r="N50" s="3540"/>
      <c r="O50" s="3540"/>
    </row>
    <row r="51" spans="1:35" ht="20.45" customHeight="1">
      <c r="A51" s="2552"/>
      <c r="B51" s="3589" t="s">
        <v>1346</v>
      </c>
      <c r="C51" s="3589"/>
      <c r="D51" s="1087"/>
      <c r="E51" s="327"/>
      <c r="F51" s="2423"/>
      <c r="G51" s="3574"/>
      <c r="H51" s="2311" t="s">
        <v>2136</v>
      </c>
      <c r="I51" s="2310"/>
      <c r="J51" s="2523" t="s">
        <v>1347</v>
      </c>
      <c r="K51" s="3541" t="s">
        <v>1348</v>
      </c>
      <c r="L51" s="3541"/>
      <c r="M51" s="2523" t="s">
        <v>1349</v>
      </c>
      <c r="N51" s="2523" t="s">
        <v>1350</v>
      </c>
      <c r="O51" s="2523" t="s">
        <v>1351</v>
      </c>
    </row>
    <row r="52" spans="1:35" ht="24" customHeight="1">
      <c r="A52" s="2334" t="s">
        <v>1352</v>
      </c>
      <c r="B52" s="3589" t="s">
        <v>1353</v>
      </c>
      <c r="C52" s="3589"/>
      <c r="D52" s="1087">
        <f ca="1">ROUND(D45*'数据-取费表'!B41/(1+'数据-取费表'!C42),0)</f>
        <v>5</v>
      </c>
      <c r="E52" s="2333" t="s">
        <v>1354</v>
      </c>
      <c r="F52" s="2553">
        <f>'数据-取费表'!B41</f>
        <v>5.6000000000000001E-2</v>
      </c>
      <c r="G52" s="2554"/>
      <c r="H52" s="2543"/>
      <c r="I52" s="1807"/>
      <c r="J52" s="2522">
        <v>1</v>
      </c>
      <c r="K52" s="3566" t="s">
        <v>1355</v>
      </c>
      <c r="L52" s="3566"/>
      <c r="M52" s="2524" t="b">
        <f>D48</f>
        <v>0</v>
      </c>
      <c r="N52" s="2522" t="str">
        <f>E48</f>
        <v>销售额×税（费）率</v>
      </c>
      <c r="O52" s="2525">
        <f>F48</f>
        <v>5.6000000000000001E-2</v>
      </c>
    </row>
    <row r="53" spans="1:35" ht="12" customHeight="1">
      <c r="A53" s="2334" t="s">
        <v>1356</v>
      </c>
      <c r="B53" s="3590" t="s">
        <v>2291</v>
      </c>
      <c r="C53" s="3591"/>
      <c r="D53" s="1087">
        <f ca="1">ROUND(D45*'数据-取费表'!B41/(1+'数据-取费表'!C42),0)</f>
        <v>5</v>
      </c>
      <c r="E53" s="2333" t="s">
        <v>1354</v>
      </c>
      <c r="F53" s="2553">
        <f>'数据-取费表'!B41</f>
        <v>5.6000000000000001E-2</v>
      </c>
      <c r="G53" s="2554"/>
      <c r="H53" s="2543"/>
      <c r="I53" s="1807"/>
      <c r="J53" s="2522">
        <v>2</v>
      </c>
      <c r="K53" s="3566" t="s">
        <v>1357</v>
      </c>
      <c r="L53" s="3566"/>
      <c r="M53" s="2524">
        <f t="shared" ref="M53:O54" ca="1" si="0">D55</f>
        <v>0</v>
      </c>
      <c r="N53" s="2522" t="str">
        <f t="shared" si="0"/>
        <v>销售额×税（费）率</v>
      </c>
      <c r="O53" s="2525" t="str">
        <f t="shared" si="0"/>
        <v>免征</v>
      </c>
    </row>
    <row r="54" spans="1:35" ht="12" customHeight="1">
      <c r="A54" s="2334" t="s">
        <v>1358</v>
      </c>
      <c r="B54" s="3590" t="s">
        <v>2292</v>
      </c>
      <c r="C54" s="3591"/>
      <c r="D54" s="1087">
        <f ca="1">C68</f>
        <v>5</v>
      </c>
      <c r="E54" s="327" t="s">
        <v>1359</v>
      </c>
      <c r="F54" s="2553">
        <f>'数据-取费表'!B41</f>
        <v>5.6000000000000001E-2</v>
      </c>
      <c r="G54" s="2554"/>
      <c r="H54" s="2555"/>
      <c r="I54" s="1807"/>
      <c r="J54" s="2522">
        <v>3</v>
      </c>
      <c r="K54" s="3566" t="s">
        <v>1360</v>
      </c>
      <c r="L54" s="3566"/>
      <c r="M54" s="2524">
        <f t="shared" ca="1" si="0"/>
        <v>53</v>
      </c>
      <c r="N54" s="2522" t="str">
        <f t="shared" si="0"/>
        <v>增值额×税（费）率</v>
      </c>
      <c r="O54" s="2526" t="str">
        <f t="shared" si="0"/>
        <v>免征</v>
      </c>
    </row>
    <row r="55" spans="1:35" ht="24" customHeight="1">
      <c r="A55" s="3626" t="s">
        <v>1361</v>
      </c>
      <c r="B55" s="3604"/>
      <c r="C55" s="3604"/>
      <c r="D55" s="2323">
        <f ca="1">IF(H55="个人住宅",0,ROUND(D45*I55,0))</f>
        <v>0</v>
      </c>
      <c r="E55" s="2333"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f ca="1">D59</f>
        <v>1</v>
      </c>
      <c r="N55" s="2039" t="str">
        <f>E59</f>
        <v>差额计税</v>
      </c>
      <c r="O55" s="2528">
        <f>F59</f>
        <v>0.01</v>
      </c>
    </row>
    <row r="56" spans="1:35" ht="24.75">
      <c r="A56" s="3626" t="s">
        <v>1363</v>
      </c>
      <c r="B56" s="3604"/>
      <c r="C56" s="3604"/>
      <c r="D56" s="2323">
        <f ca="1">IF(H56="个人住宅",D57,D58)</f>
        <v>53</v>
      </c>
      <c r="E56" s="2333"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2.75">
      <c r="A57" s="2334"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54</v>
      </c>
      <c r="O57" s="2532"/>
      <c r="P57" s="2689" t="e">
        <f ca="1">N57/M49</f>
        <v>#VALUE!</v>
      </c>
    </row>
    <row r="58" spans="1:35" ht="24.75">
      <c r="A58" s="2334" t="s">
        <v>1352</v>
      </c>
      <c r="B58" s="3590" t="s">
        <v>1369</v>
      </c>
      <c r="C58" s="3589"/>
      <c r="D58" s="2323">
        <f ca="1">IF(H58="转让取得",C81,C97)</f>
        <v>53</v>
      </c>
      <c r="E58" s="2333" t="s">
        <v>1364</v>
      </c>
      <c r="F58" s="302" t="s">
        <v>28</v>
      </c>
      <c r="G58" s="2554"/>
      <c r="H58" s="2557"/>
      <c r="I58" s="1808"/>
      <c r="J58" s="3566"/>
      <c r="K58" s="3566"/>
      <c r="L58" s="2529" t="s">
        <v>1370</v>
      </c>
      <c r="M58" s="2533"/>
      <c r="N58" s="2534" t="str">
        <f ca="1">NUMBERSTRING(INT(N57*10000),2)&amp;"元整"</f>
        <v>伍拾肆万元整</v>
      </c>
      <c r="O58" s="2535"/>
    </row>
    <row r="59" spans="1:35" ht="24.75" thickBot="1">
      <c r="A59" s="3570" t="s">
        <v>1371</v>
      </c>
      <c r="B59" s="3571"/>
      <c r="C59" s="3571"/>
      <c r="D59" s="2559">
        <f ca="1">IF(H59="非个人房产","——",IF(H59="个人住宅（满五唯一有凭证）",0,IF(H59="个人其他（无凭证）",ROUND(D45*F59,0),ROUND(C67*F59,0))))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68">
        <f>J57+1</f>
        <v>6</v>
      </c>
      <c r="K59" s="3566" t="s">
        <v>1372</v>
      </c>
      <c r="L59" s="2522" t="s">
        <v>1368</v>
      </c>
      <c r="M59" s="2536"/>
      <c r="N59" s="2537" t="e">
        <f ca="1">M49-N57</f>
        <v>#VALUE!</v>
      </c>
      <c r="O59" s="2538"/>
    </row>
    <row r="60" spans="1:35" ht="12" customHeight="1">
      <c r="A60" s="1809"/>
      <c r="B60" s="1747"/>
      <c r="C60" s="1747"/>
      <c r="D60" s="1747"/>
      <c r="E60" s="1578"/>
      <c r="F60" s="1808"/>
      <c r="G60" s="1808"/>
      <c r="H60" s="1810"/>
      <c r="I60" s="129"/>
      <c r="J60" s="3569"/>
      <c r="K60" s="3566"/>
      <c r="L60" s="2529" t="s">
        <v>1370</v>
      </c>
      <c r="M60" s="2533"/>
      <c r="N60" s="2534" t="e">
        <f ca="1">NUMBERSTRING(INT(N59*10000),2)&amp;"元整"</f>
        <v>#VALUE!</v>
      </c>
      <c r="O60" s="2535"/>
    </row>
    <row r="61" spans="1:35" ht="13.5" thickBot="1">
      <c r="A61" s="3625" t="s">
        <v>1373</v>
      </c>
      <c r="B61" s="3625"/>
      <c r="C61" s="3625"/>
      <c r="D61" s="3625"/>
      <c r="E61" s="3625"/>
      <c r="F61" s="1808"/>
      <c r="G61" s="1808"/>
      <c r="H61" s="1810"/>
      <c r="I61" s="129"/>
      <c r="J61" s="2522">
        <f>J59+1</f>
        <v>7</v>
      </c>
      <c r="K61" s="3566" t="s">
        <v>1374</v>
      </c>
      <c r="L61" s="3566"/>
      <c r="M61" s="2539"/>
      <c r="N61" s="2540" t="e">
        <f ca="1">ROUND(N59*10000/'数据-汇总表'!E3,0)</f>
        <v>#VALUE!</v>
      </c>
      <c r="O61" s="2541"/>
    </row>
    <row r="62" spans="1:35" ht="12.75">
      <c r="A62" s="3585" t="s">
        <v>1375</v>
      </c>
      <c r="B62" s="3586"/>
      <c r="C62" s="2020"/>
      <c r="D62" s="2020" t="s">
        <v>1376</v>
      </c>
      <c r="E62" s="166" t="s">
        <v>1377</v>
      </c>
      <c r="F62" s="1808"/>
      <c r="G62" s="1808"/>
      <c r="H62" s="1810"/>
      <c r="I62" s="129"/>
    </row>
    <row r="63" spans="1:35" ht="12.75">
      <c r="A63" s="173" t="s">
        <v>330</v>
      </c>
      <c r="B63" s="167" t="s">
        <v>1378</v>
      </c>
      <c r="C63" s="2563">
        <f ca="1">ROUND((C64+C65)/(1+'数据-取费表'!C42),0)</f>
        <v>90</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95</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t="e">
        <f>M49*0.5%</f>
        <v>#VALUE!</v>
      </c>
      <c r="M66" s="302" t="e">
        <f>IF(L66&gt;0.5,0.5,ROUND(L66,0))</f>
        <v>#VALUE!</v>
      </c>
      <c r="N66" s="2543" t="s">
        <v>1388</v>
      </c>
      <c r="Z66" s="1752"/>
      <c r="AI66" s="1753"/>
    </row>
    <row r="67" spans="1:35" ht="14.25" customHeight="1">
      <c r="A67" s="173" t="s">
        <v>328</v>
      </c>
      <c r="B67" s="174" t="s">
        <v>1389</v>
      </c>
      <c r="C67" s="2567">
        <f ca="1">C63-C66</f>
        <v>90</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5</v>
      </c>
      <c r="D68" s="2569">
        <f>'数据-取费表'!B41</f>
        <v>5.6000000000000001E-2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90</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89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89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90</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89</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89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t="str">
        <f>C4</f>
        <v>比较法-住宅</v>
      </c>
      <c r="D101" s="2585" t="str">
        <f>D4</f>
        <v>比较法-住宅</v>
      </c>
      <c r="E101" s="3545" t="s">
        <v>1431</v>
      </c>
      <c r="F101" s="3546"/>
      <c r="G101" s="1827" t="s">
        <v>1432</v>
      </c>
      <c r="H101" s="2594">
        <f ca="1">H118</f>
        <v>95</v>
      </c>
      <c r="I101" s="129"/>
    </row>
    <row r="102" spans="1:35" ht="18.75" customHeight="1">
      <c r="A102" s="3577" t="s">
        <v>1433</v>
      </c>
      <c r="B102" s="2583" t="s">
        <v>1432</v>
      </c>
      <c r="C102" s="2584">
        <f ca="1">IF(D32="楼面单价",ROUND(C19,0),C19)</f>
        <v>95</v>
      </c>
      <c r="D102" s="2585">
        <f ca="1">IF(D32="楼面单价",ROUND(D19,0),D19)</f>
        <v>95</v>
      </c>
      <c r="E102" s="3545"/>
      <c r="F102" s="3546"/>
      <c r="G102" s="1827" t="s">
        <v>1434</v>
      </c>
      <c r="H102" s="2554">
        <f ca="1">I118</f>
        <v>15043</v>
      </c>
      <c r="I102" s="129"/>
    </row>
    <row r="103" spans="1:35" ht="42.75" customHeight="1">
      <c r="A103" s="3577"/>
      <c r="B103" s="2583" t="s">
        <v>1434</v>
      </c>
      <c r="C103" s="2586">
        <f ca="1">C20</f>
        <v>15043</v>
      </c>
      <c r="D103" s="2587">
        <f ca="1">D20</f>
        <v>15043</v>
      </c>
      <c r="E103" s="3538" t="s">
        <v>1435</v>
      </c>
      <c r="F103" s="3539"/>
      <c r="G103" s="1828" t="s">
        <v>1436</v>
      </c>
      <c r="H103" s="2594">
        <f>IF(D36="正常操作",H104+H105+H106,H105+H106)</f>
        <v>0</v>
      </c>
      <c r="I103" s="129"/>
    </row>
    <row r="104" spans="1:35" ht="18.75" customHeight="1">
      <c r="A104" s="3577" t="s">
        <v>1437</v>
      </c>
      <c r="B104" s="2588" t="s">
        <v>1432</v>
      </c>
      <c r="C104" s="2589">
        <f ca="1">H118</f>
        <v>95</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f ca="1">I118</f>
        <v>15043</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f ca="1">IF(E107="——","——",H101-H103)</f>
        <v>95</v>
      </c>
      <c r="I107" s="129"/>
    </row>
    <row r="108" spans="1:35" ht="18.75" customHeight="1">
      <c r="A108" s="129"/>
      <c r="B108" s="129"/>
      <c r="C108" s="129"/>
      <c r="D108" s="129"/>
      <c r="E108" s="3578"/>
      <c r="F108" s="3546"/>
      <c r="G108" s="1827" t="s">
        <v>1434</v>
      </c>
      <c r="H108" s="2554">
        <f ca="1">IF(H107=H101,H102,ROUND(H107*10000/'数据-汇总表'!E3,0))</f>
        <v>15043</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8" t="s">
        <v>1449</v>
      </c>
      <c r="E117" s="2328" t="s">
        <v>1450</v>
      </c>
      <c r="F117" s="2328" t="s">
        <v>1449</v>
      </c>
      <c r="G117" s="2328" t="s">
        <v>1451</v>
      </c>
      <c r="H117" s="2328" t="s">
        <v>1449</v>
      </c>
      <c r="I117" s="2328" t="s">
        <v>1451</v>
      </c>
    </row>
    <row r="118" spans="1:27" ht="24.75" customHeight="1">
      <c r="A118" s="2599" t="str">
        <f>项目基本情况!S2</f>
        <v>房地产</v>
      </c>
      <c r="B118" s="2328">
        <f>M18</f>
        <v>63.46</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95</v>
      </c>
      <c r="I118" s="2328">
        <f ca="1">ROUND(IF(D32="楼面单价",C32,H118*10000/B118),0)</f>
        <v>15043</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玖拾伍万元整</v>
      </c>
      <c r="I119" s="3560"/>
    </row>
    <row r="120" spans="1:27" ht="18.75" customHeight="1">
      <c r="A120" s="3554" t="str">
        <f>IF(项目基本情况!B9="房地产市场价值","",MID(E103,3,LEN(E103)-2))</f>
        <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
      </c>
      <c r="B122" s="3565"/>
      <c r="C122" s="3565"/>
      <c r="D122" s="3554">
        <f ca="1">H107</f>
        <v>95</v>
      </c>
      <c r="E122" s="3555"/>
      <c r="F122" s="3555"/>
      <c r="G122" s="3555"/>
      <c r="H122" s="3555"/>
      <c r="I122" s="3556"/>
      <c r="AA122" s="725"/>
    </row>
    <row r="123" spans="1:27" ht="18.75" customHeight="1">
      <c r="A123" s="3553" t="s">
        <v>1452</v>
      </c>
      <c r="B123" s="3553"/>
      <c r="C123" s="3553"/>
      <c r="D123" s="3559" t="str">
        <f ca="1">NUMBERSTRING(INT(D122*10000),2)&amp;"元整"</f>
        <v>玖拾伍万元整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63.46</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63.46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63.46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17</v>
      </c>
      <c r="D51" s="232"/>
      <c r="E51" s="232"/>
      <c r="F51" s="264"/>
      <c r="G51" s="234" t="s">
        <v>1560</v>
      </c>
    </row>
    <row r="52" spans="1:7" s="208" customFormat="1" ht="16.5" thickBot="1">
      <c r="A52" s="265" t="s">
        <v>1561</v>
      </c>
      <c r="B52" s="266"/>
      <c r="C52" s="267">
        <f ca="1">C31+C51</f>
        <v>18</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房地产市场价值预评估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18.9145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63.46</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12692</v>
      </c>
      <c r="D19" s="849">
        <f ca="1">D9+D10</f>
        <v>63.46</v>
      </c>
      <c r="E19" s="211">
        <f>'数据-取费表'!B31</f>
        <v>200</v>
      </c>
      <c r="F19" s="231"/>
      <c r="G19" s="1856"/>
    </row>
    <row r="20" spans="1:7" s="214" customFormat="1" ht="13.5" customHeight="1">
      <c r="A20" s="255" t="s">
        <v>1574</v>
      </c>
      <c r="B20" s="210" t="s">
        <v>1575</v>
      </c>
      <c r="C20" s="232">
        <f ca="1">ROUND((C5+C19)*F20,0)</f>
        <v>254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1086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1075</v>
      </c>
      <c r="D24" s="238"/>
      <c r="E24" s="238"/>
      <c r="F24" s="239"/>
      <c r="G24" s="240" t="s">
        <v>1586</v>
      </c>
    </row>
    <row r="25" spans="1:7" s="214" customFormat="1" ht="24">
      <c r="A25" s="780" t="s">
        <v>1476</v>
      </c>
      <c r="B25" s="215" t="s">
        <v>1587</v>
      </c>
      <c r="C25" s="1128">
        <f ca="1">ROUND(IF('数据-取费表'!B22&lt;=1,C20*F22*'数据-取费表'!B22/2,C20*(POWER((1+F22),'数据-取费表'!B22/2)-1)),0)</f>
        <v>11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1942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1942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17308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186415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158650</v>
      </c>
      <c r="D34" s="217"/>
      <c r="E34" s="220"/>
      <c r="F34" s="257"/>
      <c r="G34" s="219"/>
    </row>
    <row r="35" spans="1:7" ht="13.5" customHeight="1">
      <c r="A35" s="780" t="s">
        <v>351</v>
      </c>
      <c r="B35" s="215" t="s">
        <v>1527</v>
      </c>
      <c r="C35" s="220">
        <f ca="1">ROUND(C34*F35,0)</f>
        <v>4760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7933</v>
      </c>
      <c r="D36" s="220"/>
      <c r="E36" s="220"/>
      <c r="F36" s="259">
        <f>'数据-取费表'!B34</f>
        <v>0.05</v>
      </c>
      <c r="G36" s="260" t="s">
        <v>1530</v>
      </c>
    </row>
    <row r="37" spans="1:7" s="258" customFormat="1" ht="13.5" customHeight="1">
      <c r="A37" s="780" t="s">
        <v>353</v>
      </c>
      <c r="B37" s="215" t="s">
        <v>1531</v>
      </c>
      <c r="C37" s="249">
        <f ca="1">ROUND(E37*D37,0)</f>
        <v>12692</v>
      </c>
      <c r="D37" s="217">
        <f ca="1">D19</f>
        <v>63.46</v>
      </c>
      <c r="E37" s="249">
        <f>'数据-取费表'!B35</f>
        <v>200</v>
      </c>
      <c r="F37" s="259"/>
      <c r="G37" s="261"/>
    </row>
    <row r="38" spans="1:7" ht="13.5" customHeight="1">
      <c r="A38" s="780" t="s">
        <v>354</v>
      </c>
      <c r="B38" s="215" t="s">
        <v>1533</v>
      </c>
      <c r="C38" s="220">
        <f ca="1">ROUND(C34*F38,0)</f>
        <v>2380</v>
      </c>
      <c r="D38" s="220"/>
      <c r="E38" s="220"/>
      <c r="F38" s="259">
        <f>'数据-取费表'!B36</f>
        <v>1.4999999999999999E-2</v>
      </c>
      <c r="G38" s="219" t="s">
        <v>1528</v>
      </c>
    </row>
    <row r="39" spans="1:7" s="214" customFormat="1" ht="13.5" customHeight="1">
      <c r="A39" s="255" t="s">
        <v>1534</v>
      </c>
      <c r="B39" s="210" t="s">
        <v>1535</v>
      </c>
      <c r="C39" s="232">
        <f ca="1">ROUND(C33*F20,0)</f>
        <v>3728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7891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7736</v>
      </c>
      <c r="D42" s="238"/>
      <c r="E42" s="238"/>
      <c r="F42" s="239"/>
      <c r="G42" s="3632" t="s">
        <v>1591</v>
      </c>
    </row>
    <row r="43" spans="1:7" ht="13.5" customHeight="1">
      <c r="A43" s="780" t="s">
        <v>347</v>
      </c>
      <c r="B43" s="215" t="s">
        <v>1545</v>
      </c>
      <c r="C43" s="238">
        <f ca="1">ROUND(IF('数据-取费表'!B22&lt;=1,C39*F22*'数据-取费表'!B20/2,C39*(POWER((1+F22),'数据-取费表'!B20/2)-1)),0)</f>
        <v>155</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28521</v>
      </c>
      <c r="D45" s="235">
        <f ca="1">C47</f>
        <v>3.0000000000000001E-3</v>
      </c>
      <c r="E45" s="236" t="s">
        <v>1539</v>
      </c>
      <c r="F45" s="246">
        <f ca="1">F27</f>
        <v>0.15</v>
      </c>
      <c r="G45" s="247" t="s">
        <v>1548</v>
      </c>
    </row>
    <row r="46" spans="1:7" s="214" customFormat="1" ht="13.5" customHeight="1">
      <c r="A46" s="780" t="s">
        <v>346</v>
      </c>
      <c r="B46" s="248" t="s">
        <v>1549</v>
      </c>
      <c r="C46" s="249">
        <f ca="1">ROUND((C33+C39)*F27,0)</f>
        <v>28521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245482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171837</v>
      </c>
      <c r="D51" s="232"/>
      <c r="E51" s="232"/>
      <c r="F51" s="264"/>
      <c r="G51" s="234" t="s">
        <v>1560</v>
      </c>
    </row>
    <row r="52" spans="1:7" s="208" customFormat="1" ht="16.5" thickBot="1">
      <c r="A52" s="265" t="s">
        <v>1561</v>
      </c>
      <c r="B52" s="266"/>
      <c r="C52" s="267">
        <f ca="1">C31+C51</f>
        <v>189145</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63.46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63.46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63.46</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t="e">
        <f ca="1">ROUND((C68-C40)/10000,4)</f>
        <v>#DIV/0!</v>
      </c>
      <c r="D45" s="3431"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3366</v>
      </c>
      <c r="E2" s="3443"/>
      <c r="F2" s="2845"/>
      <c r="G2" s="2846"/>
      <c r="H2" s="2847"/>
      <c r="I2" s="2848"/>
      <c r="J2" s="3640" t="s">
        <v>2320</v>
      </c>
      <c r="K2" s="364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2" t="s">
        <v>2330</v>
      </c>
      <c r="K3" s="364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2" t="s">
        <v>2332</v>
      </c>
      <c r="K4" s="364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4" t="s">
        <v>2336</v>
      </c>
      <c r="B6" s="3645"/>
      <c r="C6" s="3646"/>
      <c r="D6" s="2869"/>
      <c r="E6" s="2870"/>
      <c r="F6" s="2871"/>
      <c r="G6" s="2872"/>
      <c r="H6" s="2847"/>
      <c r="I6" s="2848"/>
      <c r="J6" s="3647">
        <v>1</v>
      </c>
      <c r="K6" s="364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7"/>
      <c r="K7" s="364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1" t="s">
        <v>2350</v>
      </c>
      <c r="C8" s="3652"/>
      <c r="D8" s="2888" t="s">
        <v>2351</v>
      </c>
      <c r="E8" s="2889" t="s">
        <v>2352</v>
      </c>
      <c r="F8" s="2890" t="s">
        <v>2353</v>
      </c>
      <c r="G8" s="2891"/>
      <c r="H8" s="2847"/>
      <c r="I8" s="2848"/>
      <c r="J8" s="3647"/>
      <c r="K8" s="364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1" t="s">
        <v>2356</v>
      </c>
      <c r="C9" s="3652"/>
      <c r="D9" s="2888">
        <f>ROUND(D6*E9,0)</f>
        <v>0</v>
      </c>
      <c r="E9" s="2892"/>
      <c r="F9" s="2893" t="s">
        <v>2357</v>
      </c>
      <c r="G9" s="2872"/>
      <c r="H9" s="2847"/>
      <c r="I9" s="2848"/>
      <c r="J9" s="3647"/>
      <c r="K9" s="3649"/>
      <c r="L9" s="2882" t="s">
        <v>2358</v>
      </c>
      <c r="M9" s="2883"/>
      <c r="N9" s="2859"/>
      <c r="O9" s="2884"/>
      <c r="P9" s="2884"/>
      <c r="Q9" s="2885">
        <v>365</v>
      </c>
      <c r="R9" s="2886">
        <f t="shared" si="0"/>
        <v>0</v>
      </c>
      <c r="S9" s="2840"/>
      <c r="T9" s="2840"/>
      <c r="U9" s="2840"/>
      <c r="V9" s="2848"/>
    </row>
    <row r="10" spans="1:22" s="2852" customFormat="1" ht="13.15" customHeight="1">
      <c r="A10" s="2887">
        <v>2</v>
      </c>
      <c r="B10" s="3651" t="s">
        <v>2359</v>
      </c>
      <c r="C10" s="3652"/>
      <c r="D10" s="2888">
        <f>ROUND(D6*E10,0)</f>
        <v>0</v>
      </c>
      <c r="E10" s="2892"/>
      <c r="F10" s="2893" t="s">
        <v>2360</v>
      </c>
      <c r="G10" s="2872"/>
      <c r="H10" s="2847"/>
      <c r="I10" s="2848"/>
      <c r="J10" s="3647"/>
      <c r="K10" s="3649"/>
      <c r="L10" s="2882" t="s">
        <v>2361</v>
      </c>
      <c r="M10" s="2883"/>
      <c r="N10" s="2859"/>
      <c r="O10" s="2884"/>
      <c r="P10" s="2884"/>
      <c r="Q10" s="2885">
        <v>365</v>
      </c>
      <c r="R10" s="2886">
        <f t="shared" si="0"/>
        <v>0</v>
      </c>
      <c r="S10" s="2840"/>
      <c r="T10" s="2840"/>
      <c r="U10" s="2840"/>
      <c r="V10" s="2848"/>
    </row>
    <row r="11" spans="1:22" s="2852" customFormat="1" ht="13.15" customHeight="1">
      <c r="A11" s="2887">
        <v>3</v>
      </c>
      <c r="B11" s="3651" t="s">
        <v>2362</v>
      </c>
      <c r="C11" s="3652"/>
      <c r="D11" s="2888">
        <f>D12+D14+D15+D16</f>
        <v>0</v>
      </c>
      <c r="E11" s="2894" t="e">
        <f>D11/D6</f>
        <v>#DIV/0!</v>
      </c>
      <c r="F11" s="2890"/>
      <c r="G11" s="2891"/>
      <c r="H11" s="2847"/>
      <c r="I11" s="2848"/>
      <c r="J11" s="3647"/>
      <c r="K11" s="364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3" t="s">
        <v>2365</v>
      </c>
      <c r="C12" s="3654"/>
      <c r="D12" s="2896">
        <f>ROUND(D13*1.2%*(1-30%),0)</f>
        <v>0</v>
      </c>
      <c r="E12" s="2897">
        <v>1.2E-2</v>
      </c>
      <c r="F12" s="2890" t="s">
        <v>2366</v>
      </c>
      <c r="G12" s="2891"/>
      <c r="H12" s="2847"/>
      <c r="I12" s="2848"/>
      <c r="J12" s="3647"/>
      <c r="K12" s="364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7"/>
      <c r="K13" s="364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3" t="s">
        <v>2371</v>
      </c>
      <c r="C14" s="3654"/>
      <c r="D14" s="2896">
        <f>ROUND(E14*B5/10000,0)</f>
        <v>0</v>
      </c>
      <c r="E14" s="2885"/>
      <c r="F14" s="2890" t="s">
        <v>2372</v>
      </c>
      <c r="G14" s="2891"/>
      <c r="H14" s="2847"/>
      <c r="I14" s="2848"/>
      <c r="J14" s="3647"/>
      <c r="K14" s="365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3" t="s">
        <v>2375</v>
      </c>
      <c r="C15" s="3654"/>
      <c r="D15" s="2896">
        <f>ROUND(D6*E15,0)</f>
        <v>0</v>
      </c>
      <c r="E15" s="2897">
        <v>5.5E-2</v>
      </c>
      <c r="F15" s="2890" t="s">
        <v>2376</v>
      </c>
      <c r="G15" s="2872"/>
      <c r="H15" s="2847"/>
      <c r="I15" s="2848"/>
      <c r="J15" s="3647">
        <v>2</v>
      </c>
      <c r="K15" s="364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3" t="s">
        <v>2384</v>
      </c>
      <c r="C16" s="3654"/>
      <c r="D16" s="2907">
        <f>D6*E16</f>
        <v>0</v>
      </c>
      <c r="E16" s="2908"/>
      <c r="F16" s="2893" t="s">
        <v>2385</v>
      </c>
      <c r="G16" s="2872"/>
      <c r="H16" s="2847"/>
      <c r="I16" s="2848"/>
      <c r="J16" s="3647"/>
      <c r="K16" s="364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2387</v>
      </c>
      <c r="C17" s="3656"/>
      <c r="D17" s="2910">
        <f>ROUND(D6*E17,0)</f>
        <v>0</v>
      </c>
      <c r="E17" s="2911"/>
      <c r="F17" s="2912" t="s">
        <v>2388</v>
      </c>
      <c r="G17" s="2872"/>
      <c r="H17" s="2847"/>
      <c r="I17" s="2848"/>
      <c r="J17" s="3647"/>
      <c r="K17" s="364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7"/>
      <c r="K18" s="364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7"/>
      <c r="K19" s="365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7"/>
      <c r="K21" s="364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7"/>
      <c r="K22" s="364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7"/>
      <c r="K23" s="364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7"/>
      <c r="K24" s="365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0" t="s">
        <v>2320</v>
      </c>
      <c r="K32" s="364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2" t="s">
        <v>2330</v>
      </c>
      <c r="K33" s="364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2" t="s">
        <v>2332</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7">
        <v>1</v>
      </c>
      <c r="K36" s="364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7"/>
      <c r="K40" s="365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70" zoomScaleNormal="60" zoomScaleSheetLayoutView="70" workbookViewId="0">
      <selection activeCell="M31" sqref="M3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3392</v>
      </c>
      <c r="E1" s="3425" t="s">
        <v>3397</v>
      </c>
      <c r="F1" s="1879" t="s">
        <v>3398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95.462900000000005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15043</v>
      </c>
      <c r="C3" s="354" t="s">
        <v>1665</v>
      </c>
      <c r="D3" s="353">
        <f>IF(D1="",'数据-汇总表'!E3,SUMIF('数据-汇总表'!$C19:$C33,D1,'数据-汇总表'!$E19:$E33))</f>
        <v>63.46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tr">
        <f>Sheet1!C146</f>
        <v>安太里</v>
      </c>
      <c r="F5" s="3671"/>
      <c r="G5" s="3672" t="str">
        <f>Sheet1!C147</f>
        <v>安太里</v>
      </c>
      <c r="H5" s="3673"/>
      <c r="I5" s="3672" t="str">
        <f>Sheet1!C148</f>
        <v>安太里</v>
      </c>
      <c r="J5" s="3673"/>
      <c r="K5" s="1890"/>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44942</v>
      </c>
      <c r="D7" s="365">
        <v>100</v>
      </c>
      <c r="E7" s="366">
        <f>C7</f>
        <v>44942</v>
      </c>
      <c r="F7" s="367">
        <f>SUMIF(58:58,YEAR(E7)&amp;"-"&amp;MONTH(E7),59:59)</f>
        <v>100</v>
      </c>
      <c r="G7" s="366">
        <f>C7</f>
        <v>44942</v>
      </c>
      <c r="H7" s="365">
        <f>SUMIF(58:58,YEAR(G7)&amp;"-"&amp;MONTH(G7),59:59)</f>
        <v>100</v>
      </c>
      <c r="I7" s="366">
        <f>C7</f>
        <v>44942</v>
      </c>
      <c r="J7" s="365">
        <f>SUMIF(58:58,YEAR(I7)&amp;"-"&amp;MONTH(I7),59:59)</f>
        <v>100</v>
      </c>
      <c r="K7" s="1891"/>
      <c r="L7" s="2716"/>
      <c r="M7" s="2717"/>
      <c r="N7" s="2717"/>
      <c r="O7" s="2717"/>
      <c r="P7" s="3664" t="s">
        <v>1680</v>
      </c>
      <c r="Q7" s="3692"/>
      <c r="R7" s="701" t="s">
        <v>20</v>
      </c>
      <c r="S7" s="702">
        <f t="shared" ref="S7:S15" si="0">F7</f>
        <v>100</v>
      </c>
      <c r="T7" s="701" t="s">
        <v>20</v>
      </c>
      <c r="U7" s="702">
        <f t="shared" ref="U7:U15" si="1">H7</f>
        <v>100</v>
      </c>
      <c r="V7" s="701" t="s">
        <v>20</v>
      </c>
      <c r="W7" s="702">
        <f t="shared" ref="W7:W15" si="2">J7</f>
        <v>100</v>
      </c>
      <c r="X7" s="703"/>
      <c r="Y7" s="3664" t="s">
        <v>1680</v>
      </c>
      <c r="Z7" s="3665"/>
      <c r="AA7" s="704">
        <f>D7/F7</f>
        <v>1</v>
      </c>
      <c r="AB7" s="704">
        <f>D7/H7</f>
        <v>1</v>
      </c>
      <c r="AC7" s="704">
        <f>D7/J7</f>
        <v>1</v>
      </c>
    </row>
    <row r="8" spans="1:29" s="108" customFormat="1" ht="15.75" thickBot="1">
      <c r="A8" s="362" t="s">
        <v>1681</v>
      </c>
      <c r="B8" s="363"/>
      <c r="C8" s="3790" t="s">
        <v>3400</v>
      </c>
      <c r="D8" s="365">
        <v>100</v>
      </c>
      <c r="E8" s="3791" t="s">
        <v>3400</v>
      </c>
      <c r="F8" s="367">
        <f>SUMIF(61:61,E8,62:62)-SUMIF(61:61,C8,62:62)+100</f>
        <v>100</v>
      </c>
      <c r="G8" s="3790" t="s">
        <v>3400</v>
      </c>
      <c r="H8" s="365">
        <f>SUMIF(61:61,G8,62:62)-SUMIF(61:61,C8,62:62)+100</f>
        <v>100</v>
      </c>
      <c r="I8" s="3791" t="s">
        <v>3400</v>
      </c>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ht="15">
      <c r="A9" s="369" t="s">
        <v>1684</v>
      </c>
      <c r="B9" s="63" t="s">
        <v>1685</v>
      </c>
      <c r="C9" s="3789" t="s">
        <v>3399</v>
      </c>
      <c r="D9" s="126">
        <v>100</v>
      </c>
      <c r="E9" s="3792" t="s">
        <v>3399</v>
      </c>
      <c r="F9" s="372">
        <f>SUMIF(63:63,E9,64:64)-SUMIF(63:63,C9,64:64)+100</f>
        <v>100</v>
      </c>
      <c r="G9" s="3793" t="s">
        <v>3399</v>
      </c>
      <c r="H9" s="126">
        <f>SUMIF(63:63,G9,64:64)-SUMIF(63:63,C9,64:64)+100</f>
        <v>100</v>
      </c>
      <c r="I9" s="3793" t="s">
        <v>3399</v>
      </c>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0"/>
      <c r="M11" s="2715"/>
      <c r="N11" s="2715"/>
      <c r="O11" s="2715"/>
      <c r="P11" s="3678"/>
      <c r="Q11" s="1343" t="str">
        <f t="shared" si="6"/>
        <v>容积率</v>
      </c>
      <c r="R11" s="701" t="s">
        <v>18</v>
      </c>
      <c r="S11" s="702">
        <f t="shared" si="0"/>
        <v>100</v>
      </c>
      <c r="T11" s="701" t="s">
        <v>18</v>
      </c>
      <c r="U11" s="702">
        <f t="shared" si="1"/>
        <v>100</v>
      </c>
      <c r="V11" s="701" t="s">
        <v>18</v>
      </c>
      <c r="W11" s="702">
        <f t="shared" si="2"/>
        <v>100</v>
      </c>
      <c r="X11" s="703"/>
      <c r="Y11" s="3608"/>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3796" t="s">
        <v>3403</v>
      </c>
      <c r="D26" s="386">
        <v>100</v>
      </c>
      <c r="E26" s="411" t="str">
        <f>Sheet1!G146</f>
        <v>南</v>
      </c>
      <c r="F26" s="386">
        <f>SUMIF(88:88,E26,89:89)-SUMIF(88:88,C26,89:89)+100</f>
        <v>99</v>
      </c>
      <c r="G26" s="3797" t="str">
        <f>Sheet1!G147</f>
        <v>南北</v>
      </c>
      <c r="H26" s="386">
        <f>SUMIF(88:88,G26,89:89)-SUMIF(88:88,C26,89:89)+100</f>
        <v>100</v>
      </c>
      <c r="I26" s="3797" t="str">
        <f>Sheet1!G148</f>
        <v>南</v>
      </c>
      <c r="J26" s="386">
        <f>SUMIF(88:88,I26,89:89)-SUMIF(88:88,C26,89:89)+100</f>
        <v>99</v>
      </c>
      <c r="K26" s="377">
        <v>1</v>
      </c>
      <c r="L26" s="2721"/>
      <c r="M26" s="2715"/>
      <c r="N26" s="2715"/>
      <c r="O26" s="2715"/>
      <c r="P26" s="3706"/>
      <c r="Q26" s="1352" t="str">
        <f t="shared" si="11"/>
        <v>朝向</v>
      </c>
      <c r="R26" s="705" t="s">
        <v>18</v>
      </c>
      <c r="S26" s="706">
        <f t="shared" si="12"/>
        <v>99</v>
      </c>
      <c r="T26" s="705" t="s">
        <v>18</v>
      </c>
      <c r="U26" s="706">
        <f t="shared" si="13"/>
        <v>100</v>
      </c>
      <c r="V26" s="705" t="s">
        <v>18</v>
      </c>
      <c r="W26" s="706">
        <f t="shared" si="14"/>
        <v>99</v>
      </c>
      <c r="X26" s="1355"/>
      <c r="Y26" s="3699"/>
      <c r="Z26" s="1356" t="str">
        <f>Q26</f>
        <v>朝向</v>
      </c>
      <c r="AA26" s="1353">
        <f t="shared" si="15"/>
        <v>1.0101010101010102</v>
      </c>
      <c r="AB26" s="1353">
        <f t="shared" si="16"/>
        <v>1</v>
      </c>
      <c r="AC26" s="1353">
        <f t="shared" si="17"/>
        <v>1.0101010101010102</v>
      </c>
    </row>
    <row r="27" spans="1:29" s="108" customFormat="1" ht="15">
      <c r="A27" s="382"/>
      <c r="B27" s="3794" t="s">
        <v>3401</v>
      </c>
      <c r="C27" s="3795" t="s">
        <v>3402</v>
      </c>
      <c r="D27" s="413">
        <v>100</v>
      </c>
      <c r="E27" s="383" t="str">
        <f>Sheet1!F146</f>
        <v>中区</v>
      </c>
      <c r="F27" s="413">
        <f>SUMIF(90:90,E27,91:91)-SUMIF(90:90,C27,91:91)+100</f>
        <v>110</v>
      </c>
      <c r="G27" s="1959" t="str">
        <f>Sheet1!F147</f>
        <v>高区</v>
      </c>
      <c r="H27" s="413">
        <f>SUMIF(90:90,G27,91:91)-SUMIF(90:90,C27,91:91)+100</f>
        <v>100</v>
      </c>
      <c r="I27" s="1959" t="str">
        <f>Sheet1!F148</f>
        <v>中区</v>
      </c>
      <c r="J27" s="413">
        <f>SUMIF(90:90,I27,91:91)-SUMIF(90:90,C27,91:91)+100</f>
        <v>110</v>
      </c>
      <c r="K27" s="1893"/>
      <c r="L27" s="2716"/>
      <c r="M27" s="2717"/>
      <c r="N27" s="2717"/>
      <c r="O27" s="2717"/>
      <c r="P27" s="3706"/>
      <c r="Q27" s="1343" t="str">
        <f t="shared" si="11"/>
        <v>楼层</v>
      </c>
      <c r="R27" s="701" t="s">
        <v>18</v>
      </c>
      <c r="S27" s="702">
        <f t="shared" si="12"/>
        <v>110</v>
      </c>
      <c r="T27" s="701" t="s">
        <v>18</v>
      </c>
      <c r="U27" s="702">
        <f t="shared" si="13"/>
        <v>100</v>
      </c>
      <c r="V27" s="701" t="s">
        <v>18</v>
      </c>
      <c r="W27" s="702">
        <f t="shared" si="14"/>
        <v>110</v>
      </c>
      <c r="X27" s="703"/>
      <c r="Y27" s="3699"/>
      <c r="Z27" s="52" t="str">
        <f>Q27</f>
        <v>楼层</v>
      </c>
      <c r="AA27" s="1353">
        <f t="shared" si="15"/>
        <v>0.90909090909090906</v>
      </c>
      <c r="AB27" s="1353">
        <f t="shared" si="16"/>
        <v>1</v>
      </c>
      <c r="AC27" s="1353">
        <f t="shared" si="17"/>
        <v>0.90909090909090906</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f>D3</f>
        <v>63.46</v>
      </c>
      <c r="D33" s="127">
        <v>100</v>
      </c>
      <c r="E33" s="381">
        <f>Sheet1!D146</f>
        <v>79.52</v>
      </c>
      <c r="F33" s="376">
        <f>LOOKUP(E33,103:103,104:104)-LOOKUP(C33,103:103,104:104)+100</f>
        <v>100</v>
      </c>
      <c r="G33" s="380">
        <f>Sheet1!D147</f>
        <v>45.46</v>
      </c>
      <c r="H33" s="127">
        <f>LOOKUP(G33,103:103,104:104)-LOOKUP(C33,103:103,104:104)+100</f>
        <v>102</v>
      </c>
      <c r="I33" s="381">
        <f>Sheet1!D148</f>
        <v>42.11</v>
      </c>
      <c r="J33" s="127">
        <f>LOOKUP(I33,103:103,104:104)-LOOKUP(C33,103:103,104:104)+100</f>
        <v>102</v>
      </c>
      <c r="K33" s="1893"/>
      <c r="L33" s="2720"/>
      <c r="M33" s="2722"/>
      <c r="N33" s="2722"/>
      <c r="O33" s="2722"/>
      <c r="P33" s="3701"/>
      <c r="Q33" s="707" t="str">
        <f t="shared" si="11"/>
        <v>项目建筑规模</v>
      </c>
      <c r="R33" s="708" t="s">
        <v>18</v>
      </c>
      <c r="S33" s="709">
        <f t="shared" si="12"/>
        <v>100</v>
      </c>
      <c r="T33" s="708" t="s">
        <v>18</v>
      </c>
      <c r="U33" s="709">
        <f t="shared" si="13"/>
        <v>102</v>
      </c>
      <c r="V33" s="708" t="s">
        <v>18</v>
      </c>
      <c r="W33" s="709">
        <f t="shared" si="14"/>
        <v>102</v>
      </c>
      <c r="X33" s="710"/>
      <c r="Y33" s="3703"/>
      <c r="Z33" s="711" t="str">
        <f t="shared" si="18"/>
        <v>项目建筑规模</v>
      </c>
      <c r="AA33" s="1353">
        <f t="shared" si="15"/>
        <v>1</v>
      </c>
      <c r="AB33" s="1353">
        <f t="shared" si="16"/>
        <v>0.98039215686274506</v>
      </c>
      <c r="AC33" s="1353">
        <f t="shared" si="17"/>
        <v>0.98039215686274506</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6"/>
      <c r="M37" s="2717"/>
      <c r="N37" s="2717"/>
      <c r="O37" s="2717"/>
      <c r="P37" s="3701"/>
      <c r="Q37" s="1343" t="str">
        <f t="shared" si="11"/>
        <v>成新度</v>
      </c>
      <c r="R37" s="701" t="s">
        <v>18</v>
      </c>
      <c r="S37" s="702">
        <f t="shared" si="12"/>
        <v>100</v>
      </c>
      <c r="T37" s="701" t="s">
        <v>18</v>
      </c>
      <c r="U37" s="702">
        <f t="shared" si="13"/>
        <v>100</v>
      </c>
      <c r="V37" s="701" t="s">
        <v>18</v>
      </c>
      <c r="W37" s="702">
        <f t="shared" si="14"/>
        <v>100</v>
      </c>
      <c r="X37" s="703"/>
      <c r="Y37" s="3703"/>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3798" t="s">
        <v>3404</v>
      </c>
      <c r="D42" s="386">
        <v>100</v>
      </c>
      <c r="E42" s="3799" t="s">
        <v>3404</v>
      </c>
      <c r="F42" s="412">
        <f>SUMIF(122:122,E42,123:123)-SUMIF(122:122,C42,123:123)+100</f>
        <v>100</v>
      </c>
      <c r="G42" s="3798" t="s">
        <v>3404</v>
      </c>
      <c r="H42" s="386">
        <f>SUMIF(122:122,G42,123:123)-SUMIF(122:122,C42,123:123)+100</f>
        <v>100</v>
      </c>
      <c r="I42" s="3799" t="s">
        <v>3404</v>
      </c>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f>Sheet1!E146</f>
        <v>15720</v>
      </c>
      <c r="F47" s="1157"/>
      <c r="G47" s="1158">
        <f>Sheet1!E147</f>
        <v>14299</v>
      </c>
      <c r="H47" s="1159"/>
      <c r="I47" s="1156">
        <f>Sheet1!E148</f>
        <v>18523</v>
      </c>
      <c r="J47" s="1159"/>
      <c r="K47" s="1913"/>
      <c r="L47" s="2723"/>
      <c r="M47" s="2724"/>
      <c r="N47" s="2715"/>
      <c r="O47" s="2724"/>
      <c r="P47" s="3696" t="str">
        <f>A47</f>
        <v>成交单价（元/平方米）</v>
      </c>
      <c r="Q47" s="3696"/>
      <c r="R47" s="3697">
        <f>E47</f>
        <v>15720</v>
      </c>
      <c r="S47" s="3697"/>
      <c r="T47" s="3697">
        <f>G47</f>
        <v>14299</v>
      </c>
      <c r="U47" s="3697"/>
      <c r="V47" s="3697">
        <f>I47</f>
        <v>18523</v>
      </c>
      <c r="W47" s="3697"/>
      <c r="X47" s="690"/>
      <c r="Y47" s="712"/>
      <c r="Z47" s="690"/>
      <c r="AA47" s="690"/>
      <c r="AB47" s="690"/>
      <c r="AC47" s="690"/>
    </row>
    <row r="48" spans="1:29" ht="15.75" thickBot="1">
      <c r="A48" s="437" t="s">
        <v>1709</v>
      </c>
      <c r="B48" s="438"/>
      <c r="C48" s="1160">
        <f>R49</f>
        <v>15043</v>
      </c>
      <c r="D48" s="2316" t="s">
        <v>2138</v>
      </c>
      <c r="E48" s="1161">
        <f>R48</f>
        <v>14435</v>
      </c>
      <c r="F48" s="2317"/>
      <c r="G48" s="1160">
        <f>T48</f>
        <v>14019</v>
      </c>
      <c r="H48" s="2317"/>
      <c r="I48" s="1161">
        <f>V48</f>
        <v>16676</v>
      </c>
      <c r="J48" s="2317"/>
      <c r="K48" s="2318">
        <f>F48+H48+J48</f>
        <v>0</v>
      </c>
      <c r="L48" s="2723"/>
      <c r="M48" s="2724"/>
      <c r="N48" s="2724"/>
      <c r="O48" s="2724"/>
      <c r="P48" s="3696" t="str">
        <f>A48</f>
        <v>比较价值（元/平方米）</v>
      </c>
      <c r="Q48" s="3696"/>
      <c r="R48" s="3697">
        <f>IF(F1="售价",ROUND(PRODUCT(R47,AA7:AA46),0),ROUND(PRODUCT(R47,AA7:AA46),1))</f>
        <v>14435</v>
      </c>
      <c r="S48" s="3697"/>
      <c r="T48" s="3697">
        <f>IF(F1="售价",ROUND(PRODUCT(T47,AB7:AB46),0),ROUND(PRODUCT(T47,AB7:AB46),1))</f>
        <v>14019</v>
      </c>
      <c r="U48" s="3697"/>
      <c r="V48" s="3697">
        <f>IF(F1="售价",ROUND(PRODUCT(V47,AC7:AC46),0),ROUND(PRODUCT(V47,AC7:AC46),1))</f>
        <v>16676</v>
      </c>
      <c r="W48" s="3697"/>
      <c r="X48" s="690"/>
      <c r="Y48" s="690"/>
      <c r="Z48" s="690"/>
      <c r="AA48" s="690"/>
      <c r="AB48" s="690"/>
      <c r="AC48" s="690"/>
    </row>
    <row r="49" spans="1:29" ht="15.75" thickBot="1">
      <c r="A49" s="441" t="s">
        <v>1710</v>
      </c>
      <c r="B49" s="442"/>
      <c r="C49" s="1162">
        <f>R49</f>
        <v>15043</v>
      </c>
      <c r="D49" s="1163"/>
      <c r="E49" s="1163"/>
      <c r="F49" s="1163"/>
      <c r="G49" s="1163"/>
      <c r="H49" s="1163"/>
      <c r="I49" s="1163"/>
      <c r="J49" s="1163"/>
      <c r="K49" s="1914"/>
      <c r="L49" s="2723"/>
      <c r="M49" s="2724"/>
      <c r="N49" s="2724"/>
      <c r="O49" s="2724"/>
      <c r="P49" s="3693" t="str">
        <f>A49</f>
        <v>估价对象XX用房的比较价值（楼面单价，元/平方米）</v>
      </c>
      <c r="Q49" s="3694"/>
      <c r="R49" s="3695">
        <f>IF(F1="售价",ROUND(IF(D48="简单平均",AVERAGE(R48:V48),R48*F48+T48*H48+V48*J48),0),ROUND(IF(D48="简单平均",AVERAGE(R48:V48),R48*F48+T48*H48+V48*J48),1))</f>
        <v>15043</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8.9019743678559138E-2</v>
      </c>
      <c r="F52" s="449" t="str">
        <f>IF(OR(E52&gt;=0.3,E52&lt;=-0.3),"超过30%","")</f>
        <v/>
      </c>
      <c r="G52" s="448">
        <f>IF(G47&lt;G48,G48/G47-1,G47/G48-1)</f>
        <v>1.9972893929666835E-2</v>
      </c>
      <c r="H52" s="449" t="str">
        <f>IF(OR(G52&gt;=0.3,G52&lt;=-0.3),"超过30%","")</f>
        <v/>
      </c>
      <c r="I52" s="448">
        <f>IF(I47&lt;I48,I48/I47-1,I47/I48-1)</f>
        <v>0.11075797553370115</v>
      </c>
      <c r="J52" s="449" t="str">
        <f>IF(OR(I52&gt;=0.3,I52&lt;=-0.3),"超过30%","")</f>
        <v/>
      </c>
      <c r="K52" s="2729"/>
      <c r="L52" s="2725"/>
      <c r="M52" s="2724"/>
      <c r="N52" s="2724"/>
      <c r="O52" s="2724"/>
    </row>
    <row r="53" spans="1:29" ht="13.5" customHeight="1">
      <c r="A53" s="2724"/>
      <c r="B53" s="2724"/>
      <c r="C53" s="446" t="s">
        <v>1712</v>
      </c>
      <c r="D53" s="450"/>
      <c r="E53" s="448">
        <f>IF(E48&lt;G48,G48/E48-1,E48/G48-1)</f>
        <v>2.9674013838362212E-2</v>
      </c>
      <c r="F53" s="449" t="str">
        <f>IF(OR(E53&gt;=0.2,E53&lt;=-0.2),"超过20%","")</f>
        <v/>
      </c>
      <c r="G53" s="448">
        <f>IF(G48&lt;I48,I48/G48-1,G48/I48-1)</f>
        <v>0.18952849703973174</v>
      </c>
      <c r="H53" s="449" t="str">
        <f>IF(OR(G53&gt;=0.2,G53&lt;=-0.2),"超过20%","")</f>
        <v/>
      </c>
      <c r="I53" s="448">
        <f>IF(I48&lt;E48,E48/I48-1,I48/E48-1)</f>
        <v>0.15524766193280226</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9.937757885166798E-2</v>
      </c>
      <c r="F54" s="449" t="str">
        <f>IF(OR(E54&gt;=0.3,E54&lt;=-0.3),"超过30%","")</f>
        <v/>
      </c>
      <c r="G54" s="448">
        <f>IF(G47&lt;I47,I47/G47-1,G47/I47-1)</f>
        <v>0.2954052730960206</v>
      </c>
      <c r="H54" s="449" t="str">
        <f>IF(OR(G54&gt;=0.3,G54&lt;=-0.3),"超过30%","")</f>
        <v/>
      </c>
      <c r="I54" s="448">
        <f>IF(I47&lt;E47,E47/I47-1,I47/E47-1)</f>
        <v>0.17830788804071251</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v>4</v>
      </c>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3800" t="s">
        <v>3403</v>
      </c>
      <c r="D88" s="3800" t="s">
        <v>3407</v>
      </c>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75" thickTop="1">
      <c r="A90" s="502"/>
      <c r="B90" s="487" t="str">
        <f>B27</f>
        <v>楼层</v>
      </c>
      <c r="C90" s="3800" t="s">
        <v>3405</v>
      </c>
      <c r="D90" s="3800" t="s">
        <v>3406</v>
      </c>
      <c r="E90" s="3800" t="s">
        <v>3402</v>
      </c>
      <c r="F90" s="503"/>
      <c r="G90" s="503"/>
      <c r="H90" s="504"/>
      <c r="I90" s="504"/>
      <c r="J90" s="504"/>
      <c r="K90" s="504"/>
      <c r="L90" s="505"/>
      <c r="M90" s="506"/>
      <c r="N90" s="935"/>
      <c r="O90" s="935"/>
      <c r="P90" s="1922"/>
      <c r="Q90" s="508"/>
    </row>
    <row r="91" spans="1:17" s="422" customFormat="1" ht="15.75" thickBot="1">
      <c r="A91" s="502"/>
      <c r="B91" s="492"/>
      <c r="C91" s="509">
        <v>100</v>
      </c>
      <c r="D91" s="509">
        <v>95</v>
      </c>
      <c r="E91" s="509">
        <v>90</v>
      </c>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0(含)-50</v>
      </c>
      <c r="D102" s="527" t="str">
        <f t="shared" ref="D102:L102" si="26">D103&amp;"(含)"&amp;"-"&amp;E103</f>
        <v>50(含)-90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50</v>
      </c>
      <c r="E103" s="544">
        <v>90</v>
      </c>
      <c r="F103" s="544">
        <v>120</v>
      </c>
      <c r="G103" s="544"/>
      <c r="H103" s="544"/>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63.46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63.46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7"/>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6"/>
      <c r="Q18" s="1352"/>
      <c r="R18" s="705"/>
      <c r="S18" s="706"/>
      <c r="T18" s="705"/>
      <c r="U18" s="706"/>
      <c r="V18" s="705"/>
      <c r="W18" s="706"/>
      <c r="X18" s="1355"/>
      <c r="Y18" s="3699"/>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6"/>
      <c r="Q20" s="1352"/>
      <c r="R20" s="705"/>
      <c r="S20" s="706"/>
      <c r="T20" s="705"/>
      <c r="U20" s="706"/>
      <c r="V20" s="705"/>
      <c r="W20" s="706"/>
      <c r="X20" s="1355"/>
      <c r="Y20" s="3699"/>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06"/>
      <c r="Q22" s="1352"/>
      <c r="R22" s="705"/>
      <c r="S22" s="706"/>
      <c r="T22" s="705"/>
      <c r="U22" s="706"/>
      <c r="V22" s="705"/>
      <c r="W22" s="706"/>
      <c r="X22" s="1355"/>
      <c r="Y22" s="3699"/>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6"/>
      <c r="Q24" s="1352"/>
      <c r="R24" s="705"/>
      <c r="S24" s="706"/>
      <c r="T24" s="705"/>
      <c r="U24" s="706"/>
      <c r="V24" s="705"/>
      <c r="W24" s="706"/>
      <c r="X24" s="1355"/>
      <c r="Y24" s="3699"/>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63.46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估价对象为房地产，为所有。根据《国有土地使用证》[]，估价对象（分摊）出让国有建设用地使用权面积为0平方米，建筑面积为63.46平方米。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估价对象为房地产,属开发建设的，该项目尚在开发建设中。根据《国有土地使用证》[]，估价对象（分摊）出让国有建设用地使用权面积为0平方米，规划建筑面积为63.46平方米。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2" t="s">
        <v>3361</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44942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44942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8"/>
      <c r="M10" s="2719"/>
      <c r="N10" s="2719"/>
      <c r="O10" s="2772"/>
      <c r="P10" s="3696"/>
      <c r="Q10" s="1343" t="str">
        <f t="shared" si="6"/>
        <v>土地使用年限（年）</v>
      </c>
      <c r="R10" s="701" t="s">
        <v>14</v>
      </c>
      <c r="S10" s="702">
        <f t="shared" si="0"/>
        <v>126</v>
      </c>
      <c r="T10" s="701" t="s">
        <v>14</v>
      </c>
      <c r="U10" s="702">
        <f t="shared" si="1"/>
        <v>126</v>
      </c>
      <c r="V10" s="701" t="s">
        <v>14</v>
      </c>
      <c r="W10" s="702">
        <f t="shared" si="2"/>
        <v>126</v>
      </c>
      <c r="X10" s="703"/>
      <c r="Y10" s="3608"/>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9" t="s">
        <v>1887</v>
      </c>
      <c r="H55" s="37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63.46</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63.46</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44942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8"/>
      <c r="M10" s="2719"/>
      <c r="N10" s="2719"/>
      <c r="O10" s="2772"/>
      <c r="P10" s="3696"/>
      <c r="Q10" s="1343" t="str">
        <f t="shared" si="6"/>
        <v>土地使用年限（年）</v>
      </c>
      <c r="R10" s="701" t="s">
        <v>14</v>
      </c>
      <c r="S10" s="702">
        <f t="shared" si="0"/>
        <v>126</v>
      </c>
      <c r="T10" s="701" t="s">
        <v>14</v>
      </c>
      <c r="U10" s="702">
        <f t="shared" si="1"/>
        <v>126</v>
      </c>
      <c r="V10" s="701" t="s">
        <v>14</v>
      </c>
      <c r="W10" s="702">
        <f t="shared" si="2"/>
        <v>126</v>
      </c>
      <c r="X10" s="703"/>
      <c r="Y10" s="3608"/>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9" t="s">
        <v>1887</v>
      </c>
      <c r="H50" s="3726"/>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63.46</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3244</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3249</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3251</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t="e">
        <f>ROUND(G18/I18,2)</f>
        <v>#DIV/0!</v>
      </c>
      <c r="F17" s="3321" t="s">
        <v>3257</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3256</v>
      </c>
      <c r="E19" s="3337"/>
      <c r="F19" s="3338" t="s">
        <v>3259</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8" t="s">
        <v>3261</v>
      </c>
      <c r="B20" s="167" t="s">
        <v>1994</v>
      </c>
      <c r="C20" s="3324" t="e">
        <f>ROUND(IF(F21="与级别开发程度一致",0,(G21-E21)/C21),0)</f>
        <v>#DIV/0!</v>
      </c>
      <c r="D20" s="3340" t="s">
        <v>1998</v>
      </c>
      <c r="E20" s="3341"/>
      <c r="F20" s="3754" t="s">
        <v>1995</v>
      </c>
      <c r="G20" s="375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4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44942</v>
      </c>
      <c r="H23" s="3342" t="s">
        <v>3263</v>
      </c>
      <c r="I23" s="3343" t="str">
        <f>IF(H23="季度增幅（自定义）",SUMIF(N25:N28,E2,O25:O28),"")</f>
        <v/>
      </c>
      <c r="J23" s="3445" t="s">
        <v>3262</v>
      </c>
      <c r="K23" s="1125"/>
      <c r="L23" s="2054" t="s">
        <v>2004</v>
      </c>
      <c r="M23" s="1328">
        <f>ROUND(SUMIF(地价!B2:G2,E2,地价!B16:G16),0)</f>
        <v>0</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3342</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3265</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3267</v>
      </c>
      <c r="G33" s="2098"/>
      <c r="H33" s="2098"/>
      <c r="I33" s="2098"/>
      <c r="J33" s="2099"/>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0" t="s">
        <v>3266</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3276</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3276</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3276</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3277</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3280</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3276</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3281</v>
      </c>
      <c r="B96" s="3384" t="s">
        <v>3292</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3282</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3283</v>
      </c>
      <c r="B98" s="3385" t="s">
        <v>3293</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3284</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3285</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3286</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3301</v>
      </c>
      <c r="B103" s="3750"/>
      <c r="C103" s="3750"/>
      <c r="D103" s="3750"/>
      <c r="E103" s="3750"/>
      <c r="F103" s="3750"/>
      <c r="G103" s="3750"/>
      <c r="H103" s="3750"/>
      <c r="I103" s="3750"/>
      <c r="J103" s="3750"/>
      <c r="K103" s="3389"/>
      <c r="L103" s="3389"/>
      <c r="M103" s="3389"/>
      <c r="N103" s="3389"/>
    </row>
    <row r="104" spans="1:14">
      <c r="A104" s="3751" t="s">
        <v>3302</v>
      </c>
      <c r="B104" s="3751" t="s">
        <v>3303</v>
      </c>
      <c r="C104" s="3390" t="s">
        <v>3304</v>
      </c>
      <c r="D104" s="3391"/>
      <c r="E104" s="3391"/>
      <c r="F104" s="3391"/>
      <c r="G104" s="3391"/>
      <c r="H104" s="3391"/>
      <c r="I104" s="3391"/>
      <c r="J104" s="3392"/>
      <c r="K104" s="3393"/>
      <c r="L104" s="3393"/>
      <c r="M104" s="3393"/>
      <c r="N104" s="3393"/>
    </row>
    <row r="105" spans="1:14">
      <c r="A105" s="3751"/>
      <c r="B105" s="3751"/>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37"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3318</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0</v>
      </c>
      <c r="C116" s="3399" t="s">
        <v>3320</v>
      </c>
      <c r="D116" s="3400">
        <f>SUMPRODUCT((A118:A122=F116)*(B117:M117=H116)*B118:M122)</f>
        <v>0</v>
      </c>
      <c r="E116" s="1999" t="s">
        <v>3321</v>
      </c>
      <c r="F116" s="3401">
        <f>E2</f>
        <v>0</v>
      </c>
      <c r="G116" s="1999" t="s">
        <v>3322</v>
      </c>
      <c r="H116" s="3401">
        <f>G2</f>
        <v>0</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3" t="s">
        <v>2610</v>
      </c>
      <c r="B20" s="3756" t="s">
        <v>2631</v>
      </c>
      <c r="C20" s="3102" t="s">
        <v>2442</v>
      </c>
      <c r="D20" s="3103"/>
      <c r="E20" s="3104">
        <v>1</v>
      </c>
      <c r="F20" s="3105" t="s">
        <v>2443</v>
      </c>
      <c r="G20" s="3105"/>
    </row>
    <row r="21" spans="1:13" ht="19.5" customHeight="1">
      <c r="A21" s="3764"/>
      <c r="B21" s="3757"/>
      <c r="C21" s="3106" t="s">
        <v>2444</v>
      </c>
      <c r="D21" s="3107"/>
      <c r="E21" s="3108">
        <v>1</v>
      </c>
      <c r="F21" s="3105" t="s">
        <v>2445</v>
      </c>
      <c r="G21" s="3105"/>
    </row>
    <row r="22" spans="1:13" ht="19.5" customHeight="1">
      <c r="A22" s="3764"/>
      <c r="B22" s="3757"/>
      <c r="C22" s="3106" t="s">
        <v>2446</v>
      </c>
      <c r="D22" s="3107"/>
      <c r="E22" s="3108">
        <v>0.9</v>
      </c>
      <c r="F22" s="3105" t="s">
        <v>2447</v>
      </c>
      <c r="G22" s="3105"/>
    </row>
    <row r="23" spans="1:13" ht="19.5" customHeight="1">
      <c r="A23" s="3764"/>
      <c r="B23" s="3757"/>
      <c r="C23" s="3106" t="s">
        <v>2448</v>
      </c>
      <c r="D23" s="3107"/>
      <c r="E23" s="3108">
        <v>0.9</v>
      </c>
      <c r="F23" s="3105" t="s">
        <v>2449</v>
      </c>
      <c r="G23" s="3105"/>
    </row>
    <row r="24" spans="1:13" ht="19.5" customHeight="1">
      <c r="A24" s="3764"/>
      <c r="B24" s="3757"/>
      <c r="C24" s="3106" t="s">
        <v>2450</v>
      </c>
      <c r="D24" s="3107"/>
      <c r="E24" s="3108">
        <v>0.8</v>
      </c>
      <c r="F24" s="3105" t="s">
        <v>2451</v>
      </c>
      <c r="G24" s="3105"/>
    </row>
    <row r="25" spans="1:13" ht="19.5" customHeight="1" thickBot="1">
      <c r="A25" s="3765"/>
      <c r="B25" s="375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59" t="s">
        <v>2634</v>
      </c>
      <c r="B27" s="3756" t="s">
        <v>2615</v>
      </c>
      <c r="C27" s="3102" t="s">
        <v>2455</v>
      </c>
      <c r="D27" s="3103"/>
      <c r="E27" s="3104">
        <v>1</v>
      </c>
      <c r="F27" s="3105" t="s">
        <v>2456</v>
      </c>
      <c r="G27" s="3105"/>
    </row>
    <row r="28" spans="1:13" ht="19.5" customHeight="1">
      <c r="A28" s="3760"/>
      <c r="B28" s="3757"/>
      <c r="C28" s="3106" t="s">
        <v>2457</v>
      </c>
      <c r="D28" s="3107"/>
      <c r="E28" s="3108">
        <v>1</v>
      </c>
      <c r="F28" s="3105" t="s">
        <v>2458</v>
      </c>
      <c r="G28" s="3105"/>
    </row>
    <row r="29" spans="1:13" ht="19.5" customHeight="1">
      <c r="A29" s="3760"/>
      <c r="B29" s="3757"/>
      <c r="C29" s="3106" t="s">
        <v>2459</v>
      </c>
      <c r="D29" s="3107"/>
      <c r="E29" s="3108">
        <v>0.8</v>
      </c>
      <c r="F29" s="3105" t="s">
        <v>2460</v>
      </c>
      <c r="G29" s="3105"/>
    </row>
    <row r="30" spans="1:13" ht="19.5" customHeight="1">
      <c r="A30" s="3760"/>
      <c r="B30" s="3757"/>
      <c r="C30" s="3106" t="s">
        <v>2461</v>
      </c>
      <c r="D30" s="3107"/>
      <c r="E30" s="3108">
        <v>0.8</v>
      </c>
      <c r="F30" s="3105" t="s">
        <v>2462</v>
      </c>
      <c r="G30" s="3105"/>
    </row>
    <row r="31" spans="1:13" ht="19.5" customHeight="1">
      <c r="A31" s="3760"/>
      <c r="B31" s="3757"/>
      <c r="C31" s="3106" t="s">
        <v>2463</v>
      </c>
      <c r="D31" s="3107"/>
      <c r="E31" s="3108">
        <v>0.8</v>
      </c>
      <c r="F31" s="3105" t="s">
        <v>2464</v>
      </c>
      <c r="G31" s="3105"/>
    </row>
    <row r="32" spans="1:13" ht="19.5" customHeight="1">
      <c r="A32" s="3760"/>
      <c r="B32" s="3757"/>
      <c r="C32" s="3106" t="s">
        <v>2465</v>
      </c>
      <c r="D32" s="3107"/>
      <c r="E32" s="3108">
        <v>0.7</v>
      </c>
      <c r="F32" s="3105" t="s">
        <v>2466</v>
      </c>
      <c r="G32" s="3105"/>
    </row>
    <row r="33" spans="1:7" ht="19.5" customHeight="1">
      <c r="A33" s="3760"/>
      <c r="B33" s="3757"/>
      <c r="C33" s="3106" t="s">
        <v>2467</v>
      </c>
      <c r="D33" s="3107"/>
      <c r="E33" s="3108">
        <v>0.8</v>
      </c>
      <c r="F33" s="3105" t="s">
        <v>2468</v>
      </c>
      <c r="G33" s="3105"/>
    </row>
    <row r="34" spans="1:7" ht="19.5" customHeight="1">
      <c r="A34" s="3760"/>
      <c r="B34" s="3757"/>
      <c r="C34" s="3106" t="s">
        <v>2469</v>
      </c>
      <c r="D34" s="3107"/>
      <c r="E34" s="3108">
        <v>0.6</v>
      </c>
      <c r="F34" s="3105" t="s">
        <v>2470</v>
      </c>
      <c r="G34" s="3105"/>
    </row>
    <row r="35" spans="1:7" ht="19.5" customHeight="1">
      <c r="A35" s="3760"/>
      <c r="B35" s="3757"/>
      <c r="C35" s="3106" t="s">
        <v>2471</v>
      </c>
      <c r="D35" s="3107"/>
      <c r="E35" s="3108">
        <v>0.2</v>
      </c>
      <c r="F35" s="3105" t="s">
        <v>2472</v>
      </c>
      <c r="G35" s="3105"/>
    </row>
    <row r="36" spans="1:7" ht="19.5" customHeight="1">
      <c r="A36" s="3760"/>
      <c r="B36" s="3757"/>
      <c r="C36" s="3106" t="s">
        <v>2473</v>
      </c>
      <c r="D36" s="3107"/>
      <c r="E36" s="3108">
        <v>0.2</v>
      </c>
      <c r="F36" s="3105" t="s">
        <v>2474</v>
      </c>
      <c r="G36" s="3105"/>
    </row>
    <row r="37" spans="1:7" ht="19.5" customHeight="1">
      <c r="A37" s="3760"/>
      <c r="B37" s="3762" t="s">
        <v>2635</v>
      </c>
      <c r="C37" s="3106" t="s">
        <v>2475</v>
      </c>
      <c r="D37" s="3107"/>
      <c r="E37" s="3108">
        <v>0.6</v>
      </c>
      <c r="F37" s="3105" t="s">
        <v>2476</v>
      </c>
      <c r="G37" s="3105"/>
    </row>
    <row r="38" spans="1:7" ht="19.5" customHeight="1">
      <c r="A38" s="3760"/>
      <c r="B38" s="3757"/>
      <c r="C38" s="3106" t="s">
        <v>2477</v>
      </c>
      <c r="D38" s="3107"/>
      <c r="E38" s="3108">
        <v>0.6</v>
      </c>
      <c r="F38" s="3105" t="s">
        <v>2478</v>
      </c>
      <c r="G38" s="3105"/>
    </row>
    <row r="39" spans="1:7" ht="19.5" customHeight="1" thickBot="1">
      <c r="A39" s="3761"/>
      <c r="B39" s="375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3" t="s">
        <v>2613</v>
      </c>
      <c r="B41" s="3756" t="s">
        <v>2637</v>
      </c>
      <c r="C41" s="3102" t="s">
        <v>2482</v>
      </c>
      <c r="D41" s="3103"/>
      <c r="E41" s="3104">
        <v>1</v>
      </c>
      <c r="F41" s="3105" t="s">
        <v>2483</v>
      </c>
      <c r="G41" s="3105"/>
    </row>
    <row r="42" spans="1:7" ht="19.5" customHeight="1">
      <c r="A42" s="3764"/>
      <c r="B42" s="3757"/>
      <c r="C42" s="3106" t="s">
        <v>2484</v>
      </c>
      <c r="D42" s="3107"/>
      <c r="E42" s="3108">
        <v>1</v>
      </c>
      <c r="F42" s="3105" t="s">
        <v>2485</v>
      </c>
      <c r="G42" s="3105"/>
    </row>
    <row r="43" spans="1:7" ht="19.5" customHeight="1">
      <c r="A43" s="3764"/>
      <c r="B43" s="3766"/>
      <c r="C43" s="3106" t="s">
        <v>2486</v>
      </c>
      <c r="D43" s="3107"/>
      <c r="E43" s="3108">
        <v>1.5</v>
      </c>
      <c r="F43" s="3105" t="s">
        <v>2487</v>
      </c>
      <c r="G43" s="3105"/>
    </row>
    <row r="44" spans="1:7" ht="19.5" customHeight="1">
      <c r="A44" s="3764"/>
      <c r="B44" s="3117" t="s">
        <v>2638</v>
      </c>
      <c r="C44" s="3106" t="s">
        <v>2639</v>
      </c>
      <c r="D44" s="3107"/>
      <c r="E44" s="3108">
        <v>2</v>
      </c>
      <c r="F44" s="3105" t="s">
        <v>2488</v>
      </c>
      <c r="G44" s="3105"/>
    </row>
    <row r="45" spans="1:7" ht="19.5" customHeight="1">
      <c r="A45" s="3764"/>
      <c r="B45" s="3762" t="s">
        <v>2640</v>
      </c>
      <c r="C45" s="3106" t="s">
        <v>2489</v>
      </c>
      <c r="D45" s="3107"/>
      <c r="E45" s="3108">
        <v>1</v>
      </c>
      <c r="F45" s="3105" t="s">
        <v>2490</v>
      </c>
      <c r="G45" s="3105"/>
    </row>
    <row r="46" spans="1:7" ht="19.5" customHeight="1">
      <c r="A46" s="3764"/>
      <c r="B46" s="3757"/>
      <c r="C46" s="3106" t="s">
        <v>2491</v>
      </c>
      <c r="D46" s="3107"/>
      <c r="E46" s="3108">
        <v>1</v>
      </c>
      <c r="F46" s="3105" t="s">
        <v>2492</v>
      </c>
      <c r="G46" s="3105"/>
    </row>
    <row r="47" spans="1:7" ht="19.5" customHeight="1">
      <c r="A47" s="3764"/>
      <c r="B47" s="3757"/>
      <c r="C47" s="3106" t="s">
        <v>2493</v>
      </c>
      <c r="D47" s="3107"/>
      <c r="E47" s="3108">
        <v>1</v>
      </c>
      <c r="F47" s="3105" t="s">
        <v>2494</v>
      </c>
      <c r="G47" s="3105"/>
    </row>
    <row r="48" spans="1:7" ht="19.5" customHeight="1">
      <c r="A48" s="3764"/>
      <c r="B48" s="3757"/>
      <c r="C48" s="3106" t="s">
        <v>2495</v>
      </c>
      <c r="D48" s="3107"/>
      <c r="E48" s="3108">
        <v>1</v>
      </c>
      <c r="F48" s="3105" t="s">
        <v>2496</v>
      </c>
      <c r="G48" s="3105"/>
    </row>
    <row r="49" spans="1:7" ht="19.5" customHeight="1">
      <c r="A49" s="3764"/>
      <c r="B49" s="3757"/>
      <c r="C49" s="3106" t="s">
        <v>2497</v>
      </c>
      <c r="D49" s="3107"/>
      <c r="E49" s="3108">
        <v>1</v>
      </c>
      <c r="F49" s="3105" t="s">
        <v>2498</v>
      </c>
      <c r="G49" s="3105"/>
    </row>
    <row r="50" spans="1:7" ht="19.5" customHeight="1">
      <c r="A50" s="3764"/>
      <c r="B50" s="3757"/>
      <c r="C50" s="3106" t="s">
        <v>2499</v>
      </c>
      <c r="D50" s="3107"/>
      <c r="E50" s="3108">
        <v>1</v>
      </c>
      <c r="F50" s="3105" t="s">
        <v>2500</v>
      </c>
      <c r="G50" s="3105"/>
    </row>
    <row r="51" spans="1:7" ht="19.5" customHeight="1" thickBot="1">
      <c r="A51" s="3765"/>
      <c r="B51" s="375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2" t="s">
        <v>2654</v>
      </c>
      <c r="C73" s="3091" t="s">
        <v>2655</v>
      </c>
      <c r="D73" s="3091" t="s">
        <v>2656</v>
      </c>
      <c r="E73" s="3117">
        <v>0.2</v>
      </c>
      <c r="F73" s="3117">
        <v>25</v>
      </c>
    </row>
    <row r="74" spans="1:7" ht="24">
      <c r="A74" s="3117">
        <v>2</v>
      </c>
      <c r="B74" s="3757"/>
      <c r="C74" s="3091" t="s">
        <v>2657</v>
      </c>
      <c r="D74" s="3091" t="s">
        <v>2658</v>
      </c>
      <c r="E74" s="3117">
        <v>0.2</v>
      </c>
      <c r="F74" s="3117">
        <v>25</v>
      </c>
    </row>
    <row r="75" spans="1:7" ht="24">
      <c r="A75" s="3117">
        <v>3</v>
      </c>
      <c r="B75" s="3757"/>
      <c r="C75" s="3091" t="s">
        <v>2659</v>
      </c>
      <c r="D75" s="3091" t="s">
        <v>2660</v>
      </c>
      <c r="E75" s="3117">
        <v>0.2</v>
      </c>
      <c r="F75" s="3117">
        <v>25</v>
      </c>
    </row>
    <row r="76" spans="1:7" ht="13.5">
      <c r="A76" s="3117">
        <v>4</v>
      </c>
      <c r="B76" s="3757"/>
      <c r="C76" s="3091" t="s">
        <v>2661</v>
      </c>
      <c r="D76" s="3091" t="s">
        <v>2662</v>
      </c>
      <c r="E76" s="3117">
        <v>0.15</v>
      </c>
      <c r="F76" s="3117">
        <v>20</v>
      </c>
    </row>
    <row r="77" spans="1:7" ht="24">
      <c r="A77" s="3117">
        <v>5</v>
      </c>
      <c r="B77" s="3757"/>
      <c r="C77" s="3091" t="s">
        <v>2663</v>
      </c>
      <c r="D77" s="3091" t="s">
        <v>2664</v>
      </c>
      <c r="E77" s="3117">
        <v>0.15</v>
      </c>
      <c r="F77" s="3117">
        <v>20</v>
      </c>
    </row>
    <row r="78" spans="1:7" ht="24">
      <c r="A78" s="3117">
        <v>6</v>
      </c>
      <c r="B78" s="3757"/>
      <c r="C78" s="3091" t="s">
        <v>2665</v>
      </c>
      <c r="D78" s="3091" t="s">
        <v>2666</v>
      </c>
      <c r="E78" s="3117">
        <v>0.15</v>
      </c>
      <c r="F78" s="3117">
        <v>20</v>
      </c>
    </row>
    <row r="79" spans="1:7" ht="24">
      <c r="A79" s="3117">
        <v>7</v>
      </c>
      <c r="B79" s="3757"/>
      <c r="C79" s="3091" t="s">
        <v>2667</v>
      </c>
      <c r="D79" s="3091" t="s">
        <v>2668</v>
      </c>
      <c r="E79" s="3117">
        <v>0.15</v>
      </c>
      <c r="F79" s="3117">
        <v>20</v>
      </c>
    </row>
    <row r="80" spans="1:7" ht="24">
      <c r="A80" s="3117">
        <v>8</v>
      </c>
      <c r="B80" s="3757"/>
      <c r="C80" s="3091" t="s">
        <v>2669</v>
      </c>
      <c r="D80" s="3091" t="s">
        <v>2670</v>
      </c>
      <c r="E80" s="3117">
        <v>0.1</v>
      </c>
      <c r="F80" s="3117">
        <v>15</v>
      </c>
    </row>
    <row r="81" spans="1:6" ht="24">
      <c r="A81" s="3117">
        <v>9</v>
      </c>
      <c r="B81" s="3757"/>
      <c r="C81" s="3091" t="s">
        <v>2671</v>
      </c>
      <c r="D81" s="3091" t="s">
        <v>2672</v>
      </c>
      <c r="E81" s="3117">
        <v>0.1</v>
      </c>
      <c r="F81" s="3117">
        <v>15</v>
      </c>
    </row>
    <row r="82" spans="1:6" ht="24">
      <c r="A82" s="3117">
        <v>10</v>
      </c>
      <c r="B82" s="3757"/>
      <c r="C82" s="3091" t="s">
        <v>2673</v>
      </c>
      <c r="D82" s="3091" t="s">
        <v>2674</v>
      </c>
      <c r="E82" s="3117">
        <v>0.1</v>
      </c>
      <c r="F82" s="3117">
        <v>15</v>
      </c>
    </row>
    <row r="83" spans="1:6" ht="24">
      <c r="A83" s="3117">
        <v>11</v>
      </c>
      <c r="B83" s="3757"/>
      <c r="C83" s="3091" t="s">
        <v>2675</v>
      </c>
      <c r="D83" s="3091" t="s">
        <v>2676</v>
      </c>
      <c r="E83" s="3117">
        <v>0.1</v>
      </c>
      <c r="F83" s="3117">
        <v>15</v>
      </c>
    </row>
    <row r="84" spans="1:6" ht="24">
      <c r="A84" s="3117">
        <v>12</v>
      </c>
      <c r="B84" s="3757"/>
      <c r="C84" s="3091" t="s">
        <v>2677</v>
      </c>
      <c r="D84" s="3091" t="s">
        <v>2678</v>
      </c>
      <c r="E84" s="3117">
        <v>0.1</v>
      </c>
      <c r="F84" s="3117">
        <v>15</v>
      </c>
    </row>
    <row r="85" spans="1:6" ht="13.5">
      <c r="A85" s="3117">
        <v>13</v>
      </c>
      <c r="B85" s="3757"/>
      <c r="C85" s="3091" t="s">
        <v>2679</v>
      </c>
      <c r="D85" s="3091" t="s">
        <v>2680</v>
      </c>
      <c r="E85" s="3117">
        <v>0.1</v>
      </c>
      <c r="F85" s="3117">
        <v>15</v>
      </c>
    </row>
    <row r="86" spans="1:6" ht="13.5">
      <c r="A86" s="3117">
        <v>14</v>
      </c>
      <c r="B86" s="3757"/>
      <c r="C86" s="3091" t="s">
        <v>2681</v>
      </c>
      <c r="D86" s="3091" t="s">
        <v>2682</v>
      </c>
      <c r="E86" s="3117">
        <v>0.1</v>
      </c>
      <c r="F86" s="3117">
        <v>15</v>
      </c>
    </row>
    <row r="87" spans="1:6" ht="13.5">
      <c r="A87" s="3117">
        <v>15</v>
      </c>
      <c r="B87" s="3757"/>
      <c r="C87" s="3091" t="s">
        <v>2683</v>
      </c>
      <c r="D87" s="3091" t="s">
        <v>2684</v>
      </c>
      <c r="E87" s="3117">
        <v>0.1</v>
      </c>
      <c r="F87" s="3117">
        <v>15</v>
      </c>
    </row>
    <row r="88" spans="1:6" ht="24">
      <c r="A88" s="3117">
        <v>16</v>
      </c>
      <c r="B88" s="3757"/>
      <c r="C88" s="3091" t="s">
        <v>2685</v>
      </c>
      <c r="D88" s="3091" t="s">
        <v>2686</v>
      </c>
      <c r="E88" s="3117">
        <v>0.1</v>
      </c>
      <c r="F88" s="3117">
        <v>15</v>
      </c>
    </row>
    <row r="89" spans="1:6" ht="24">
      <c r="A89" s="3117">
        <v>17</v>
      </c>
      <c r="B89" s="3766"/>
      <c r="C89" s="3091" t="s">
        <v>2687</v>
      </c>
      <c r="D89" s="3091" t="s">
        <v>2688</v>
      </c>
      <c r="E89" s="3117">
        <v>0.1</v>
      </c>
      <c r="F89" s="3117">
        <v>15</v>
      </c>
    </row>
    <row r="90" spans="1:6" ht="13.5">
      <c r="A90" s="3117">
        <v>18</v>
      </c>
      <c r="B90" s="3762" t="s">
        <v>2689</v>
      </c>
      <c r="C90" s="3091" t="s">
        <v>2690</v>
      </c>
      <c r="D90" s="3091" t="s">
        <v>2691</v>
      </c>
      <c r="E90" s="3117">
        <v>0.2</v>
      </c>
      <c r="F90" s="3117">
        <v>25</v>
      </c>
    </row>
    <row r="91" spans="1:6" ht="24">
      <c r="A91" s="3117">
        <v>19</v>
      </c>
      <c r="B91" s="3757"/>
      <c r="C91" s="3091" t="s">
        <v>2692</v>
      </c>
      <c r="D91" s="3091" t="s">
        <v>2693</v>
      </c>
      <c r="E91" s="3117">
        <v>0.2</v>
      </c>
      <c r="F91" s="3117">
        <v>25</v>
      </c>
    </row>
    <row r="92" spans="1:6" ht="13.5">
      <c r="A92" s="3117">
        <v>20</v>
      </c>
      <c r="B92" s="3757"/>
      <c r="C92" s="3091" t="s">
        <v>2694</v>
      </c>
      <c r="D92" s="3091" t="s">
        <v>2695</v>
      </c>
      <c r="E92" s="3117">
        <v>0.15</v>
      </c>
      <c r="F92" s="3117">
        <v>20</v>
      </c>
    </row>
    <row r="93" spans="1:6" ht="13.5">
      <c r="A93" s="3117">
        <v>21</v>
      </c>
      <c r="B93" s="3757"/>
      <c r="C93" s="3091" t="s">
        <v>2696</v>
      </c>
      <c r="D93" s="3091" t="s">
        <v>2697</v>
      </c>
      <c r="E93" s="3117">
        <v>0.15</v>
      </c>
      <c r="F93" s="3117">
        <v>20</v>
      </c>
    </row>
    <row r="94" spans="1:6" ht="13.5">
      <c r="A94" s="3117">
        <v>22</v>
      </c>
      <c r="B94" s="3757"/>
      <c r="C94" s="3091" t="s">
        <v>2698</v>
      </c>
      <c r="D94" s="3091" t="s">
        <v>2699</v>
      </c>
      <c r="E94" s="3117">
        <v>0.15</v>
      </c>
      <c r="F94" s="3117">
        <v>20</v>
      </c>
    </row>
    <row r="95" spans="1:6" ht="36">
      <c r="A95" s="3117">
        <v>23</v>
      </c>
      <c r="B95" s="3757"/>
      <c r="C95" s="3091" t="s">
        <v>2700</v>
      </c>
      <c r="D95" s="3091" t="s">
        <v>2701</v>
      </c>
      <c r="E95" s="3117">
        <v>0.15</v>
      </c>
      <c r="F95" s="3117">
        <v>20</v>
      </c>
    </row>
    <row r="96" spans="1:6" ht="13.5">
      <c r="A96" s="3117">
        <v>24</v>
      </c>
      <c r="B96" s="3757"/>
      <c r="C96" s="3091" t="s">
        <v>2702</v>
      </c>
      <c r="D96" s="3091" t="s">
        <v>2703</v>
      </c>
      <c r="E96" s="3117">
        <v>0.1</v>
      </c>
      <c r="F96" s="3117">
        <v>15</v>
      </c>
    </row>
    <row r="97" spans="1:6" ht="13.5">
      <c r="A97" s="3117">
        <v>25</v>
      </c>
      <c r="B97" s="3757"/>
      <c r="C97" s="3091" t="s">
        <v>2704</v>
      </c>
      <c r="D97" s="3091" t="s">
        <v>2705</v>
      </c>
      <c r="E97" s="3117">
        <v>0.1</v>
      </c>
      <c r="F97" s="3117">
        <v>15</v>
      </c>
    </row>
    <row r="98" spans="1:6" ht="24">
      <c r="A98" s="3117">
        <v>26</v>
      </c>
      <c r="B98" s="3757"/>
      <c r="C98" s="3091" t="s">
        <v>2706</v>
      </c>
      <c r="D98" s="3091" t="s">
        <v>2707</v>
      </c>
      <c r="E98" s="3117">
        <v>0.1</v>
      </c>
      <c r="F98" s="3117">
        <v>15</v>
      </c>
    </row>
    <row r="99" spans="1:6" ht="24">
      <c r="A99" s="3117">
        <v>27</v>
      </c>
      <c r="B99" s="3757"/>
      <c r="C99" s="3091" t="s">
        <v>2708</v>
      </c>
      <c r="D99" s="3091" t="s">
        <v>2709</v>
      </c>
      <c r="E99" s="3117">
        <v>0.1</v>
      </c>
      <c r="F99" s="3117">
        <v>15</v>
      </c>
    </row>
    <row r="100" spans="1:6" ht="13.5">
      <c r="A100" s="3117">
        <v>28</v>
      </c>
      <c r="B100" s="3757"/>
      <c r="C100" s="3091" t="s">
        <v>2710</v>
      </c>
      <c r="D100" s="3091" t="s">
        <v>2711</v>
      </c>
      <c r="E100" s="3117">
        <v>0.1</v>
      </c>
      <c r="F100" s="3117">
        <v>15</v>
      </c>
    </row>
    <row r="101" spans="1:6" ht="13.5">
      <c r="A101" s="3117">
        <v>29</v>
      </c>
      <c r="B101" s="3757"/>
      <c r="C101" s="3091" t="s">
        <v>2712</v>
      </c>
      <c r="D101" s="3091" t="s">
        <v>2713</v>
      </c>
      <c r="E101" s="3117">
        <v>0.1</v>
      </c>
      <c r="F101" s="3117">
        <v>15</v>
      </c>
    </row>
    <row r="102" spans="1:6" ht="13.5">
      <c r="A102" s="3117">
        <v>30</v>
      </c>
      <c r="B102" s="3757"/>
      <c r="C102" s="3091" t="s">
        <v>2714</v>
      </c>
      <c r="D102" s="3091" t="s">
        <v>2715</v>
      </c>
      <c r="E102" s="3117">
        <v>0.1</v>
      </c>
      <c r="F102" s="3117">
        <v>15</v>
      </c>
    </row>
    <row r="103" spans="1:6" ht="24">
      <c r="A103" s="3117">
        <v>31</v>
      </c>
      <c r="B103" s="3757"/>
      <c r="C103" s="3091" t="s">
        <v>2716</v>
      </c>
      <c r="D103" s="3091" t="s">
        <v>2717</v>
      </c>
      <c r="E103" s="3117">
        <v>0.1</v>
      </c>
      <c r="F103" s="3117">
        <v>15</v>
      </c>
    </row>
    <row r="104" spans="1:6" ht="24">
      <c r="A104" s="3117">
        <v>32</v>
      </c>
      <c r="B104" s="3757"/>
      <c r="C104" s="3091" t="s">
        <v>2718</v>
      </c>
      <c r="D104" s="3091" t="s">
        <v>2719</v>
      </c>
      <c r="E104" s="3117">
        <v>0.1</v>
      </c>
      <c r="F104" s="3117">
        <v>15</v>
      </c>
    </row>
    <row r="105" spans="1:6" ht="24">
      <c r="A105" s="3117">
        <v>33</v>
      </c>
      <c r="B105" s="3757"/>
      <c r="C105" s="3091" t="s">
        <v>2720</v>
      </c>
      <c r="D105" s="3091" t="s">
        <v>2721</v>
      </c>
      <c r="E105" s="3117">
        <v>0.1</v>
      </c>
      <c r="F105" s="3117">
        <v>15</v>
      </c>
    </row>
    <row r="106" spans="1:6" ht="24">
      <c r="A106" s="3117">
        <v>34</v>
      </c>
      <c r="B106" s="3766"/>
      <c r="C106" s="3091" t="s">
        <v>2722</v>
      </c>
      <c r="D106" s="3091" t="s">
        <v>2723</v>
      </c>
      <c r="E106" s="3117">
        <v>0.1</v>
      </c>
      <c r="F106" s="3117">
        <v>15</v>
      </c>
    </row>
    <row r="107" spans="1:6" ht="24">
      <c r="A107" s="3117">
        <v>35</v>
      </c>
      <c r="B107" s="3762" t="s">
        <v>2724</v>
      </c>
      <c r="C107" s="3117" t="s">
        <v>2725</v>
      </c>
      <c r="D107" s="3091" t="s">
        <v>2726</v>
      </c>
      <c r="E107" s="3117">
        <v>0.15</v>
      </c>
      <c r="F107" s="3117">
        <v>20</v>
      </c>
    </row>
    <row r="108" spans="1:6" ht="13.5">
      <c r="A108" s="3117">
        <v>36</v>
      </c>
      <c r="B108" s="3757"/>
      <c r="C108" s="3117" t="s">
        <v>2727</v>
      </c>
      <c r="D108" s="3091" t="s">
        <v>2728</v>
      </c>
      <c r="E108" s="3117">
        <v>0.15</v>
      </c>
      <c r="F108" s="3117">
        <v>20</v>
      </c>
    </row>
    <row r="109" spans="1:6" ht="13.5">
      <c r="A109" s="3117">
        <v>37</v>
      </c>
      <c r="B109" s="3757"/>
      <c r="C109" s="3117" t="s">
        <v>2729</v>
      </c>
      <c r="D109" s="3091" t="s">
        <v>2730</v>
      </c>
      <c r="E109" s="3117">
        <v>0.15</v>
      </c>
      <c r="F109" s="3117">
        <v>20</v>
      </c>
    </row>
    <row r="110" spans="1:6" ht="13.5">
      <c r="A110" s="3117">
        <v>38</v>
      </c>
      <c r="B110" s="3757"/>
      <c r="C110" s="3117" t="s">
        <v>2731</v>
      </c>
      <c r="D110" s="3091" t="s">
        <v>2732</v>
      </c>
      <c r="E110" s="3117">
        <v>0.1</v>
      </c>
      <c r="F110" s="3117">
        <v>15</v>
      </c>
    </row>
    <row r="111" spans="1:6" ht="24">
      <c r="A111" s="3117">
        <v>39</v>
      </c>
      <c r="B111" s="3757"/>
      <c r="C111" s="3117" t="s">
        <v>2733</v>
      </c>
      <c r="D111" s="3091" t="s">
        <v>2734</v>
      </c>
      <c r="E111" s="3117">
        <v>0.1</v>
      </c>
      <c r="F111" s="3117">
        <v>15</v>
      </c>
    </row>
    <row r="112" spans="1:6" ht="24">
      <c r="A112" s="3117">
        <v>40</v>
      </c>
      <c r="B112" s="3766"/>
      <c r="C112" s="3117" t="s">
        <v>2735</v>
      </c>
      <c r="D112" s="3091" t="s">
        <v>2736</v>
      </c>
      <c r="E112" s="3117">
        <v>0.1</v>
      </c>
      <c r="F112" s="3117">
        <v>15</v>
      </c>
    </row>
    <row r="113" spans="1:6" ht="13.5">
      <c r="A113" s="3117">
        <v>41</v>
      </c>
      <c r="B113" s="3767" t="s">
        <v>2737</v>
      </c>
      <c r="C113" s="3117" t="s">
        <v>2738</v>
      </c>
      <c r="D113" s="3091" t="s">
        <v>2739</v>
      </c>
      <c r="E113" s="3117">
        <v>0.1</v>
      </c>
      <c r="F113" s="3117">
        <v>15</v>
      </c>
    </row>
    <row r="114" spans="1:6" ht="13.5">
      <c r="A114" s="3117">
        <v>42</v>
      </c>
      <c r="B114" s="3767"/>
      <c r="C114" s="3117" t="s">
        <v>2740</v>
      </c>
      <c r="D114" s="3091" t="s">
        <v>2741</v>
      </c>
      <c r="E114" s="3117">
        <v>0.1</v>
      </c>
      <c r="F114" s="3117">
        <v>15</v>
      </c>
    </row>
    <row r="115" spans="1:6" ht="24">
      <c r="A115" s="3117">
        <v>43</v>
      </c>
      <c r="B115" s="3767"/>
      <c r="C115" s="3117" t="s">
        <v>2742</v>
      </c>
      <c r="D115" s="3091" t="s">
        <v>2743</v>
      </c>
      <c r="E115" s="3117">
        <v>0.1</v>
      </c>
      <c r="F115" s="3117">
        <v>15</v>
      </c>
    </row>
    <row r="116" spans="1:6" ht="13.5">
      <c r="A116" s="3117">
        <v>44</v>
      </c>
      <c r="B116" s="3762" t="s">
        <v>2744</v>
      </c>
      <c r="C116" s="3117" t="s">
        <v>2745</v>
      </c>
      <c r="D116" s="3091" t="s">
        <v>2746</v>
      </c>
      <c r="E116" s="3117">
        <v>0.1</v>
      </c>
      <c r="F116" s="3117">
        <v>15</v>
      </c>
    </row>
    <row r="117" spans="1:6" ht="24">
      <c r="A117" s="3117">
        <v>45</v>
      </c>
      <c r="B117" s="3766"/>
      <c r="C117" s="3091" t="s">
        <v>2747</v>
      </c>
      <c r="D117" s="3091" t="s">
        <v>2748</v>
      </c>
      <c r="E117" s="3117">
        <v>0.1</v>
      </c>
      <c r="F117" s="3117">
        <v>15</v>
      </c>
    </row>
    <row r="118" spans="1:6" ht="24">
      <c r="A118" s="3117">
        <v>46</v>
      </c>
      <c r="B118" s="3762" t="s">
        <v>2749</v>
      </c>
      <c r="C118" s="3117" t="s">
        <v>2750</v>
      </c>
      <c r="D118" s="3091" t="s">
        <v>2751</v>
      </c>
      <c r="E118" s="3117">
        <v>0.1</v>
      </c>
      <c r="F118" s="3117">
        <v>15</v>
      </c>
    </row>
    <row r="119" spans="1:6" ht="24">
      <c r="A119" s="3117">
        <v>47</v>
      </c>
      <c r="B119" s="3766"/>
      <c r="C119" s="3117" t="s">
        <v>2752</v>
      </c>
      <c r="D119" s="3091" t="s">
        <v>2753</v>
      </c>
      <c r="E119" s="3117">
        <v>0.1</v>
      </c>
      <c r="F119" s="3117">
        <v>15</v>
      </c>
    </row>
    <row r="120" spans="1:6" ht="13.5">
      <c r="A120" s="3117">
        <v>48</v>
      </c>
      <c r="B120" s="3762" t="s">
        <v>2754</v>
      </c>
      <c r="C120" s="3117" t="s">
        <v>2755</v>
      </c>
      <c r="D120" s="3091" t="s">
        <v>2756</v>
      </c>
      <c r="E120" s="3117">
        <v>0.1</v>
      </c>
      <c r="F120" s="3117">
        <v>15</v>
      </c>
    </row>
    <row r="121" spans="1:6" ht="13.5">
      <c r="A121" s="3117">
        <v>49</v>
      </c>
      <c r="B121" s="3766"/>
      <c r="C121" s="3117" t="s">
        <v>2757</v>
      </c>
      <c r="D121" s="3091" t="s">
        <v>2758</v>
      </c>
      <c r="E121" s="3117">
        <v>0.1</v>
      </c>
      <c r="F121" s="3117">
        <v>15</v>
      </c>
    </row>
    <row r="122" spans="1:6" ht="24">
      <c r="A122" s="3117">
        <v>50</v>
      </c>
      <c r="B122" s="3767" t="s">
        <v>2759</v>
      </c>
      <c r="C122" s="3117" t="s">
        <v>2760</v>
      </c>
      <c r="D122" s="3091" t="s">
        <v>2761</v>
      </c>
      <c r="E122" s="3117">
        <v>0.1</v>
      </c>
      <c r="F122" s="3117">
        <v>15</v>
      </c>
    </row>
    <row r="123" spans="1:6" ht="24">
      <c r="A123" s="3117">
        <v>51</v>
      </c>
      <c r="B123" s="3767"/>
      <c r="C123" s="3117" t="s">
        <v>2762</v>
      </c>
      <c r="D123" s="3091" t="s">
        <v>2763</v>
      </c>
      <c r="E123" s="3117">
        <v>0.1</v>
      </c>
      <c r="F123" s="3117">
        <v>15</v>
      </c>
    </row>
    <row r="124" spans="1:6" ht="24">
      <c r="A124" s="3117">
        <v>52</v>
      </c>
      <c r="B124" s="3767" t="s">
        <v>2764</v>
      </c>
      <c r="C124" s="3117" t="s">
        <v>2765</v>
      </c>
      <c r="D124" s="3091" t="s">
        <v>2766</v>
      </c>
      <c r="E124" s="3117">
        <v>0.1</v>
      </c>
      <c r="F124" s="3117">
        <v>15</v>
      </c>
    </row>
    <row r="125" spans="1:6" ht="24">
      <c r="A125" s="3117">
        <v>53</v>
      </c>
      <c r="B125" s="376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7" t="s">
        <v>2772</v>
      </c>
      <c r="C127" s="3117" t="s">
        <v>2773</v>
      </c>
      <c r="D127" s="3091" t="s">
        <v>2774</v>
      </c>
      <c r="E127" s="3117">
        <v>0.1</v>
      </c>
      <c r="F127" s="3117">
        <v>15</v>
      </c>
    </row>
    <row r="128" spans="1:6" ht="13.5">
      <c r="A128" s="3117">
        <v>56</v>
      </c>
      <c r="B128" s="3767"/>
      <c r="C128" s="3117" t="s">
        <v>2775</v>
      </c>
      <c r="D128" s="3091" t="s">
        <v>2776</v>
      </c>
      <c r="E128" s="3117">
        <v>0.1</v>
      </c>
      <c r="F128" s="3117">
        <v>15</v>
      </c>
    </row>
    <row r="129" spans="1:6" ht="24">
      <c r="A129" s="3117">
        <v>57</v>
      </c>
      <c r="B129" s="3767"/>
      <c r="C129" s="3117" t="s">
        <v>2777</v>
      </c>
      <c r="D129" s="3091" t="s">
        <v>2778</v>
      </c>
      <c r="E129" s="3117">
        <v>0.1</v>
      </c>
      <c r="F129" s="3117">
        <v>15</v>
      </c>
    </row>
    <row r="130" spans="1:6" ht="24">
      <c r="A130" s="3117">
        <v>58</v>
      </c>
      <c r="B130" s="3767" t="s">
        <v>2779</v>
      </c>
      <c r="C130" s="3117" t="s">
        <v>2780</v>
      </c>
      <c r="D130" s="3091" t="s">
        <v>2781</v>
      </c>
      <c r="E130" s="3117">
        <v>0.1</v>
      </c>
      <c r="F130" s="3117">
        <v>15</v>
      </c>
    </row>
    <row r="131" spans="1:6" ht="13.5">
      <c r="A131" s="3117">
        <v>59</v>
      </c>
      <c r="B131" s="3767"/>
      <c r="C131" s="3117" t="s">
        <v>2782</v>
      </c>
      <c r="D131" s="3091" t="s">
        <v>2783</v>
      </c>
      <c r="E131" s="3117">
        <v>0.1</v>
      </c>
      <c r="F131" s="3117">
        <v>15</v>
      </c>
    </row>
    <row r="132" spans="1:6" ht="13.5">
      <c r="A132" s="3117">
        <v>60</v>
      </c>
      <c r="B132" s="3762" t="s">
        <v>2784</v>
      </c>
      <c r="C132" s="3117" t="s">
        <v>2785</v>
      </c>
      <c r="D132" s="3091" t="s">
        <v>2786</v>
      </c>
      <c r="E132" s="3117">
        <v>0.1</v>
      </c>
      <c r="F132" s="3117">
        <v>15</v>
      </c>
    </row>
    <row r="133" spans="1:6" ht="13.5">
      <c r="A133" s="3117">
        <v>61</v>
      </c>
      <c r="B133" s="376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7" t="s">
        <v>2792</v>
      </c>
      <c r="C135" s="3117" t="s">
        <v>2793</v>
      </c>
      <c r="D135" s="3091" t="s">
        <v>2794</v>
      </c>
      <c r="E135" s="3117">
        <v>0.1</v>
      </c>
      <c r="F135" s="3117">
        <v>15</v>
      </c>
    </row>
    <row r="136" spans="1:6" ht="13.5">
      <c r="A136" s="3117">
        <v>64</v>
      </c>
      <c r="B136" s="376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28124</v>
      </c>
      <c r="C2" s="2" t="s">
        <v>106</v>
      </c>
      <c r="D2" s="199"/>
      <c r="E2" s="199"/>
      <c r="F2" s="199"/>
      <c r="G2" s="199"/>
    </row>
    <row r="3" spans="1:7" s="200" customFormat="1" ht="18" customHeight="1" thickBot="1">
      <c r="A3" s="203" t="s">
        <v>58</v>
      </c>
      <c r="B3" s="204">
        <f ca="1">ROUND(B2*10000/'数据-汇总表'!E3,0)</f>
        <v>4431768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63.46</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63.46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63.46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3</v>
      </c>
      <c r="D45" s="235">
        <f>C47</f>
        <v>3.0000000000000001E-3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17</v>
      </c>
      <c r="D51" s="232"/>
      <c r="E51" s="232"/>
      <c r="F51" s="264"/>
      <c r="G51" s="234" t="s">
        <v>37</v>
      </c>
    </row>
    <row r="52" spans="1:7" s="208" customFormat="1" ht="16.5" thickBot="1">
      <c r="A52" s="265" t="s">
        <v>38</v>
      </c>
      <c r="B52" s="266"/>
      <c r="C52" s="267">
        <f ca="1">C31+C51</f>
        <v>28124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估价结果一览表（市场价值不需“结果表-1”）</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95</v>
      </c>
      <c r="E5" s="1491"/>
    </row>
    <row r="6" spans="1:5" ht="15.75">
      <c r="A6" s="1491"/>
      <c r="B6" s="3451"/>
      <c r="C6" s="1494" t="s">
        <v>911</v>
      </c>
      <c r="D6" s="850" t="str">
        <f ca="1">NUMBERSTRING(INT(D5*10000),2)&amp;"元整"</f>
        <v>玖拾伍万元整</v>
      </c>
      <c r="E6" s="1491"/>
    </row>
    <row r="7" spans="1:5" ht="15.75">
      <c r="A7" s="1491"/>
      <c r="B7" s="3456"/>
      <c r="C7" s="1495" t="s">
        <v>912</v>
      </c>
      <c r="D7" s="851">
        <f ca="1">结果表!H102</f>
        <v>15043</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95</v>
      </c>
      <c r="E13" s="1491"/>
    </row>
    <row r="14" spans="1:5" ht="15.75">
      <c r="A14" s="1491"/>
      <c r="B14" s="3451"/>
      <c r="C14" s="1494" t="s">
        <v>911</v>
      </c>
      <c r="D14" s="850" t="str">
        <f ca="1">NUMBERSTRING(INT(D13*10000),2)&amp;"元整"</f>
        <v>玖拾伍万元整</v>
      </c>
      <c r="E14" s="1491"/>
    </row>
    <row r="15" spans="1:5" ht="15">
      <c r="A15" s="1491"/>
      <c r="B15" s="3456"/>
      <c r="C15" s="1495" t="s">
        <v>921</v>
      </c>
      <c r="D15" s="859">
        <f ca="1">结果表!H108</f>
        <v>15043</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2846</v>
      </c>
      <c r="B1" s="3770"/>
      <c r="C1" s="3770"/>
      <c r="D1" s="3770"/>
      <c r="E1" s="3770"/>
      <c r="F1" s="3770"/>
      <c r="G1" s="3771"/>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68"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69"/>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3188</v>
      </c>
      <c r="B1" s="3772"/>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3" t="s">
        <v>3239</v>
      </c>
      <c r="B1" s="3773"/>
      <c r="C1" s="3773"/>
      <c r="D1" s="3773"/>
      <c r="E1" s="3773"/>
      <c r="F1" s="3774"/>
    </row>
    <row r="2" spans="1:6" ht="15">
      <c r="A2" s="3290" t="s">
        <v>3240</v>
      </c>
      <c r="B2" s="3291"/>
      <c r="C2" s="3291"/>
      <c r="D2" s="3291"/>
      <c r="E2" s="3291"/>
      <c r="F2" s="3291"/>
    </row>
    <row r="3" spans="1:6" ht="15">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44942</v>
      </c>
      <c r="B1" s="3209" t="s">
        <v>2845</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75" t="s">
        <v>2833</v>
      </c>
      <c r="S21" s="3776"/>
      <c r="T21" s="3776"/>
      <c r="U21" s="3776"/>
      <c r="V21" s="3776"/>
      <c r="W21" s="3776"/>
      <c r="X21" s="3164"/>
      <c r="Y21" s="3775" t="s">
        <v>2834</v>
      </c>
      <c r="Z21" s="3776"/>
      <c r="AA21" s="3776"/>
      <c r="AB21" s="3776"/>
      <c r="AC21" s="3776"/>
      <c r="AD21" s="3776"/>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27" workbookViewId="0">
      <selection activeCell="H152" sqref="H152"/>
    </sheetView>
  </sheetViews>
  <sheetFormatPr defaultRowHeight="13.5"/>
  <sheetData>
    <row r="146" spans="2:8">
      <c r="C146" s="3788" t="s">
        <v>3383</v>
      </c>
      <c r="D146">
        <v>79.52</v>
      </c>
      <c r="E146">
        <v>15720</v>
      </c>
      <c r="F146" s="3788" t="s">
        <v>3384</v>
      </c>
      <c r="G146" s="3788" t="s">
        <v>3386</v>
      </c>
      <c r="H146" s="3788" t="s">
        <v>3388</v>
      </c>
    </row>
    <row r="147" spans="2:8">
      <c r="C147" t="str">
        <f>C146</f>
        <v>安太里</v>
      </c>
      <c r="D147">
        <v>45.46</v>
      </c>
      <c r="E147">
        <v>14299</v>
      </c>
      <c r="F147" s="3788" t="s">
        <v>3385</v>
      </c>
      <c r="G147" s="3788" t="s">
        <v>3387</v>
      </c>
      <c r="H147" s="3788" t="s">
        <v>3389</v>
      </c>
    </row>
    <row r="148" spans="2:8">
      <c r="C148" t="str">
        <f>C146</f>
        <v>安太里</v>
      </c>
      <c r="D148">
        <v>42.11</v>
      </c>
      <c r="E148">
        <v>18523</v>
      </c>
      <c r="F148" s="3788" t="s">
        <v>3384</v>
      </c>
      <c r="G148" s="3788" t="s">
        <v>3386</v>
      </c>
      <c r="H148" s="3788" t="s">
        <v>3388</v>
      </c>
    </row>
    <row r="155" spans="2:8">
      <c r="B155">
        <v>1</v>
      </c>
      <c r="C155" s="3788"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估价结果一览表</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63.46</v>
      </c>
      <c r="C4" s="854">
        <f>项目基本情况!C18</f>
        <v>0</v>
      </c>
      <c r="D4" s="854" t="e">
        <f ca="1">结果表!D118</f>
        <v>#REF!</v>
      </c>
      <c r="E4" s="854" t="e">
        <f ca="1">结果表!E118</f>
        <v>#REF!</v>
      </c>
      <c r="F4" s="854" t="e">
        <f ca="1">结果表!F118</f>
        <v>#REF!</v>
      </c>
      <c r="G4" s="854" t="e">
        <f ca="1">结果表!G118</f>
        <v>#REF!</v>
      </c>
      <c r="H4" s="854">
        <f ca="1">结果表!H118</f>
        <v>95</v>
      </c>
      <c r="I4" s="854">
        <f ca="1">结果表!I118</f>
        <v>15043</v>
      </c>
    </row>
    <row r="5" spans="1:9" ht="30" customHeight="1">
      <c r="A5" s="3462" t="s">
        <v>927</v>
      </c>
      <c r="B5" s="3462"/>
      <c r="C5" s="3462"/>
      <c r="D5" s="3462" t="e">
        <f ca="1">结果表!D119</f>
        <v>#REF!</v>
      </c>
      <c r="E5" s="3462"/>
      <c r="F5" s="3462" t="e">
        <f ca="1">结果表!F119</f>
        <v>#REF!</v>
      </c>
      <c r="G5" s="3462"/>
      <c r="H5" s="3462" t="str">
        <f ca="1">结果表!H119</f>
        <v>玖拾伍万元整</v>
      </c>
      <c r="I5" s="3462"/>
    </row>
    <row r="6" spans="1:9" ht="15.75">
      <c r="A6" s="3463" t="str">
        <f>结果表!A120</f>
        <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
      </c>
      <c r="B8" s="3463"/>
      <c r="C8" s="3463"/>
      <c r="D8" s="3463">
        <f ca="1">结果表!D122</f>
        <v>95</v>
      </c>
      <c r="E8" s="3463"/>
      <c r="F8" s="3463"/>
      <c r="G8" s="3463"/>
      <c r="H8" s="3463"/>
      <c r="I8" s="3463"/>
    </row>
    <row r="9" spans="1:9" ht="15">
      <c r="A9" s="3462" t="s">
        <v>927</v>
      </c>
      <c r="B9" s="3462"/>
      <c r="C9" s="3462"/>
      <c r="D9" s="3462" t="str">
        <f ca="1">结果表!D123</f>
        <v>玖拾伍万元整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44957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2"/>
      <c r="E18" s="3488" t="s">
        <v>2162</v>
      </c>
      <c r="F18" s="3487"/>
      <c r="G18" s="348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2023-01-31T05:29:43Z</dcterms:modified>
</cp:coreProperties>
</file>