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经营" sheetId="79" r:id="rId45"/>
    <sheet name="土地案例" sheetId="77" r:id="rId46"/>
    <sheet name="财务报表及预计年收入" sheetId="78" r:id="rId47"/>
    <sheet name="面积明细" sheetId="80"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区片价!$I$1:$I$20</definedName>
    <definedName name="二级分类" localSheetId="44">[1]修正!$C$17:$C$39</definedName>
    <definedName name="二级分类">修正!$C$17:$C$39</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区片价!$M$1:$M$49</definedName>
    <definedName name="内部装修维护情况" localSheetId="44">[1]定义!$U$1:$U$6</definedName>
    <definedName name="内部装修维护情况">定义!$U$1:$U$6</definedName>
    <definedName name="判定" localSheetId="44">[2]定义!$D$1:$D$4</definedName>
    <definedName name="判定">定义!$D$1:$D$4</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区片价!$J$1:$J$21</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[1]修正!$C$59:$C$119</definedName>
    <definedName name="商业街名称">修正!$C$59:$C$119</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区片价!$L$1:$L$35</definedName>
    <definedName name="项目类型" localSheetId="44">'[2]数据-汇总表'!$C$17:$C$26</definedName>
    <definedName name="项目类型">'数据-汇总表'!$C$17:$C$26</definedName>
    <definedName name="写字楼等级" localSheetId="44">'[1]比较法-办公'!$B$113:$M$113</definedName>
    <definedName name="写字楼等级">'比较法-办公'!$B$113:$M$113</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[1]估价师及机构信息!$A$3:$A$16</definedName>
    <definedName name="注册房地产估价师">估价师及机构信息!$A$3:$A$16</definedName>
  </definedNames>
  <calcPr calcId="144525" iterate="1"/>
</workbook>
</file>

<file path=xl/calcChain.xml><?xml version="1.0" encoding="utf-8"?>
<calcChain xmlns="http://schemas.openxmlformats.org/spreadsheetml/2006/main">
  <c r="V9" i="80" l="1"/>
  <c r="V8" i="80"/>
  <c r="V3" i="80"/>
  <c r="V4" i="80"/>
  <c r="V5" i="80"/>
  <c r="V6" i="80"/>
  <c r="V7" i="80"/>
  <c r="R3" i="80" l="1"/>
  <c r="O24" i="78" l="1"/>
  <c r="K18" i="78"/>
  <c r="L18" i="78"/>
  <c r="Q79" i="78"/>
  <c r="C36" i="79"/>
  <c r="D6" i="79"/>
  <c r="D15" i="79" s="1"/>
  <c r="B5" i="79"/>
  <c r="G6" i="79" l="1"/>
  <c r="T6" i="80"/>
  <c r="T5" i="80"/>
  <c r="T7" i="80" l="1"/>
  <c r="T8" i="80" s="1"/>
  <c r="R76" i="78"/>
  <c r="R77" i="78"/>
  <c r="R78" i="78"/>
  <c r="R79" i="78"/>
  <c r="R4" i="80"/>
  <c r="R5" i="80"/>
  <c r="R6" i="80"/>
  <c r="R7" i="80"/>
  <c r="Q8" i="80"/>
  <c r="Q9" i="80" s="1"/>
  <c r="Q3" i="80"/>
  <c r="P8" i="80"/>
  <c r="R8" i="80" s="1"/>
  <c r="Q78" i="78" s="1"/>
  <c r="P3" i="80"/>
  <c r="P9" i="80" s="1"/>
  <c r="R9" i="80" l="1"/>
  <c r="K13" i="3"/>
  <c r="Q75" i="78"/>
  <c r="Q77" i="78"/>
  <c r="Q74" i="78"/>
  <c r="Q80" i="78" s="1"/>
  <c r="Q76" i="78"/>
  <c r="R75" i="78"/>
  <c r="R80" i="78" l="1"/>
  <c r="I13" i="3"/>
  <c r="B4" i="79"/>
  <c r="C34" i="79"/>
  <c r="C30" i="79"/>
  <c r="C23" i="79"/>
  <c r="C29" i="79" s="1"/>
  <c r="C35" i="79"/>
  <c r="D16" i="79"/>
  <c r="E14" i="79"/>
  <c r="D47" i="79"/>
  <c r="D45" i="79"/>
  <c r="N43" i="79" l="1"/>
  <c r="R43" i="79" s="1"/>
  <c r="R40" i="79"/>
  <c r="R41" i="79" s="1"/>
  <c r="R34" i="79"/>
  <c r="R33" i="79"/>
  <c r="R27" i="79"/>
  <c r="M24" i="79"/>
  <c r="R23" i="79"/>
  <c r="R22" i="79"/>
  <c r="R21" i="79"/>
  <c r="N19" i="79"/>
  <c r="R18" i="79"/>
  <c r="R17" i="79"/>
  <c r="R16" i="79"/>
  <c r="M14" i="79"/>
  <c r="N14" i="79" s="1"/>
  <c r="R13" i="79"/>
  <c r="R12" i="79"/>
  <c r="R11" i="79"/>
  <c r="R10" i="79"/>
  <c r="R9" i="79"/>
  <c r="R8" i="79"/>
  <c r="R7" i="79"/>
  <c r="R14" i="79" s="1"/>
  <c r="R4" i="79"/>
  <c r="R3" i="79"/>
  <c r="R35" i="79" l="1"/>
  <c r="U34" i="79" s="1"/>
  <c r="D23" i="79"/>
  <c r="R25" i="79"/>
  <c r="R24" i="79"/>
  <c r="R19" i="79"/>
  <c r="R5" i="79"/>
  <c r="U5" i="79" s="1"/>
  <c r="D9" i="79"/>
  <c r="D10" i="79"/>
  <c r="D17" i="79"/>
  <c r="D18" i="79"/>
  <c r="D26" i="79" l="1"/>
  <c r="E23" i="79"/>
  <c r="D29" i="79"/>
  <c r="D32" i="79" s="1"/>
  <c r="D38" i="79" s="1"/>
  <c r="E29" i="79" l="1"/>
  <c r="E26" i="79"/>
  <c r="E32" i="79" l="1"/>
  <c r="E38" i="79" s="1"/>
  <c r="I38" i="39" l="1"/>
  <c r="G38" i="39"/>
  <c r="E38" i="39"/>
  <c r="C38" i="39"/>
  <c r="I7" i="39"/>
  <c r="G7" i="39"/>
  <c r="E7" i="39"/>
  <c r="I5" i="39"/>
  <c r="G5" i="39"/>
  <c r="E5" i="39"/>
  <c r="N6" i="1" l="1"/>
  <c r="Y6" i="1" s="1"/>
  <c r="G19" i="6"/>
  <c r="F19" i="6"/>
  <c r="A3" i="3"/>
  <c r="D14" i="79" s="1"/>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O20" i="71"/>
  <c r="N20"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21" i="71"/>
  <c r="P21" i="71"/>
  <c r="O21" i="71"/>
  <c r="N21"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c r="E109" i="9"/>
  <c r="A124" i="9"/>
  <c r="B44" i="72"/>
  <c r="B42" i="72"/>
  <c r="B69" i="72"/>
  <c r="B68" i="72"/>
  <c r="B63" i="72"/>
  <c r="B62" i="72"/>
  <c r="B16" i="72"/>
  <c r="B60" i="72"/>
  <c r="B66" i="72"/>
  <c r="B10" i="72"/>
  <c r="C53" i="10"/>
  <c r="B51" i="10"/>
  <c r="A18" i="51"/>
  <c r="B13" i="72" s="1"/>
  <c r="B49" i="48"/>
  <c r="B5" i="72" s="1"/>
  <c r="I19" i="43"/>
  <c r="D84" i="71"/>
  <c r="F83" i="71"/>
  <c r="F82" i="71" s="1"/>
  <c r="F81" i="71" s="1"/>
  <c r="E83" i="71"/>
  <c r="E82" i="71"/>
  <c r="E81" i="71" s="1"/>
  <c r="C83" i="71"/>
  <c r="D83" i="71" s="1"/>
  <c r="B83" i="71"/>
  <c r="B82" i="71" s="1"/>
  <c r="B81" i="71" s="1"/>
  <c r="D80" i="71"/>
  <c r="F79" i="71"/>
  <c r="F78" i="71" s="1"/>
  <c r="F77" i="71" s="1"/>
  <c r="E79" i="71"/>
  <c r="E78" i="71"/>
  <c r="E77" i="71" s="1"/>
  <c r="C79" i="71"/>
  <c r="D79" i="71" s="1"/>
  <c r="B79" i="71"/>
  <c r="B78" i="71" s="1"/>
  <c r="B77" i="71"/>
  <c r="D76" i="71"/>
  <c r="Q75" i="71"/>
  <c r="P75" i="71"/>
  <c r="O75" i="71"/>
  <c r="N75" i="71"/>
  <c r="F75" i="71"/>
  <c r="V75" i="71" s="1"/>
  <c r="E75" i="71"/>
  <c r="U75" i="71" s="1"/>
  <c r="C75" i="7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F63" i="71"/>
  <c r="V63" i="71"/>
  <c r="E63" i="71"/>
  <c r="P63" i="71"/>
  <c r="C63" i="71"/>
  <c r="B63" i="71"/>
  <c r="F62" i="71"/>
  <c r="D60" i="71"/>
  <c r="Q59" i="71"/>
  <c r="P59" i="71"/>
  <c r="O59" i="71"/>
  <c r="N59" i="71"/>
  <c r="Q58" i="71"/>
  <c r="P58" i="71"/>
  <c r="O58" i="71"/>
  <c r="N58" i="71"/>
  <c r="Q57" i="71"/>
  <c r="P57" i="71"/>
  <c r="O57" i="71"/>
  <c r="N57" i="71"/>
  <c r="Q56" i="71"/>
  <c r="F57" i="71"/>
  <c r="F58" i="71" s="1"/>
  <c r="F59" i="71"/>
  <c r="V59" i="71" s="1"/>
  <c r="P56" i="71"/>
  <c r="E57" i="71" s="1"/>
  <c r="O56" i="71"/>
  <c r="C57" i="71" s="1"/>
  <c r="N56" i="71"/>
  <c r="B57" i="71" s="1"/>
  <c r="B58" i="71"/>
  <c r="B59" i="71" s="1"/>
  <c r="S59" i="71" s="1"/>
  <c r="D56" i="71"/>
  <c r="Q55" i="71"/>
  <c r="P55" i="71"/>
  <c r="O55" i="71"/>
  <c r="N55" i="71"/>
  <c r="Q54" i="71"/>
  <c r="P54" i="71"/>
  <c r="O54" i="71"/>
  <c r="N54" i="71"/>
  <c r="Q53" i="71"/>
  <c r="P53" i="71"/>
  <c r="O53" i="71"/>
  <c r="N53" i="71"/>
  <c r="Q52" i="71"/>
  <c r="F53" i="71" s="1"/>
  <c r="F54" i="71"/>
  <c r="F55" i="71" s="1"/>
  <c r="V55" i="71" s="1"/>
  <c r="P52" i="71"/>
  <c r="E53" i="71"/>
  <c r="E54" i="71" s="1"/>
  <c r="O52" i="71"/>
  <c r="C53" i="71"/>
  <c r="C54" i="71" s="1"/>
  <c r="C55" i="71" s="1"/>
  <c r="N52" i="71"/>
  <c r="B53" i="71"/>
  <c r="B54" i="71" s="1"/>
  <c r="B55" i="71"/>
  <c r="S55" i="71" s="1"/>
  <c r="D52" i="71"/>
  <c r="Q51" i="71"/>
  <c r="P51" i="71"/>
  <c r="O51" i="71"/>
  <c r="N51" i="71"/>
  <c r="Q50" i="71"/>
  <c r="P50" i="71"/>
  <c r="O50" i="71"/>
  <c r="N50" i="71"/>
  <c r="Q49" i="71"/>
  <c r="P49" i="71"/>
  <c r="O49" i="71"/>
  <c r="N49" i="71"/>
  <c r="Q48" i="71"/>
  <c r="F49" i="71" s="1"/>
  <c r="F50" i="71" s="1"/>
  <c r="F51" i="71" s="1"/>
  <c r="V51" i="71" s="1"/>
  <c r="P48" i="71"/>
  <c r="E49" i="71"/>
  <c r="E50" i="71" s="1"/>
  <c r="E51" i="71" s="1"/>
  <c r="O48" i="71"/>
  <c r="C49" i="71" s="1"/>
  <c r="C50" i="71" s="1"/>
  <c r="C51" i="71" s="1"/>
  <c r="N48" i="71"/>
  <c r="B49" i="71" s="1"/>
  <c r="B50" i="71" s="1"/>
  <c r="B51" i="71" s="1"/>
  <c r="S51" i="71"/>
  <c r="D48" i="71"/>
  <c r="Q47" i="71"/>
  <c r="P47" i="71"/>
  <c r="O47" i="71"/>
  <c r="N47" i="71"/>
  <c r="Q46" i="71"/>
  <c r="P46" i="71"/>
  <c r="O46" i="71"/>
  <c r="N46" i="71"/>
  <c r="Q45" i="71"/>
  <c r="P45" i="71"/>
  <c r="O45" i="71"/>
  <c r="N45" i="71"/>
  <c r="Q44" i="71"/>
  <c r="F45" i="71" s="1"/>
  <c r="F46" i="71" s="1"/>
  <c r="F47" i="71" s="1"/>
  <c r="V47" i="71" s="1"/>
  <c r="P44" i="71"/>
  <c r="E45" i="71" s="1"/>
  <c r="E46" i="71"/>
  <c r="E47" i="71" s="1"/>
  <c r="U47" i="71" s="1"/>
  <c r="O44" i="71"/>
  <c r="C45" i="71"/>
  <c r="N44" i="71"/>
  <c r="B45" i="71"/>
  <c r="B46" i="71" s="1"/>
  <c r="B47" i="71"/>
  <c r="S47" i="71" s="1"/>
  <c r="D44" i="71"/>
  <c r="T43" i="71"/>
  <c r="Q43" i="71"/>
  <c r="P43" i="71"/>
  <c r="O43" i="71"/>
  <c r="N43" i="71"/>
  <c r="D43" i="71"/>
  <c r="Q42" i="71"/>
  <c r="P42" i="71"/>
  <c r="O42" i="71"/>
  <c r="N42" i="71"/>
  <c r="Q41" i="71"/>
  <c r="P41" i="71"/>
  <c r="O41" i="71"/>
  <c r="N41" i="71"/>
  <c r="Q40" i="71"/>
  <c r="F41" i="71" s="1"/>
  <c r="F42" i="71" s="1"/>
  <c r="F43" i="71" s="1"/>
  <c r="V43" i="71" s="1"/>
  <c r="P40" i="71"/>
  <c r="E41" i="71" s="1"/>
  <c r="E42" i="71"/>
  <c r="E43" i="71" s="1"/>
  <c r="U43" i="71" s="1"/>
  <c r="O40" i="71"/>
  <c r="C41" i="71"/>
  <c r="N40" i="71"/>
  <c r="B41" i="71"/>
  <c r="B42" i="71" s="1"/>
  <c r="B43" i="71"/>
  <c r="S43" i="71" s="1"/>
  <c r="D40" i="71"/>
  <c r="Q39" i="71"/>
  <c r="P39" i="71"/>
  <c r="O39" i="71"/>
  <c r="N39" i="71"/>
  <c r="Q38" i="71"/>
  <c r="P38" i="71"/>
  <c r="O38" i="71"/>
  <c r="N38" i="71"/>
  <c r="Q37" i="71"/>
  <c r="P37" i="71"/>
  <c r="O37" i="71"/>
  <c r="N37" i="71"/>
  <c r="Q36" i="71"/>
  <c r="F37" i="71" s="1"/>
  <c r="F38" i="71" s="1"/>
  <c r="F39" i="71" s="1"/>
  <c r="V39" i="71" s="1"/>
  <c r="P36" i="71"/>
  <c r="E37" i="71" s="1"/>
  <c r="E38" i="71"/>
  <c r="E39" i="71" s="1"/>
  <c r="U39" i="71" s="1"/>
  <c r="O36" i="71"/>
  <c r="C37" i="71"/>
  <c r="D37" i="71" s="1"/>
  <c r="N36" i="71"/>
  <c r="B37" i="71"/>
  <c r="B38" i="71" s="1"/>
  <c r="B39" i="71"/>
  <c r="S39" i="71" s="1"/>
  <c r="D36" i="71"/>
  <c r="Q35" i="71"/>
  <c r="P35" i="71"/>
  <c r="O35" i="71"/>
  <c r="N35" i="71"/>
  <c r="Q34" i="71"/>
  <c r="AB34" i="71" s="1"/>
  <c r="P34" i="71"/>
  <c r="AA34" i="71"/>
  <c r="O34" i="71"/>
  <c r="Y34" i="71"/>
  <c r="Z34" i="71" s="1"/>
  <c r="N34" i="71"/>
  <c r="Q33" i="71"/>
  <c r="P33" i="71"/>
  <c r="AA33" i="71" s="1"/>
  <c r="O33" i="71"/>
  <c r="Y33" i="71"/>
  <c r="Z33" i="71" s="1"/>
  <c r="N33" i="71"/>
  <c r="X33" i="71" s="1"/>
  <c r="V35" i="71"/>
  <c r="Q32" i="71"/>
  <c r="F33" i="71" s="1"/>
  <c r="F34" i="71" s="1"/>
  <c r="F35" i="71" s="1"/>
  <c r="P32" i="71"/>
  <c r="E33" i="71" s="1"/>
  <c r="E34" i="71" s="1"/>
  <c r="E35" i="71" s="1"/>
  <c r="U35" i="71" s="1"/>
  <c r="O32" i="71"/>
  <c r="N32" i="71"/>
  <c r="D32" i="71"/>
  <c r="Q31" i="71"/>
  <c r="P31" i="71"/>
  <c r="O31" i="71"/>
  <c r="Y31" i="71"/>
  <c r="Z31" i="71" s="1"/>
  <c r="N31" i="71"/>
  <c r="Q30" i="71"/>
  <c r="AB30" i="71"/>
  <c r="P30" i="71"/>
  <c r="O30" i="71"/>
  <c r="N30" i="71"/>
  <c r="Q29" i="71"/>
  <c r="P29" i="71"/>
  <c r="O29" i="71"/>
  <c r="N29" i="71"/>
  <c r="Q28" i="71"/>
  <c r="F29" i="71" s="1"/>
  <c r="F30" i="71" s="1"/>
  <c r="F31" i="71" s="1"/>
  <c r="V31" i="71" s="1"/>
  <c r="P28" i="71"/>
  <c r="O28" i="71"/>
  <c r="N28" i="71"/>
  <c r="D28" i="71"/>
  <c r="Q27" i="71"/>
  <c r="P27" i="71"/>
  <c r="O27" i="71"/>
  <c r="Y27" i="71"/>
  <c r="Z27" i="71" s="1"/>
  <c r="N27" i="71"/>
  <c r="Q26" i="71"/>
  <c r="P26" i="71"/>
  <c r="O26" i="71"/>
  <c r="N26" i="71"/>
  <c r="Q25" i="71"/>
  <c r="P25" i="71"/>
  <c r="O25" i="71"/>
  <c r="N25" i="71"/>
  <c r="Q24" i="71"/>
  <c r="F25" i="71" s="1"/>
  <c r="F26" i="71" s="1"/>
  <c r="F27" i="71" s="1"/>
  <c r="V27" i="71" s="1"/>
  <c r="P24" i="71"/>
  <c r="O24" i="71"/>
  <c r="N24" i="71"/>
  <c r="D24" i="71"/>
  <c r="O23" i="71"/>
  <c r="N23" i="71"/>
  <c r="B25" i="71"/>
  <c r="B29" i="71"/>
  <c r="B30" i="71" s="1"/>
  <c r="B31" i="71"/>
  <c r="S31" i="71" s="1"/>
  <c r="AA32" i="71"/>
  <c r="E29" i="71"/>
  <c r="C25" i="71"/>
  <c r="AB24" i="71"/>
  <c r="C29" i="71"/>
  <c r="C30" i="71"/>
  <c r="C33" i="71"/>
  <c r="Y32" i="71"/>
  <c r="Z32" i="71"/>
  <c r="Y20" i="71"/>
  <c r="Z20" i="71" s="1"/>
  <c r="B23" i="71"/>
  <c r="C26" i="71"/>
  <c r="D25" i="71"/>
  <c r="D29" i="71"/>
  <c r="C38" i="71"/>
  <c r="C39" i="71" s="1"/>
  <c r="T39" i="71" s="1"/>
  <c r="C42" i="71"/>
  <c r="D42" i="71" s="1"/>
  <c r="D41" i="71"/>
  <c r="D45" i="71"/>
  <c r="P23" i="71"/>
  <c r="U51" i="71"/>
  <c r="E55" i="71"/>
  <c r="U55" i="71" s="1"/>
  <c r="E58" i="71"/>
  <c r="E59" i="71" s="1"/>
  <c r="U59" i="71" s="1"/>
  <c r="U63" i="71"/>
  <c r="E62" i="71"/>
  <c r="Q23" i="71"/>
  <c r="D49" i="71"/>
  <c r="D53" i="71"/>
  <c r="T63" i="71"/>
  <c r="O63" i="71"/>
  <c r="D63" i="71"/>
  <c r="C62" i="71"/>
  <c r="Q63" i="71"/>
  <c r="E66" i="71"/>
  <c r="E65" i="71" s="1"/>
  <c r="C70" i="71"/>
  <c r="E70" i="71"/>
  <c r="E69" i="71" s="1"/>
  <c r="D71" i="71"/>
  <c r="E74" i="71"/>
  <c r="E73" i="71" s="1"/>
  <c r="C78" i="71"/>
  <c r="C82" i="71"/>
  <c r="C81" i="71" s="1"/>
  <c r="D81" i="71" s="1"/>
  <c r="F23" i="71"/>
  <c r="F22" i="71" s="1"/>
  <c r="F21" i="71" s="1"/>
  <c r="E23" i="71"/>
  <c r="E22" i="71"/>
  <c r="E21" i="71" s="1"/>
  <c r="AA3" i="71"/>
  <c r="C61" i="71"/>
  <c r="O62" i="71"/>
  <c r="D62" i="71"/>
  <c r="D78" i="71"/>
  <c r="C77" i="71"/>
  <c r="D77" i="71"/>
  <c r="D70" i="71"/>
  <c r="C69" i="71"/>
  <c r="D69" i="71" s="1"/>
  <c r="D82" i="71"/>
  <c r="D54" i="71"/>
  <c r="D50" i="71"/>
  <c r="P62" i="71"/>
  <c r="E61" i="71"/>
  <c r="P61" i="71" s="1"/>
  <c r="D38" i="71"/>
  <c r="D30" i="71"/>
  <c r="D26" i="71"/>
  <c r="V23" i="71"/>
  <c r="P60" i="71"/>
  <c r="O61" i="71"/>
  <c r="D61" i="71"/>
  <c r="O60" i="71"/>
  <c r="D39" i="71"/>
  <c r="T51" i="71"/>
  <c r="D51" i="71"/>
  <c r="T55" i="71"/>
  <c r="D5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E83" i="21" s="1"/>
  <c r="F83" i="21" s="1"/>
  <c r="G83" i="21" s="1"/>
  <c r="F21" i="21"/>
  <c r="AA21" i="21"/>
  <c r="D81" i="21"/>
  <c r="G20" i="20"/>
  <c r="C22" i="20"/>
  <c r="B55" i="43"/>
  <c r="S18" i="36"/>
  <c r="U18" i="36"/>
  <c r="F94" i="40"/>
  <c r="H25" i="40"/>
  <c r="G94" i="40"/>
  <c r="J25" i="40"/>
  <c r="H29" i="39"/>
  <c r="AB29" i="39" s="1"/>
  <c r="J29" i="39"/>
  <c r="AC29" i="39" s="1"/>
  <c r="J18" i="36"/>
  <c r="H18" i="35"/>
  <c r="S18" i="35"/>
  <c r="J18" i="35"/>
  <c r="W18" i="35" s="1"/>
  <c r="H21" i="37"/>
  <c r="U21" i="37" s="1"/>
  <c r="F21" i="37"/>
  <c r="F84" i="34"/>
  <c r="H21" i="34"/>
  <c r="H21" i="33"/>
  <c r="F21" i="33"/>
  <c r="S21" i="33" s="1"/>
  <c r="S21" i="21"/>
  <c r="H1" i="69"/>
  <c r="AC25" i="40"/>
  <c r="W25" i="40"/>
  <c r="AB25" i="40"/>
  <c r="U25" i="40"/>
  <c r="AC18" i="36"/>
  <c r="W18" i="36"/>
  <c r="AB21" i="37"/>
  <c r="AA21" i="37"/>
  <c r="S21" i="37"/>
  <c r="AB21" i="34"/>
  <c r="U21" i="34"/>
  <c r="U21" i="33"/>
  <c r="AB21" i="33"/>
  <c r="AA21" i="33"/>
  <c r="AB18" i="35"/>
  <c r="U18" i="35"/>
  <c r="AC18" i="35"/>
  <c r="G77" i="37"/>
  <c r="J21" i="37"/>
  <c r="G84" i="34"/>
  <c r="J21" i="34"/>
  <c r="J21" i="33"/>
  <c r="H21" i="21"/>
  <c r="F38" i="69"/>
  <c r="E37" i="69"/>
  <c r="F36" i="69"/>
  <c r="F35" i="69"/>
  <c r="F21" i="69"/>
  <c r="F20" i="69"/>
  <c r="F39" i="69" s="1"/>
  <c r="E10" i="69"/>
  <c r="E9" i="69"/>
  <c r="C7" i="69"/>
  <c r="AC21" i="37"/>
  <c r="W21" i="37"/>
  <c r="AC21" i="34"/>
  <c r="W21" i="34"/>
  <c r="AC21" i="33"/>
  <c r="W21" i="33"/>
  <c r="AB21" i="21"/>
  <c r="U21" i="21"/>
  <c r="J21" i="2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c r="E8" i="1" s="1"/>
  <c r="A9" i="1"/>
  <c r="A10" i="1"/>
  <c r="A11" i="1"/>
  <c r="B11" i="1" s="1"/>
  <c r="E11" i="1" s="1"/>
  <c r="A12" i="1"/>
  <c r="A13" i="1"/>
  <c r="K13" i="1" s="1"/>
  <c r="A6" i="1"/>
  <c r="F3" i="35"/>
  <c r="E7"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D5" i="3" s="1"/>
  <c r="BE542" i="3"/>
  <c r="BF542" i="3"/>
  <c r="BG542" i="3"/>
  <c r="BH542" i="3"/>
  <c r="BH5" i="3" s="1"/>
  <c r="BI542" i="3"/>
  <c r="BJ542" i="3"/>
  <c r="BK542" i="3"/>
  <c r="BM542" i="3"/>
  <c r="BL542" i="3" s="1"/>
  <c r="BN542" i="3"/>
  <c r="BO542" i="3"/>
  <c r="BO5" i="3" s="1"/>
  <c r="BP542" i="3"/>
  <c r="BQ542" i="3"/>
  <c r="BR542" i="3"/>
  <c r="BS542" i="3"/>
  <c r="BT542" i="3"/>
  <c r="H543" i="3"/>
  <c r="G543" i="3" s="1"/>
  <c r="AC543" i="3"/>
  <c r="BB543" i="3"/>
  <c r="BC543" i="3"/>
  <c r="BD543" i="3"/>
  <c r="BE543" i="3"/>
  <c r="BF543" i="3"/>
  <c r="BG543" i="3"/>
  <c r="BH543" i="3"/>
  <c r="BI543" i="3"/>
  <c r="BJ543" i="3"/>
  <c r="BK543" i="3"/>
  <c r="BM543" i="3"/>
  <c r="BL543" i="3" s="1"/>
  <c r="AZ543" i="3" s="1"/>
  <c r="BN543" i="3"/>
  <c r="BO543" i="3"/>
  <c r="BP543" i="3"/>
  <c r="BR543" i="3"/>
  <c r="BR5" i="3" s="1"/>
  <c r="BS543" i="3"/>
  <c r="BT543" i="3"/>
  <c r="BT5" i="3" s="1"/>
  <c r="H544" i="3"/>
  <c r="AC544" i="3"/>
  <c r="G544" i="3" s="1"/>
  <c r="BB544" i="3"/>
  <c r="BC544" i="3"/>
  <c r="BA544" i="3" s="1"/>
  <c r="BD544" i="3"/>
  <c r="BE544" i="3"/>
  <c r="BE5" i="3" s="1"/>
  <c r="BF544" i="3"/>
  <c r="BG544" i="3"/>
  <c r="BH544" i="3"/>
  <c r="BI544" i="3"/>
  <c r="BI5" i="3" s="1"/>
  <c r="BJ544" i="3"/>
  <c r="BK544" i="3"/>
  <c r="BM544" i="3"/>
  <c r="BN544" i="3"/>
  <c r="BL544" i="3" s="1"/>
  <c r="BO544" i="3"/>
  <c r="BP544" i="3"/>
  <c r="BP5" i="3" s="1"/>
  <c r="E11" i="6" s="1"/>
  <c r="E61" i="39" s="1"/>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L547" i="3" s="1"/>
  <c r="AZ547" i="3" s="1"/>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A552" i="3" s="1"/>
  <c r="AZ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L553" i="3" s="1"/>
  <c r="AZ553" i="3" s="1"/>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AZ555" i="3" s="1"/>
  <c r="BD555" i="3"/>
  <c r="BE555" i="3"/>
  <c r="BF555" i="3"/>
  <c r="BG555" i="3"/>
  <c r="BH555" i="3"/>
  <c r="BI555" i="3"/>
  <c r="BJ555" i="3"/>
  <c r="BK555" i="3"/>
  <c r="BM555" i="3"/>
  <c r="BN555" i="3"/>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L569" i="3" s="1"/>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L583" i="3" s="1"/>
  <c r="BN583" i="3"/>
  <c r="BO583" i="3"/>
  <c r="BP583" i="3"/>
  <c r="BR583" i="3"/>
  <c r="BS583" i="3"/>
  <c r="BT583" i="3"/>
  <c r="H584" i="3"/>
  <c r="AC584" i="3"/>
  <c r="G584" i="3" s="1"/>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F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D93" i="39"/>
  <c r="E93" i="39" s="1"/>
  <c r="F93" i="39" s="1"/>
  <c r="G93" i="39" s="1"/>
  <c r="D91" i="39"/>
  <c r="E91" i="39" s="1"/>
  <c r="D89" i="39"/>
  <c r="E89" i="39" s="1"/>
  <c r="B86" i="39"/>
  <c r="H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s="1"/>
  <c r="Q31" i="39"/>
  <c r="Z31" i="39" s="1"/>
  <c r="Q27" i="39"/>
  <c r="Z27" i="39"/>
  <c r="Q25" i="39"/>
  <c r="Z25" i="39"/>
  <c r="Q23" i="39"/>
  <c r="Z23" i="39"/>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U33" i="36" s="1"/>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D70" i="36"/>
  <c r="H22" i="36"/>
  <c r="AB22" i="36" s="1"/>
  <c r="D68" i="36"/>
  <c r="E68" i="36" s="1"/>
  <c r="F68" i="36"/>
  <c r="G68" i="36" s="1"/>
  <c r="D64" i="36"/>
  <c r="E64" i="36" s="1"/>
  <c r="F64" i="36"/>
  <c r="G64" i="36" s="1"/>
  <c r="J16" i="36"/>
  <c r="W16" i="36" s="1"/>
  <c r="D62" i="36"/>
  <c r="E62" i="36" s="1"/>
  <c r="F62" i="36" s="1"/>
  <c r="G62" i="36" s="1"/>
  <c r="B59" i="36"/>
  <c r="H13" i="36" s="1"/>
  <c r="B57" i="36"/>
  <c r="J12" i="36"/>
  <c r="W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F70" i="34" s="1"/>
  <c r="G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W40" i="39"/>
  <c r="W25"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H22" i="35"/>
  <c r="AB22" i="35"/>
  <c r="W28" i="35"/>
  <c r="U31" i="35"/>
  <c r="S34" i="35"/>
  <c r="W34" i="35"/>
  <c r="W22" i="35"/>
  <c r="S31" i="35"/>
  <c r="U34" i="35"/>
  <c r="F36" i="34"/>
  <c r="J35" i="34"/>
  <c r="S34" i="34"/>
  <c r="U34" i="34"/>
  <c r="H39" i="33"/>
  <c r="AB39" i="33"/>
  <c r="F26" i="33"/>
  <c r="AA26" i="33"/>
  <c r="S9" i="33"/>
  <c r="U33" i="33"/>
  <c r="U35" i="33"/>
  <c r="S40" i="33"/>
  <c r="W33" i="33"/>
  <c r="W39" i="33"/>
  <c r="H39" i="37"/>
  <c r="AB39" i="37"/>
  <c r="F11" i="40"/>
  <c r="AA11" i="40" s="1"/>
  <c r="H11" i="40"/>
  <c r="AB11" i="40" s="1"/>
  <c r="W8" i="40"/>
  <c r="AC40" i="40"/>
  <c r="AA9" i="40"/>
  <c r="AC9" i="40"/>
  <c r="U9" i="40"/>
  <c r="S34" i="40"/>
  <c r="S40" i="40"/>
  <c r="U34" i="40"/>
  <c r="U40" i="40"/>
  <c r="F42" i="39"/>
  <c r="AA42" i="39"/>
  <c r="F41" i="39"/>
  <c r="S41" i="39"/>
  <c r="H40" i="39"/>
  <c r="AB40" i="39"/>
  <c r="H39" i="39"/>
  <c r="U39" i="39" s="1"/>
  <c r="S38" i="39"/>
  <c r="H34" i="39"/>
  <c r="U34" i="39" s="1"/>
  <c r="E109" i="39"/>
  <c r="F109" i="39" s="1"/>
  <c r="G109" i="39" s="1"/>
  <c r="H109" i="39" s="1"/>
  <c r="I109" i="39" s="1"/>
  <c r="J109" i="39" s="1"/>
  <c r="K109" i="39" s="1"/>
  <c r="L109" i="39" s="1"/>
  <c r="M109" i="39" s="1"/>
  <c r="H31" i="39"/>
  <c r="AB31" i="39" s="1"/>
  <c r="F31" i="39"/>
  <c r="AA31" i="39" s="1"/>
  <c r="H19" i="39"/>
  <c r="AB19" i="39" s="1"/>
  <c r="F19" i="39"/>
  <c r="AA19" i="39" s="1"/>
  <c r="J23" i="40"/>
  <c r="AC23" i="40" s="1"/>
  <c r="F21" i="40"/>
  <c r="AA21" i="40" s="1"/>
  <c r="J21" i="40"/>
  <c r="W21" i="40" s="1"/>
  <c r="H42" i="39"/>
  <c r="AB42" i="39" s="1"/>
  <c r="J34" i="39"/>
  <c r="AC34" i="39" s="1"/>
  <c r="J31" i="39"/>
  <c r="J19" i="39"/>
  <c r="AC19" i="39"/>
  <c r="F11" i="21"/>
  <c r="S11" i="21"/>
  <c r="U34" i="21"/>
  <c r="C25" i="39"/>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AC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A14" i="37"/>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c r="AC45" i="39"/>
  <c r="W44"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46"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1" i="3"/>
  <c r="AZ581" i="3" s="1"/>
  <c r="BA579" i="3"/>
  <c r="AZ579" i="3" s="1"/>
  <c r="BA577" i="3"/>
  <c r="BA575" i="3"/>
  <c r="AZ575" i="3" s="1"/>
  <c r="BA571" i="3"/>
  <c r="AZ571" i="3" s="1"/>
  <c r="BA567" i="3"/>
  <c r="AZ567" i="3" s="1"/>
  <c r="BA565" i="3"/>
  <c r="BA563" i="3"/>
  <c r="AZ563" i="3" s="1"/>
  <c r="BA561" i="3"/>
  <c r="BA559" i="3"/>
  <c r="BA553" i="3"/>
  <c r="BA549" i="3"/>
  <c r="BA547"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1" i="3"/>
  <c r="G579" i="3"/>
  <c r="G577" i="3"/>
  <c r="G575" i="3"/>
  <c r="G573" i="3"/>
  <c r="G569" i="3"/>
  <c r="G565" i="3"/>
  <c r="G563" i="3"/>
  <c r="G561" i="3"/>
  <c r="BL558" i="3"/>
  <c r="BA557" i="3"/>
  <c r="AZ557" i="3" s="1"/>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AZ559" i="3" s="1"/>
  <c r="G559" i="3"/>
  <c r="G555" i="3"/>
  <c r="G549" i="3"/>
  <c r="G545" i="3"/>
  <c r="G541" i="3"/>
  <c r="G539" i="3"/>
  <c r="G537" i="3"/>
  <c r="BQ555" i="3"/>
  <c r="BL555" i="3"/>
  <c r="BQ553" i="3"/>
  <c r="BQ551" i="3"/>
  <c r="BL551" i="3"/>
  <c r="BQ549" i="3"/>
  <c r="BQ547" i="3"/>
  <c r="BQ545" i="3"/>
  <c r="BL545" i="3"/>
  <c r="BQ543" i="3"/>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AZ497" i="3" s="1"/>
  <c r="BQ495" i="3"/>
  <c r="BL495" i="3"/>
  <c r="BQ493" i="3"/>
  <c r="BQ5" i="3" s="1"/>
  <c r="F28" i="6" s="1"/>
  <c r="S505" i="31"/>
  <c r="S503" i="31"/>
  <c r="S501" i="31"/>
  <c r="S499" i="31"/>
  <c r="O27" i="31"/>
  <c r="O28" i="31"/>
  <c r="O26" i="31"/>
  <c r="M27" i="31"/>
  <c r="M28" i="31"/>
  <c r="M26" i="31"/>
  <c r="I26" i="31"/>
  <c r="I25" i="31"/>
  <c r="S25" i="31"/>
  <c r="S22" i="31" s="1"/>
  <c r="R22" i="31" s="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F39" i="33"/>
  <c r="AA39" i="33" s="1"/>
  <c r="E123" i="33"/>
  <c r="F42" i="33"/>
  <c r="AA42" i="33"/>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S28" i="31"/>
  <c r="S27" i="31"/>
  <c r="S26" i="31"/>
  <c r="AC32" i="36"/>
  <c r="U35" i="35"/>
  <c r="W23" i="35"/>
  <c r="AB28" i="37"/>
  <c r="U39" i="37"/>
  <c r="AC8" i="37"/>
  <c r="W47" i="34"/>
  <c r="AB13" i="34"/>
  <c r="W37" i="34"/>
  <c r="AB37" i="34"/>
  <c r="AC36" i="34"/>
  <c r="AA13" i="33"/>
  <c r="AC31" i="33"/>
  <c r="AC45" i="33"/>
  <c r="W44" i="33"/>
  <c r="U19" i="21"/>
  <c r="U26" i="21"/>
  <c r="U12"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F12" i="39"/>
  <c r="S12" i="39" s="1"/>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19" i="40"/>
  <c r="S19" i="40"/>
  <c r="AC13" i="40"/>
  <c r="W23" i="39"/>
  <c r="W43" i="39"/>
  <c r="AB45" i="39"/>
  <c r="U44" i="39"/>
  <c r="H37" i="39"/>
  <c r="AB37" i="39" s="1"/>
  <c r="W37" i="39"/>
  <c r="H25" i="39"/>
  <c r="AB25" i="39" s="1"/>
  <c r="J25" i="39"/>
  <c r="AC25" i="39" s="1"/>
  <c r="F25" i="39"/>
  <c r="AA25" i="39" s="1"/>
  <c r="H41" i="39"/>
  <c r="U40" i="39"/>
  <c r="S42" i="39"/>
  <c r="AA41" i="39"/>
  <c r="W9" i="39"/>
  <c r="W8" i="39"/>
  <c r="J19" i="40"/>
  <c r="AC19" i="40"/>
  <c r="J50" i="40"/>
  <c r="H103" i="9"/>
  <c r="D8" i="53" s="1"/>
  <c r="B16" i="53"/>
  <c r="B33" i="72" s="1"/>
  <c r="C7" i="37"/>
  <c r="C7" i="34"/>
  <c r="C7" i="36"/>
  <c r="A118" i="9"/>
  <c r="A4" i="52"/>
  <c r="B41" i="72"/>
  <c r="A12" i="52"/>
  <c r="B56" i="72" s="1"/>
  <c r="G4" i="4"/>
  <c r="I4" i="4"/>
  <c r="A2" i="9"/>
  <c r="F59" i="43"/>
  <c r="H62" i="43"/>
  <c r="AZ20" i="3"/>
  <c r="AZ24" i="3"/>
  <c r="AZ28" i="3"/>
  <c r="AZ32" i="3"/>
  <c r="BL549" i="3"/>
  <c r="AZ549" i="3" s="1"/>
  <c r="AZ502" i="3"/>
  <c r="AZ522" i="3"/>
  <c r="AZ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AZ496" i="3"/>
  <c r="G548" i="3"/>
  <c r="G538" i="3"/>
  <c r="G520" i="3"/>
  <c r="G502" i="3"/>
  <c r="BS5" i="3"/>
  <c r="BN5" i="3"/>
  <c r="G29" i="6" s="1"/>
  <c r="E29" i="6" s="1"/>
  <c r="AZ343" i="3"/>
  <c r="BK5" i="3"/>
  <c r="BG5" i="3"/>
  <c r="BC5" i="3"/>
  <c r="G17" i="3"/>
  <c r="BA17" i="3"/>
  <c r="AZ350" i="3"/>
  <c r="AZ352" i="3"/>
  <c r="AZ356" i="3"/>
  <c r="AZ364" i="3"/>
  <c r="AZ368" i="3"/>
  <c r="BA15" i="3"/>
  <c r="AZ15" i="3" s="1"/>
  <c r="BB5" i="3"/>
  <c r="E8" i="6" s="1"/>
  <c r="AZ384" i="3"/>
  <c r="AZ388" i="3"/>
  <c r="AZ392" i="3"/>
  <c r="AZ396" i="3"/>
  <c r="AZ394" i="3"/>
  <c r="AZ509" i="3"/>
  <c r="BL493" i="3"/>
  <c r="AZ493" i="3" s="1"/>
  <c r="AZ491" i="3"/>
  <c r="AZ376" i="3"/>
  <c r="AZ382" i="3"/>
  <c r="U36" i="40"/>
  <c r="F36" i="43"/>
  <c r="F81" i="43"/>
  <c r="H83" i="43" s="1"/>
  <c r="H113" i="43"/>
  <c r="F48" i="43"/>
  <c r="H52" i="43"/>
  <c r="F70" i="43"/>
  <c r="H73" i="43"/>
  <c r="M11" i="43"/>
  <c r="D17" i="43"/>
  <c r="F39" i="43"/>
  <c r="I17" i="43"/>
  <c r="F35" i="43"/>
  <c r="J17" i="43"/>
  <c r="F6" i="1"/>
  <c r="S14" i="35"/>
  <c r="U35" i="21"/>
  <c r="AC35" i="21"/>
  <c r="U10" i="21"/>
  <c r="G8" i="1"/>
  <c r="G9" i="1"/>
  <c r="G10" i="1"/>
  <c r="AZ501" i="3"/>
  <c r="W37" i="37"/>
  <c r="W44" i="34"/>
  <c r="S15" i="37"/>
  <c r="U12" i="40"/>
  <c r="J37" i="33"/>
  <c r="W37" i="33" s="1"/>
  <c r="AC17" i="34"/>
  <c r="J34" i="33"/>
  <c r="W34" i="33"/>
  <c r="F33" i="34"/>
  <c r="S33" i="34"/>
  <c r="AC12" i="36"/>
  <c r="H20" i="36"/>
  <c r="U20" i="36"/>
  <c r="J20" i="36"/>
  <c r="W20" i="36"/>
  <c r="W24" i="36"/>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7" i="43"/>
  <c r="K9" i="1"/>
  <c r="M9" i="1" s="1"/>
  <c r="AE9" i="1"/>
  <c r="D93" i="9"/>
  <c r="K6" i="1"/>
  <c r="AC26" i="33"/>
  <c r="W27" i="34"/>
  <c r="AB34" i="36"/>
  <c r="AB33" i="36"/>
  <c r="AC12" i="39"/>
  <c r="AZ401" i="3"/>
  <c r="AZ412" i="3"/>
  <c r="AZ417" i="3"/>
  <c r="AZ428" i="3"/>
  <c r="AZ433" i="3"/>
  <c r="AZ465" i="3"/>
  <c r="W12" i="33"/>
  <c r="AC12" i="33"/>
  <c r="AA32" i="36"/>
  <c r="S32" i="36"/>
  <c r="AZ408" i="3"/>
  <c r="AZ437" i="3"/>
  <c r="AZ441" i="3"/>
  <c r="AZ457" i="3"/>
  <c r="AZ473" i="3"/>
  <c r="AZ490" i="3"/>
  <c r="BL14" i="3"/>
  <c r="AZ266" i="3"/>
  <c r="AC13" i="34"/>
  <c r="W28" i="37"/>
  <c r="F12" i="33"/>
  <c r="H12" i="39"/>
  <c r="AB12" i="39"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s="1"/>
  <c r="AC34" i="33"/>
  <c r="B41" i="1"/>
  <c r="F53" i="9" s="1"/>
  <c r="J100" i="43"/>
  <c r="S35" i="40"/>
  <c r="AC36" i="40"/>
  <c r="AA32" i="40"/>
  <c r="S17" i="40"/>
  <c r="S23" i="40"/>
  <c r="AC17" i="40"/>
  <c r="AC15" i="40"/>
  <c r="AB27" i="40"/>
  <c r="S30" i="40"/>
  <c r="AA19" i="40"/>
  <c r="S28" i="40"/>
  <c r="AA27" i="40"/>
  <c r="U21" i="40"/>
  <c r="AB19" i="40"/>
  <c r="W42" i="39"/>
  <c r="W39" i="39"/>
  <c r="S37" i="39"/>
  <c r="F32" i="39"/>
  <c r="AA32" i="39" s="1"/>
  <c r="U25" i="39"/>
  <c r="U31" i="39"/>
  <c r="S25" i="39"/>
  <c r="W19" i="39"/>
  <c r="U19" i="39"/>
  <c r="S9" i="39"/>
  <c r="AC13" i="39"/>
  <c r="AC27" i="36"/>
  <c r="U26" i="36"/>
  <c r="S27" i="36"/>
  <c r="AA26" i="36"/>
  <c r="S29" i="36"/>
  <c r="AC26" i="36"/>
  <c r="AA22" i="36"/>
  <c r="W14" i="36"/>
  <c r="U22" i="36"/>
  <c r="AA25" i="36"/>
  <c r="S24" i="36"/>
  <c r="U24" i="36"/>
  <c r="AB20" i="36"/>
  <c r="U16" i="36"/>
  <c r="S14" i="36"/>
  <c r="W10" i="36"/>
  <c r="S23" i="35"/>
  <c r="W24" i="35"/>
  <c r="AB13" i="35"/>
  <c r="U28" i="35"/>
  <c r="AB27" i="35"/>
  <c r="U32" i="35"/>
  <c r="AA33" i="35"/>
  <c r="AC30" i="35"/>
  <c r="S32" i="35"/>
  <c r="W32" i="35"/>
  <c r="AB16" i="35"/>
  <c r="U22" i="35"/>
  <c r="S20" i="35"/>
  <c r="AC20" i="35"/>
  <c r="S22" i="35"/>
  <c r="U14" i="35"/>
  <c r="AC10" i="35"/>
  <c r="AA10" i="35"/>
  <c r="AB10" i="35"/>
  <c r="AA11" i="35"/>
  <c r="S8" i="35"/>
  <c r="AC9" i="35"/>
  <c r="W9" i="35"/>
  <c r="W13" i="35"/>
  <c r="F9" i="35"/>
  <c r="H9" i="35"/>
  <c r="F26" i="35"/>
  <c r="AA26" i="35"/>
  <c r="J26" i="35"/>
  <c r="H26" i="35"/>
  <c r="AB40" i="37"/>
  <c r="S25" i="37"/>
  <c r="AC29" i="37"/>
  <c r="U29" i="37"/>
  <c r="S32" i="37"/>
  <c r="W30" i="37"/>
  <c r="S36" i="37"/>
  <c r="AA38" i="37"/>
  <c r="W38" i="37"/>
  <c r="AC35" i="37"/>
  <c r="W39" i="37"/>
  <c r="S30" i="37"/>
  <c r="S37" i="37"/>
  <c r="J17" i="37"/>
  <c r="W17" i="37" s="1"/>
  <c r="G73" i="37"/>
  <c r="F17" i="37"/>
  <c r="AA17" i="37"/>
  <c r="F75" i="37"/>
  <c r="F19" i="37"/>
  <c r="F79" i="37"/>
  <c r="F23" i="37"/>
  <c r="S23" i="37"/>
  <c r="U23" i="37"/>
  <c r="U15" i="37"/>
  <c r="U9" i="37"/>
  <c r="AA12" i="37"/>
  <c r="H10" i="37"/>
  <c r="H60" i="37"/>
  <c r="F63" i="37"/>
  <c r="F11" i="37"/>
  <c r="S11" i="37"/>
  <c r="W25" i="34"/>
  <c r="AA33" i="34"/>
  <c r="U43" i="34"/>
  <c r="W41" i="34"/>
  <c r="AB35" i="34"/>
  <c r="U39" i="34"/>
  <c r="S43" i="34"/>
  <c r="AB41" i="34"/>
  <c r="AA45" i="34"/>
  <c r="W34" i="34"/>
  <c r="AA25" i="34"/>
  <c r="S17" i="34"/>
  <c r="U27" i="34"/>
  <c r="U15" i="34"/>
  <c r="S10" i="34"/>
  <c r="S13" i="34"/>
  <c r="H10" i="34"/>
  <c r="F11" i="34"/>
  <c r="S11" i="34"/>
  <c r="W42" i="33"/>
  <c r="S27" i="33"/>
  <c r="AA29" i="33"/>
  <c r="AB29" i="33"/>
  <c r="W38" i="33"/>
  <c r="H41" i="33"/>
  <c r="F121" i="33"/>
  <c r="G121" i="33" s="1"/>
  <c r="H121" i="33" s="1"/>
  <c r="I121" i="33" s="1"/>
  <c r="J121" i="33" s="1"/>
  <c r="K121" i="33" s="1"/>
  <c r="L121" i="33" s="1"/>
  <c r="M121" i="33" s="1"/>
  <c r="U42" i="33"/>
  <c r="S42" i="33"/>
  <c r="F36" i="33"/>
  <c r="J35" i="33"/>
  <c r="S37" i="33"/>
  <c r="AA37" i="33"/>
  <c r="S39" i="33"/>
  <c r="J32" i="33"/>
  <c r="S46" i="33"/>
  <c r="W43" i="33"/>
  <c r="S43" i="33"/>
  <c r="H27" i="33"/>
  <c r="H25" i="33"/>
  <c r="F25" i="33"/>
  <c r="J23" i="33"/>
  <c r="H23" i="33"/>
  <c r="F19" i="33"/>
  <c r="S19" i="33" s="1"/>
  <c r="W19" i="33"/>
  <c r="J17" i="33"/>
  <c r="S15" i="33"/>
  <c r="W15" i="33"/>
  <c r="U9" i="33"/>
  <c r="I66" i="33"/>
  <c r="J10" i="33"/>
  <c r="H10" i="33"/>
  <c r="AC11" i="33"/>
  <c r="AB14" i="33"/>
  <c r="W43" i="21"/>
  <c r="W36" i="21"/>
  <c r="W41" i="21"/>
  <c r="AA43" i="21"/>
  <c r="AA38" i="21"/>
  <c r="AC40" i="21"/>
  <c r="J15" i="21"/>
  <c r="W15" i="21"/>
  <c r="F23" i="21"/>
  <c r="S23" i="21"/>
  <c r="E85" i="21"/>
  <c r="AC11" i="21"/>
  <c r="AB8" i="21"/>
  <c r="S8" i="21"/>
  <c r="M3" i="43"/>
  <c r="M1" i="43"/>
  <c r="N8" i="43"/>
  <c r="C18" i="9"/>
  <c r="D18" i="9" s="1"/>
  <c r="F34" i="67"/>
  <c r="F62" i="67" s="1"/>
  <c r="M20" i="67"/>
  <c r="F34" i="15"/>
  <c r="F62" i="15" s="1"/>
  <c r="G13" i="3"/>
  <c r="BA13" i="3"/>
  <c r="BL17" i="3"/>
  <c r="AZ17" i="3"/>
  <c r="BL13" i="3"/>
  <c r="J56" i="9"/>
  <c r="J57" i="9" s="1"/>
  <c r="J59" i="9" s="1"/>
  <c r="J61" i="9" s="1"/>
  <c r="A24" i="51"/>
  <c r="B18" i="72" s="1"/>
  <c r="U29" i="34"/>
  <c r="E5" i="6"/>
  <c r="D9" i="11" s="1"/>
  <c r="C9" i="11" s="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s="1"/>
  <c r="E70" i="43"/>
  <c r="B68" i="43" s="1"/>
  <c r="F100" i="43"/>
  <c r="H17" i="43"/>
  <c r="G6" i="1"/>
  <c r="H81" i="43"/>
  <c r="H88" i="43"/>
  <c r="H53" i="43"/>
  <c r="H78" i="43"/>
  <c r="H71" i="43"/>
  <c r="C17" i="43"/>
  <c r="F33" i="43"/>
  <c r="K17" i="43"/>
  <c r="F34" i="43"/>
  <c r="N6" i="43"/>
  <c r="C6" i="43"/>
  <c r="N3" i="43"/>
  <c r="F38" i="43"/>
  <c r="F37" i="43"/>
  <c r="M9" i="43"/>
  <c r="N5" i="43"/>
  <c r="M12" i="43"/>
  <c r="B19" i="53"/>
  <c r="B37" i="72" s="1"/>
  <c r="C7" i="39"/>
  <c r="C68" i="39" s="1"/>
  <c r="D68"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c r="C4" i="12"/>
  <c r="H66" i="43"/>
  <c r="H65" i="43"/>
  <c r="H64" i="43"/>
  <c r="H63" i="43"/>
  <c r="H55" i="43"/>
  <c r="H56" i="43"/>
  <c r="H72" i="43"/>
  <c r="L20" i="6"/>
  <c r="B6" i="1"/>
  <c r="E6" i="1"/>
  <c r="S8" i="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T11" i="1"/>
  <c r="AQ9" i="1"/>
  <c r="AR11" i="1"/>
  <c r="T9" i="1"/>
  <c r="T13" i="1"/>
  <c r="S7" i="1"/>
  <c r="AQ7" i="1" s="1"/>
  <c r="E7" i="70"/>
  <c r="S12" i="33"/>
  <c r="AA12" i="33"/>
  <c r="J32" i="39"/>
  <c r="H32" i="39"/>
  <c r="AB32" i="39" s="1"/>
  <c r="S32"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H11" i="34"/>
  <c r="AB10" i="34"/>
  <c r="U10" i="34"/>
  <c r="J10" i="34"/>
  <c r="W10" i="34" s="1"/>
  <c r="AB41" i="33"/>
  <c r="U41" i="33"/>
  <c r="W35" i="33"/>
  <c r="AC35" i="33"/>
  <c r="J36" i="33"/>
  <c r="AC36" i="33" s="1"/>
  <c r="H36" i="33"/>
  <c r="S36" i="33"/>
  <c r="AA36" i="33"/>
  <c r="AC32" i="33"/>
  <c r="W32" i="33"/>
  <c r="U27" i="33"/>
  <c r="AB27" i="33"/>
  <c r="J27" i="33"/>
  <c r="U25" i="33"/>
  <c r="AB25" i="33"/>
  <c r="S25" i="33"/>
  <c r="AA25" i="33"/>
  <c r="J25" i="33"/>
  <c r="AB23" i="33"/>
  <c r="U23" i="33"/>
  <c r="F23" i="33"/>
  <c r="AA23" i="33" s="1"/>
  <c r="AC23" i="33"/>
  <c r="W23" i="33"/>
  <c r="AA19" i="33"/>
  <c r="H19" i="33"/>
  <c r="H17" i="33"/>
  <c r="U17" i="33" s="1"/>
  <c r="F17" i="33"/>
  <c r="W17" i="33"/>
  <c r="AC17" i="33"/>
  <c r="U10" i="33"/>
  <c r="AB10" i="33"/>
  <c r="AC10" i="33"/>
  <c r="W10" i="33"/>
  <c r="AC37" i="21"/>
  <c r="S37" i="21"/>
  <c r="AA23" i="21"/>
  <c r="AB15" i="21"/>
  <c r="J23" i="21"/>
  <c r="F85" i="21"/>
  <c r="G85" i="21" s="1"/>
  <c r="H23" i="21"/>
  <c r="U23" i="21" s="1"/>
  <c r="S13" i="21"/>
  <c r="AR8" i="1"/>
  <c r="AQ8" i="1"/>
  <c r="T8" i="1"/>
  <c r="AP7" i="1"/>
  <c r="C36" i="69" s="1"/>
  <c r="AB45" i="21"/>
  <c r="AC33" i="21"/>
  <c r="W33" i="21"/>
  <c r="S33" i="21"/>
  <c r="W32" i="21"/>
  <c r="AC32" i="21"/>
  <c r="AB9" i="21"/>
  <c r="U9" i="21"/>
  <c r="AA32" i="21"/>
  <c r="W9" i="21"/>
  <c r="AB32" i="21"/>
  <c r="AA10" i="21"/>
  <c r="S10" i="21"/>
  <c r="U32" i="39"/>
  <c r="AC32" i="39"/>
  <c r="W32" i="39"/>
  <c r="W19" i="37"/>
  <c r="AC19" i="37"/>
  <c r="AC23" i="37"/>
  <c r="AB11" i="37"/>
  <c r="U11" i="37"/>
  <c r="I63" i="37"/>
  <c r="J63" i="37" s="1"/>
  <c r="K63" i="37" s="1"/>
  <c r="L63" i="37" s="1"/>
  <c r="M63" i="37" s="1"/>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7" i="1"/>
  <c r="F34" i="11"/>
  <c r="F11" i="12"/>
  <c r="F34" i="68"/>
  <c r="R8" i="1"/>
  <c r="AE7" i="1"/>
  <c r="AE8" i="1"/>
  <c r="AG6" i="1"/>
  <c r="H109" i="9"/>
  <c r="H110" i="9"/>
  <c r="D18" i="53" s="1"/>
  <c r="B35" i="72" s="1"/>
  <c r="D124" i="9"/>
  <c r="H14" i="74" s="1"/>
  <c r="B7" i="74" s="1"/>
  <c r="D16" i="53"/>
  <c r="D10" i="52"/>
  <c r="D125" i="9"/>
  <c r="D11" i="5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AB17" i="71"/>
  <c r="X15" i="71"/>
  <c r="X14" i="71"/>
  <c r="AA15" i="71"/>
  <c r="AA14" i="71"/>
  <c r="X18" i="71"/>
  <c r="Y14" i="71"/>
  <c r="Z14" i="71" s="1"/>
  <c r="AB15" i="71"/>
  <c r="AB14" i="71"/>
  <c r="F16" i="71"/>
  <c r="F15" i="71"/>
  <c r="F14" i="71" s="1"/>
  <c r="F13" i="71" s="1"/>
  <c r="F12" i="71" s="1"/>
  <c r="Y15" i="71"/>
  <c r="Z15" i="71" s="1"/>
  <c r="X3" i="71"/>
  <c r="G20" i="43"/>
  <c r="I59" i="34"/>
  <c r="J59" i="34" s="1"/>
  <c r="F26" i="67"/>
  <c r="F13" i="67"/>
  <c r="F20" i="31"/>
  <c r="C76" i="15"/>
  <c r="E10" i="76"/>
  <c r="AO10" i="1"/>
  <c r="M26" i="67"/>
  <c r="B8" i="76"/>
  <c r="M6" i="67"/>
  <c r="M28" i="67"/>
  <c r="B9" i="76"/>
  <c r="D2" i="21"/>
  <c r="AO11" i="1"/>
  <c r="F16" i="67"/>
  <c r="M29" i="67"/>
  <c r="E7" i="76"/>
  <c r="F42" i="15"/>
  <c r="F40" i="15"/>
  <c r="AO13" i="1"/>
  <c r="F41" i="67"/>
  <c r="D2" i="37"/>
  <c r="F6" i="73"/>
  <c r="F9" i="15"/>
  <c r="L48" i="15"/>
  <c r="B10" i="76"/>
  <c r="F8" i="67"/>
  <c r="F36" i="15"/>
  <c r="F9" i="67"/>
  <c r="F3" i="73"/>
  <c r="F6" i="15"/>
  <c r="B12" i="76"/>
  <c r="F26" i="15"/>
  <c r="F4" i="73"/>
  <c r="F37" i="67"/>
  <c r="F40" i="67"/>
  <c r="M27" i="67"/>
  <c r="E9" i="76"/>
  <c r="F43" i="67"/>
  <c r="D2" i="35"/>
  <c r="E2" i="68"/>
  <c r="M26" i="15"/>
  <c r="F35" i="67"/>
  <c r="M9" i="67"/>
  <c r="M21" i="67"/>
  <c r="F38" i="15"/>
  <c r="F7" i="15"/>
  <c r="M23" i="15"/>
  <c r="D2" i="36"/>
  <c r="M24" i="15"/>
  <c r="M8" i="67"/>
  <c r="J15" i="15"/>
  <c r="F7" i="73"/>
  <c r="L47" i="67"/>
  <c r="F7" i="67"/>
  <c r="B7" i="76"/>
  <c r="AO12" i="1"/>
  <c r="M24" i="67"/>
  <c r="F6" i="67"/>
  <c r="M22" i="15"/>
  <c r="F36" i="67"/>
  <c r="B11" i="76"/>
  <c r="E13" i="76"/>
  <c r="E2" i="69"/>
  <c r="D2" i="33"/>
  <c r="J15" i="67"/>
  <c r="M23" i="67"/>
  <c r="F43" i="15"/>
  <c r="D5" i="73"/>
  <c r="L47" i="15"/>
  <c r="M22" i="67"/>
  <c r="AO8" i="1"/>
  <c r="L48" i="67"/>
  <c r="M9" i="15"/>
  <c r="M29" i="15"/>
  <c r="F42" i="67"/>
  <c r="B13" i="76"/>
  <c r="E8" i="76"/>
  <c r="E11" i="76"/>
  <c r="M28" i="15"/>
  <c r="E12" i="76"/>
  <c r="M27" i="15"/>
  <c r="D2" i="34"/>
  <c r="AO9" i="1"/>
  <c r="F5" i="73"/>
  <c r="M6" i="15"/>
  <c r="F16" i="15"/>
  <c r="F37" i="15"/>
  <c r="F13" i="15"/>
  <c r="C76" i="67"/>
  <c r="F8" i="15"/>
  <c r="F38" i="67"/>
  <c r="M8" i="15"/>
  <c r="AO7" i="1"/>
  <c r="G17" i="43" l="1"/>
  <c r="C16" i="43" s="1"/>
  <c r="C5" i="43" s="1"/>
  <c r="B34" i="72"/>
  <c r="D17" i="53"/>
  <c r="B36" i="72" s="1"/>
  <c r="D70" i="39"/>
  <c r="E68" i="39"/>
  <c r="F68" i="39" s="1"/>
  <c r="F70" i="39" s="1"/>
  <c r="AZ503" i="3"/>
  <c r="BL5" i="3"/>
  <c r="AZ585" i="3"/>
  <c r="AB31" i="21"/>
  <c r="U31" i="21"/>
  <c r="W45" i="21"/>
  <c r="AC45" i="21"/>
  <c r="AA9" i="21"/>
  <c r="S9" i="21"/>
  <c r="U28" i="33"/>
  <c r="AB28" i="33"/>
  <c r="AB13" i="36"/>
  <c r="U13" i="36"/>
  <c r="H27" i="39"/>
  <c r="F27" i="39"/>
  <c r="F101" i="39"/>
  <c r="G101" i="39" s="1"/>
  <c r="S39" i="40"/>
  <c r="AA39" i="40"/>
  <c r="AZ544" i="3"/>
  <c r="G28" i="6"/>
  <c r="G30" i="6" s="1"/>
  <c r="G31" i="6" s="1"/>
  <c r="G36" i="6" s="1"/>
  <c r="E10" i="6"/>
  <c r="E16" i="6" s="1"/>
  <c r="AZ542" i="3"/>
  <c r="E41" i="43"/>
  <c r="C41" i="43" s="1"/>
  <c r="C20" i="43"/>
  <c r="E28" i="6"/>
  <c r="K14" i="1" s="1"/>
  <c r="M14" i="1" s="1"/>
  <c r="F30" i="6"/>
  <c r="AZ587" i="3"/>
  <c r="AC9" i="34"/>
  <c r="W9" i="34"/>
  <c r="AB28" i="34"/>
  <c r="U28" i="34"/>
  <c r="AB9" i="36"/>
  <c r="U9" i="36"/>
  <c r="AC23" i="36"/>
  <c r="W23" i="36"/>
  <c r="AC26" i="37"/>
  <c r="W26" i="37"/>
  <c r="AB14" i="39"/>
  <c r="U14" i="39"/>
  <c r="AZ583" i="3"/>
  <c r="AZ573" i="3"/>
  <c r="AZ569" i="3"/>
  <c r="AZ556" i="3"/>
  <c r="AZ554" i="3"/>
  <c r="C23" i="12"/>
  <c r="U33" i="21"/>
  <c r="W17" i="21"/>
  <c r="H84" i="43"/>
  <c r="H85" i="43"/>
  <c r="E14" i="6"/>
  <c r="E64" i="39" s="1"/>
  <c r="D120" i="9"/>
  <c r="AA14" i="21"/>
  <c r="AA36" i="21"/>
  <c r="S39" i="21"/>
  <c r="AB39" i="21"/>
  <c r="AA10" i="33"/>
  <c r="S32" i="33"/>
  <c r="AA35" i="33"/>
  <c r="S23" i="34"/>
  <c r="AA29" i="34"/>
  <c r="AC42" i="34"/>
  <c r="AC39" i="34"/>
  <c r="U44" i="34"/>
  <c r="AB8" i="34"/>
  <c r="S27" i="34"/>
  <c r="AA9" i="37"/>
  <c r="AA13" i="37"/>
  <c r="AC13" i="37"/>
  <c r="AB17" i="37"/>
  <c r="AC15" i="37"/>
  <c r="U32" i="37"/>
  <c r="AB31" i="37"/>
  <c r="AC9" i="37"/>
  <c r="W27" i="37"/>
  <c r="AC12" i="35"/>
  <c r="S28" i="35"/>
  <c r="AA36" i="35"/>
  <c r="U29" i="35"/>
  <c r="AA25" i="35"/>
  <c r="U10" i="36"/>
  <c r="U23" i="36"/>
  <c r="S16" i="36"/>
  <c r="AB14" i="36"/>
  <c r="S33" i="36"/>
  <c r="AB27" i="36"/>
  <c r="U12" i="39"/>
  <c r="AA12" i="39"/>
  <c r="U35" i="39"/>
  <c r="S43" i="39"/>
  <c r="U37" i="39"/>
  <c r="U35" i="40"/>
  <c r="AB37" i="40"/>
  <c r="AA34" i="33"/>
  <c r="AA47" i="34"/>
  <c r="U30" i="33"/>
  <c r="AA39" i="34"/>
  <c r="H82" i="43"/>
  <c r="AC21" i="40"/>
  <c r="AB23" i="35"/>
  <c r="AC33" i="40"/>
  <c r="AA12" i="40"/>
  <c r="U13" i="37"/>
  <c r="U43" i="21"/>
  <c r="K5" i="4"/>
  <c r="B47" i="48" s="1"/>
  <c r="W35" i="40"/>
  <c r="W14" i="39"/>
  <c r="AB33" i="40"/>
  <c r="S14" i="40"/>
  <c r="AA25" i="21"/>
  <c r="AC12" i="37"/>
  <c r="AB38" i="21"/>
  <c r="AC46" i="21"/>
  <c r="W44" i="21"/>
  <c r="U11" i="33"/>
  <c r="U26" i="37"/>
  <c r="U33" i="37"/>
  <c r="W14" i="37"/>
  <c r="AA12" i="35"/>
  <c r="U14" i="40"/>
  <c r="U43" i="33"/>
  <c r="U32" i="33"/>
  <c r="AA12" i="21"/>
  <c r="AC28" i="34"/>
  <c r="W31" i="34"/>
  <c r="AB30" i="21"/>
  <c r="AA13" i="35"/>
  <c r="J13" i="36"/>
  <c r="J28" i="33"/>
  <c r="F28" i="33"/>
  <c r="S28" i="34"/>
  <c r="S41" i="33"/>
  <c r="AB23" i="34"/>
  <c r="U33" i="35"/>
  <c r="AC34" i="36"/>
  <c r="AC11" i="40"/>
  <c r="U40" i="33"/>
  <c r="W8" i="34"/>
  <c r="AA39" i="37"/>
  <c r="S10" i="36"/>
  <c r="F34" i="36"/>
  <c r="C15" i="39"/>
  <c r="C27" i="39"/>
  <c r="S34" i="21"/>
  <c r="S40" i="21"/>
  <c r="J27" i="39"/>
  <c r="AC27" i="39" s="1"/>
  <c r="W31" i="40"/>
  <c r="S27" i="35"/>
  <c r="AC27" i="35"/>
  <c r="J33" i="36"/>
  <c r="U30" i="37"/>
  <c r="F35" i="39"/>
  <c r="J35" i="39"/>
  <c r="H9" i="34"/>
  <c r="AC31" i="35"/>
  <c r="F23" i="36"/>
  <c r="F26" i="37"/>
  <c r="F38" i="40"/>
  <c r="J38" i="40"/>
  <c r="H38" i="40"/>
  <c r="BA550" i="3"/>
  <c r="AZ550" i="3" s="1"/>
  <c r="AZ424" i="3"/>
  <c r="AZ429" i="3"/>
  <c r="AZ439" i="3"/>
  <c r="AZ472" i="3"/>
  <c r="AZ475" i="3"/>
  <c r="AZ489" i="3"/>
  <c r="AZ316" i="3"/>
  <c r="AZ332" i="3"/>
  <c r="AZ397" i="3"/>
  <c r="AZ212" i="3"/>
  <c r="AZ220" i="3"/>
  <c r="AZ231" i="3"/>
  <c r="AZ247" i="3"/>
  <c r="G5" i="3"/>
  <c r="B3" i="3" s="1"/>
  <c r="H36" i="35"/>
  <c r="J36" i="35"/>
  <c r="J39" i="40"/>
  <c r="H39" i="40"/>
  <c r="BL548" i="3"/>
  <c r="AZ548" i="3" s="1"/>
  <c r="AZ398" i="3"/>
  <c r="AZ405" i="3"/>
  <c r="AZ407" i="3"/>
  <c r="AZ410" i="3"/>
  <c r="AZ415" i="3"/>
  <c r="AZ420" i="3"/>
  <c r="AZ448" i="3"/>
  <c r="AZ452" i="3"/>
  <c r="AZ461" i="3"/>
  <c r="AZ463" i="3"/>
  <c r="AZ468" i="3"/>
  <c r="AZ479" i="3"/>
  <c r="AZ485" i="3"/>
  <c r="AZ385" i="3"/>
  <c r="AZ210" i="3"/>
  <c r="AZ225" i="3"/>
  <c r="AZ239" i="3"/>
  <c r="AZ255" i="3"/>
  <c r="AZ267" i="3"/>
  <c r="AZ272" i="3"/>
  <c r="AZ284" i="3"/>
  <c r="AZ289" i="3"/>
  <c r="AZ292" i="3"/>
  <c r="AZ294" i="3"/>
  <c r="AZ118" i="3"/>
  <c r="AZ121" i="3"/>
  <c r="AZ134" i="3"/>
  <c r="AZ137" i="3"/>
  <c r="AZ145" i="3"/>
  <c r="AZ177" i="3"/>
  <c r="AZ18" i="3"/>
  <c r="AZ27" i="3"/>
  <c r="AZ34" i="3"/>
  <c r="AZ44" i="3"/>
  <c r="AZ56" i="3"/>
  <c r="AZ60" i="3"/>
  <c r="AZ73" i="3"/>
  <c r="AZ78" i="3"/>
  <c r="S25" i="40"/>
  <c r="F1" i="79"/>
  <c r="F36" i="79"/>
  <c r="W21" i="21"/>
  <c r="AC21" i="21"/>
  <c r="B86" i="43"/>
  <c r="C25" i="40"/>
  <c r="AA21" i="34"/>
  <c r="S21" i="34"/>
  <c r="X25" i="71"/>
  <c r="X21" i="71"/>
  <c r="X24" i="71"/>
  <c r="C58" i="71"/>
  <c r="D57" i="71"/>
  <c r="S63" i="71"/>
  <c r="B62" i="71"/>
  <c r="N63" i="71"/>
  <c r="T67" i="71"/>
  <c r="C66" i="71"/>
  <c r="D67" i="71"/>
  <c r="T75" i="71"/>
  <c r="C74" i="71"/>
  <c r="D75" i="71"/>
  <c r="Z12" i="43"/>
  <c r="Z10" i="43"/>
  <c r="AD12" i="43"/>
  <c r="AD10" i="43"/>
  <c r="AF12" i="43"/>
  <c r="AF10" i="43"/>
  <c r="AH12" i="43"/>
  <c r="AH10" i="43"/>
  <c r="AJ12" i="43"/>
  <c r="AJ10" i="43"/>
  <c r="AZ99" i="3"/>
  <c r="AZ103" i="3"/>
  <c r="AZ106" i="3"/>
  <c r="F40" i="68"/>
  <c r="C21" i="68"/>
  <c r="C40" i="68"/>
  <c r="F40" i="69"/>
  <c r="C40" i="69"/>
  <c r="B75" i="43"/>
  <c r="B66" i="43"/>
  <c r="C29" i="39"/>
  <c r="B22" i="71"/>
  <c r="B21" i="71" s="1"/>
  <c r="S23" i="71"/>
  <c r="D33" i="71"/>
  <c r="C34" i="71"/>
  <c r="AA25" i="71"/>
  <c r="AA27" i="71"/>
  <c r="AA26" i="71"/>
  <c r="AA23" i="71"/>
  <c r="Y30" i="71"/>
  <c r="Z30" i="71" s="1"/>
  <c r="Y28" i="71"/>
  <c r="Z28" i="71" s="1"/>
  <c r="Y25" i="71"/>
  <c r="Z25" i="71" s="1"/>
  <c r="Y24" i="71"/>
  <c r="Z24" i="71" s="1"/>
  <c r="Y29" i="71"/>
  <c r="Z29" i="71" s="1"/>
  <c r="Y22" i="71"/>
  <c r="Z22" i="71" s="1"/>
  <c r="X28" i="71"/>
  <c r="X29" i="71"/>
  <c r="X31" i="71"/>
  <c r="X30" i="71"/>
  <c r="AB31" i="71"/>
  <c r="AB26" i="71"/>
  <c r="AB21" i="71"/>
  <c r="B33" i="71"/>
  <c r="B34" i="71" s="1"/>
  <c r="B35" i="71" s="1"/>
  <c r="S35" i="71" s="1"/>
  <c r="X32" i="71"/>
  <c r="J51" i="15"/>
  <c r="E103" i="39"/>
  <c r="F103" i="39" s="1"/>
  <c r="G103" i="39" s="1"/>
  <c r="F29" i="39"/>
  <c r="AA29" i="39" s="1"/>
  <c r="AB20" i="71"/>
  <c r="AB22" i="71"/>
  <c r="AB23" i="71"/>
  <c r="B26" i="71"/>
  <c r="B27" i="71" s="1"/>
  <c r="S27" i="71" s="1"/>
  <c r="C23" i="71"/>
  <c r="Y19" i="71"/>
  <c r="Z19" i="71" s="1"/>
  <c r="Y21" i="71"/>
  <c r="Z21" i="71" s="1"/>
  <c r="Y23" i="71"/>
  <c r="Z23" i="71" s="1"/>
  <c r="X22" i="71"/>
  <c r="X23" i="71"/>
  <c r="E25" i="71"/>
  <c r="E26" i="71" s="1"/>
  <c r="E27" i="71" s="1"/>
  <c r="U27" i="71" s="1"/>
  <c r="AA24" i="71"/>
  <c r="AA22" i="71"/>
  <c r="AA21" i="71"/>
  <c r="AB25" i="71"/>
  <c r="AA29" i="71"/>
  <c r="AA28" i="71"/>
  <c r="AB33" i="71"/>
  <c r="AB32" i="71"/>
  <c r="C31" i="71"/>
  <c r="E30" i="71"/>
  <c r="E31" i="71" s="1"/>
  <c r="U31" i="71" s="1"/>
  <c r="Y26" i="71"/>
  <c r="Z26" i="71" s="1"/>
  <c r="C27" i="71"/>
  <c r="X26" i="71"/>
  <c r="X27" i="71"/>
  <c r="AB27" i="71"/>
  <c r="AB29" i="71"/>
  <c r="AB28" i="71"/>
  <c r="AA30" i="71"/>
  <c r="AA31" i="71"/>
  <c r="X5" i="71"/>
  <c r="X34" i="71"/>
  <c r="C46" i="71"/>
  <c r="F61" i="71"/>
  <c r="Q62" i="71"/>
  <c r="M56" i="9"/>
  <c r="K56" i="9"/>
  <c r="AA20" i="71"/>
  <c r="AA18" i="71"/>
  <c r="AA19" i="71"/>
  <c r="AA17" i="71"/>
  <c r="E19" i="71"/>
  <c r="X17" i="71"/>
  <c r="B19" i="71"/>
  <c r="X19" i="71"/>
  <c r="AA13" i="71"/>
  <c r="X13" i="71"/>
  <c r="Y13" i="71"/>
  <c r="Z13" i="71" s="1"/>
  <c r="AB13" i="71"/>
  <c r="AB7" i="71"/>
  <c r="AA5" i="71"/>
  <c r="X20" i="71"/>
  <c r="X16" i="71"/>
  <c r="Y16" i="71"/>
  <c r="Z16" i="71" s="1"/>
  <c r="Y8" i="71"/>
  <c r="Z8" i="71" s="1"/>
  <c r="Y12" i="71"/>
  <c r="Z12" i="71" s="1"/>
  <c r="Y9" i="71"/>
  <c r="Z9" i="71" s="1"/>
  <c r="AB12" i="71"/>
  <c r="AB9" i="71"/>
  <c r="AB6" i="71"/>
  <c r="Y7" i="71"/>
  <c r="Z7" i="71" s="1"/>
  <c r="X7" i="71"/>
  <c r="Y5" i="71"/>
  <c r="Z5" i="71" s="1"/>
  <c r="AC12" i="43"/>
  <c r="AC10" i="43"/>
  <c r="AG12" i="43"/>
  <c r="AG10" i="43"/>
  <c r="Y17" i="71"/>
  <c r="Z17" i="71" s="1"/>
  <c r="Y18" i="71"/>
  <c r="Z18" i="71" s="1"/>
  <c r="C19" i="71"/>
  <c r="AB18" i="71"/>
  <c r="AB19" i="71"/>
  <c r="AB16" i="71"/>
  <c r="AA16" i="71"/>
  <c r="X10" i="71"/>
  <c r="X9" i="71"/>
  <c r="X6" i="71"/>
  <c r="AA10" i="71"/>
  <c r="AA9" i="71"/>
  <c r="AA7" i="71"/>
  <c r="AA6" i="71"/>
  <c r="X12" i="71"/>
  <c r="AA12" i="71"/>
  <c r="AA8" i="71"/>
  <c r="X8" i="71"/>
  <c r="AB10" i="71"/>
  <c r="AB5" i="71"/>
  <c r="AB8" i="71"/>
  <c r="Y6" i="71"/>
  <c r="Z6" i="71" s="1"/>
  <c r="E278" i="3"/>
  <c r="E361" i="3"/>
  <c r="E388" i="3"/>
  <c r="E555" i="3"/>
  <c r="E410" i="3"/>
  <c r="E337" i="3"/>
  <c r="E143" i="3"/>
  <c r="E270" i="3"/>
  <c r="E533" i="3"/>
  <c r="AR6" i="3"/>
  <c r="E561" i="3"/>
  <c r="E538" i="3"/>
  <c r="E439" i="3"/>
  <c r="E380"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59" i="40"/>
  <c r="D5" i="43"/>
  <c r="C35" i="43" s="1"/>
  <c r="E35" i="43" s="1"/>
  <c r="P61" i="15"/>
  <c r="S31" i="39"/>
  <c r="W29" i="39"/>
  <c r="U29" i="39"/>
  <c r="S29" i="39"/>
  <c r="F95" i="39"/>
  <c r="G95" i="39" s="1"/>
  <c r="J21" i="39"/>
  <c r="F21" i="39"/>
  <c r="AA21" i="39" s="1"/>
  <c r="H21" i="39"/>
  <c r="AB21" i="39" s="1"/>
  <c r="H17" i="39"/>
  <c r="AB17" i="39" s="1"/>
  <c r="F91" i="39"/>
  <c r="G91" i="39" s="1"/>
  <c r="F17" i="39"/>
  <c r="J17" i="39"/>
  <c r="AA36" i="39"/>
  <c r="S36" i="39"/>
  <c r="AB34" i="39"/>
  <c r="S34" i="39"/>
  <c r="J36" i="39"/>
  <c r="H36" i="39"/>
  <c r="S19" i="39"/>
  <c r="F89" i="39"/>
  <c r="G89" i="39" s="1"/>
  <c r="F15" i="39"/>
  <c r="AA15" i="39" s="1"/>
  <c r="J15" i="39"/>
  <c r="H15" i="39"/>
  <c r="U15" i="39" s="1"/>
  <c r="W27" i="39"/>
  <c r="U9" i="39"/>
  <c r="F30" i="69"/>
  <c r="F48" i="69" s="1"/>
  <c r="D68" i="9"/>
  <c r="M18" i="15"/>
  <c r="F52" i="9"/>
  <c r="C30" i="11"/>
  <c r="F32" i="15"/>
  <c r="F60" i="15" s="1"/>
  <c r="F32" i="67"/>
  <c r="F60" i="67" s="1"/>
  <c r="F28" i="67"/>
  <c r="C28" i="67" s="1"/>
  <c r="F48" i="9"/>
  <c r="O52" i="9" s="1"/>
  <c r="C24" i="12"/>
  <c r="C30" i="69"/>
  <c r="C36" i="11"/>
  <c r="F54" i="9"/>
  <c r="F28" i="15"/>
  <c r="C28" i="15" s="1"/>
  <c r="C48" i="69"/>
  <c r="M18" i="67"/>
  <c r="F31" i="12"/>
  <c r="C31" i="12" s="1"/>
  <c r="F30" i="68"/>
  <c r="C21" i="69"/>
  <c r="D22" i="67"/>
  <c r="Q16" i="1"/>
  <c r="F27" i="68" s="1"/>
  <c r="L27" i="6"/>
  <c r="T7" i="1"/>
  <c r="C34" i="69"/>
  <c r="C35" i="69" s="1"/>
  <c r="AR7" i="1"/>
  <c r="H16" i="1"/>
  <c r="K15" i="1"/>
  <c r="K16" i="1" s="1"/>
  <c r="E30" i="6"/>
  <c r="E12" i="6"/>
  <c r="E62" i="39" s="1"/>
  <c r="E13" i="6"/>
  <c r="E15" i="6"/>
  <c r="B113" i="43"/>
  <c r="F101" i="43"/>
  <c r="E22" i="43"/>
  <c r="C101" i="43"/>
  <c r="N104" i="46"/>
  <c r="L101" i="43"/>
  <c r="D101" i="43"/>
  <c r="I101" i="43"/>
  <c r="G22" i="43"/>
  <c r="S2" i="43"/>
  <c r="AH11" i="43"/>
  <c r="AH13" i="43" s="1"/>
  <c r="AD11" i="43"/>
  <c r="AD13" i="43" s="1"/>
  <c r="Z11" i="43"/>
  <c r="Z13" i="43" s="1"/>
  <c r="S5" i="43"/>
  <c r="AG11" i="43"/>
  <c r="AG13" i="43" s="1"/>
  <c r="AC11" i="43"/>
  <c r="AC13" i="43" s="1"/>
  <c r="Y11" i="43"/>
  <c r="Y13" i="43" s="1"/>
  <c r="S6" i="43"/>
  <c r="S4" i="43"/>
  <c r="S7" i="43"/>
  <c r="F22" i="43"/>
  <c r="K101" i="43"/>
  <c r="N101" i="43"/>
  <c r="G101" i="43"/>
  <c r="J101" i="43"/>
  <c r="H22" i="43"/>
  <c r="H101" i="43"/>
  <c r="M101" i="43"/>
  <c r="E101" i="43"/>
  <c r="AJ11" i="43"/>
  <c r="AJ13" i="43" s="1"/>
  <c r="AF11" i="43"/>
  <c r="AF13" i="43" s="1"/>
  <c r="AB11" i="43"/>
  <c r="AB13" i="43" s="1"/>
  <c r="Z7" i="43"/>
  <c r="AI11" i="43"/>
  <c r="AI13" i="43" s="1"/>
  <c r="AE11" i="43"/>
  <c r="AE13" i="43" s="1"/>
  <c r="AA11" i="43"/>
  <c r="AA13" i="43" s="1"/>
  <c r="C23" i="43"/>
  <c r="C21" i="43" s="1"/>
  <c r="S3" i="43"/>
  <c r="J22" i="43"/>
  <c r="E57" i="40"/>
  <c r="E550" i="3"/>
  <c r="E260" i="3"/>
  <c r="E395" i="3"/>
  <c r="E114" i="3"/>
  <c r="E528" i="3"/>
  <c r="E261"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F27" i="6"/>
  <c r="E56" i="39"/>
  <c r="E51" i="40"/>
  <c r="D19" i="12"/>
  <c r="C19" i="12" s="1"/>
  <c r="D9" i="68"/>
  <c r="C9" i="68" s="1"/>
  <c r="D9" i="69"/>
  <c r="C9" i="69" s="1"/>
  <c r="E56" i="40"/>
  <c r="O9" i="1"/>
  <c r="P9" i="1" s="1"/>
  <c r="O14" i="1"/>
  <c r="P14" i="1" s="1"/>
  <c r="P6" i="1"/>
  <c r="O8" i="1"/>
  <c r="M16" i="1"/>
  <c r="C34" i="68"/>
  <c r="C35" i="68" s="1"/>
  <c r="G68" i="39"/>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Y11" i="71"/>
  <c r="Z11" i="71" s="1"/>
  <c r="Y10" i="71"/>
  <c r="Z10" i="71" s="1"/>
  <c r="AA11" i="71"/>
  <c r="AB3" i="71"/>
  <c r="C37" i="43"/>
  <c r="E37" i="43" s="1"/>
  <c r="X11" i="71"/>
  <c r="AB11" i="71"/>
  <c r="Y3" i="71"/>
  <c r="Z3" i="71" s="1"/>
  <c r="F11" i="71"/>
  <c r="F10" i="71" s="1"/>
  <c r="F9" i="71" s="1"/>
  <c r="F8" i="71" s="1"/>
  <c r="F7" i="71" s="1"/>
  <c r="F6" i="71" s="1"/>
  <c r="F5" i="71" s="1"/>
  <c r="AF3" i="71"/>
  <c r="P22" i="43" s="1"/>
  <c r="C33"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D3" i="73"/>
  <c r="D6" i="73"/>
  <c r="C14" i="67"/>
  <c r="C17" i="67"/>
  <c r="D7" i="73"/>
  <c r="G1" i="73"/>
  <c r="D4" i="73"/>
  <c r="C16" i="67"/>
  <c r="AZ5" i="3" l="1"/>
  <c r="T11" i="43"/>
  <c r="V11" i="43" s="1"/>
  <c r="T15" i="43"/>
  <c r="V15" i="43" s="1"/>
  <c r="T7" i="43"/>
  <c r="V7" i="43" s="1"/>
  <c r="T16" i="43"/>
  <c r="V16" i="43" s="1"/>
  <c r="T8" i="43"/>
  <c r="V8" i="43" s="1"/>
  <c r="T5" i="43"/>
  <c r="V5" i="43" s="1"/>
  <c r="T14" i="43"/>
  <c r="V14" i="43" s="1"/>
  <c r="T12" i="43"/>
  <c r="V12" i="43" s="1"/>
  <c r="T9" i="43"/>
  <c r="V9" i="43" s="1"/>
  <c r="T4" i="43"/>
  <c r="V4" i="43" s="1"/>
  <c r="T6" i="43"/>
  <c r="V6" i="43" s="1"/>
  <c r="C29" i="43"/>
  <c r="T10" i="43"/>
  <c r="V10" i="43" s="1"/>
  <c r="T13" i="43"/>
  <c r="V13" i="43" s="1"/>
  <c r="T2" i="43"/>
  <c r="V2" i="43" s="1"/>
  <c r="T3" i="43"/>
  <c r="V3" i="43" s="1"/>
  <c r="C47" i="71"/>
  <c r="D46" i="71"/>
  <c r="T27" i="71"/>
  <c r="D27" i="71"/>
  <c r="T23" i="71"/>
  <c r="D23" i="71"/>
  <c r="U23" i="71" s="1"/>
  <c r="C22" i="71"/>
  <c r="C65" i="71"/>
  <c r="D65" i="71" s="1"/>
  <c r="D66" i="71"/>
  <c r="D58" i="71"/>
  <c r="C59" i="71"/>
  <c r="U39" i="40"/>
  <c r="AB39" i="40"/>
  <c r="AC36" i="35"/>
  <c r="W36" i="35"/>
  <c r="E69" i="3"/>
  <c r="E213" i="3"/>
  <c r="E302" i="3"/>
  <c r="E239" i="3"/>
  <c r="E516" i="3"/>
  <c r="E569" i="3"/>
  <c r="E396" i="3"/>
  <c r="E229" i="3"/>
  <c r="E151" i="3"/>
  <c r="E358" i="3"/>
  <c r="E559" i="3"/>
  <c r="E551" i="3"/>
  <c r="V6" i="3"/>
  <c r="E407" i="3"/>
  <c r="E320" i="3"/>
  <c r="E294" i="3"/>
  <c r="E301" i="3"/>
  <c r="E245" i="3"/>
  <c r="E159" i="3"/>
  <c r="E191" i="3"/>
  <c r="E99" i="3"/>
  <c r="E188" i="3"/>
  <c r="E228" i="3"/>
  <c r="E181" i="3"/>
  <c r="E157" i="3"/>
  <c r="E149" i="3"/>
  <c r="E212" i="3"/>
  <c r="E253" i="3"/>
  <c r="E167" i="3"/>
  <c r="E199" i="3"/>
  <c r="E141" i="3"/>
  <c r="E312" i="3"/>
  <c r="E575" i="3"/>
  <c r="E542" i="3"/>
  <c r="E502" i="3"/>
  <c r="E442" i="3"/>
  <c r="E464" i="3"/>
  <c r="E466" i="3"/>
  <c r="E548" i="3"/>
  <c r="P6" i="3"/>
  <c r="E398" i="3"/>
  <c r="E430" i="3"/>
  <c r="E416" i="3"/>
  <c r="E449" i="3"/>
  <c r="E459" i="3"/>
  <c r="E255" i="3"/>
  <c r="E374" i="3"/>
  <c r="I3" i="6"/>
  <c r="E566" i="3"/>
  <c r="E563" i="3"/>
  <c r="E17" i="3"/>
  <c r="E579" i="3"/>
  <c r="E431" i="3"/>
  <c r="E247" i="3"/>
  <c r="E201" i="3"/>
  <c r="E311" i="3"/>
  <c r="E514" i="3"/>
  <c r="E570" i="3"/>
  <c r="M6" i="3"/>
  <c r="AB6" i="3"/>
  <c r="E387" i="3"/>
  <c r="E335" i="3"/>
  <c r="E244" i="3"/>
  <c r="E262" i="3"/>
  <c r="E196" i="3"/>
  <c r="E136" i="3"/>
  <c r="E156" i="3"/>
  <c r="E236" i="3"/>
  <c r="E148" i="3"/>
  <c r="E269" i="3"/>
  <c r="E122" i="3"/>
  <c r="E89" i="3"/>
  <c r="E207" i="3"/>
  <c r="E252" i="3"/>
  <c r="E271" i="3"/>
  <c r="E204" i="3"/>
  <c r="E145" i="3"/>
  <c r="E164" i="3"/>
  <c r="E107" i="3"/>
  <c r="E327" i="3"/>
  <c r="E379" i="3"/>
  <c r="E576" i="3"/>
  <c r="Z6" i="3"/>
  <c r="U6" i="3"/>
  <c r="AG6" i="3"/>
  <c r="E515" i="3"/>
  <c r="AO6" i="3"/>
  <c r="E411"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286" i="3"/>
  <c r="AD6" i="3"/>
  <c r="E499" i="3"/>
  <c r="R6" i="3"/>
  <c r="E552" i="3"/>
  <c r="E421" i="3"/>
  <c r="E448" i="3"/>
  <c r="E478" i="3"/>
  <c r="E485" i="3"/>
  <c r="E487" i="3"/>
  <c r="E541" i="3"/>
  <c r="E414" i="3"/>
  <c r="E400" i="3"/>
  <c r="E432" i="3"/>
  <c r="E443" i="3"/>
  <c r="E477" i="3"/>
  <c r="E345" i="3"/>
  <c r="E367" i="3"/>
  <c r="E558" i="3"/>
  <c r="E505"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C38" i="40"/>
  <c r="W38" i="40"/>
  <c r="AA26" i="37"/>
  <c r="S26" i="37"/>
  <c r="AC35" i="39"/>
  <c r="W35" i="39"/>
  <c r="S34" i="36"/>
  <c r="AA34" i="36"/>
  <c r="W28" i="33"/>
  <c r="AC28" i="33"/>
  <c r="BA5" i="3"/>
  <c r="E571" i="3"/>
  <c r="E585" i="3"/>
  <c r="E557" i="3"/>
  <c r="U27" i="39"/>
  <c r="AB27" i="39"/>
  <c r="C38" i="43"/>
  <c r="G38" i="43" s="1"/>
  <c r="I38" i="43" s="1"/>
  <c r="C34" i="43"/>
  <c r="C39" i="43"/>
  <c r="G39" i="43" s="1"/>
  <c r="I39" i="43" s="1"/>
  <c r="C36" i="43"/>
  <c r="E36" i="43" s="1"/>
  <c r="E70" i="39"/>
  <c r="F28" i="12"/>
  <c r="C29" i="12" s="1"/>
  <c r="D28" i="12" s="1"/>
  <c r="F31" i="6"/>
  <c r="F36" i="6" s="1"/>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415" i="3"/>
  <c r="E172" i="3"/>
  <c r="E445" i="3"/>
  <c r="E535" i="3"/>
  <c r="S15" i="39"/>
  <c r="AB15" i="39"/>
  <c r="U21" i="39"/>
  <c r="E427" i="3"/>
  <c r="E405" i="3"/>
  <c r="E543" i="3"/>
  <c r="T6" i="3"/>
  <c r="E564" i="3"/>
  <c r="E534" i="3"/>
  <c r="E493" i="3"/>
  <c r="E525" i="3"/>
  <c r="E393" i="3"/>
  <c r="E369" i="3"/>
  <c r="E105" i="3"/>
  <c r="E173" i="3"/>
  <c r="E116" i="3"/>
  <c r="E197" i="3"/>
  <c r="E238" i="3"/>
  <c r="E223" i="3"/>
  <c r="E85" i="3"/>
  <c r="E140" i="3"/>
  <c r="E180" i="3"/>
  <c r="E221" i="3"/>
  <c r="E91" i="3"/>
  <c r="E254" i="3"/>
  <c r="E134" i="3"/>
  <c r="E130" i="3"/>
  <c r="E189" i="3"/>
  <c r="E230" i="3"/>
  <c r="E215" i="3"/>
  <c r="E321" i="3"/>
  <c r="E338" i="3"/>
  <c r="E418" i="3"/>
  <c r="E506" i="3"/>
  <c r="E523" i="3"/>
  <c r="S6" i="3"/>
  <c r="E390" i="3"/>
  <c r="E97" i="3"/>
  <c r="E285" i="3"/>
  <c r="E359" i="3"/>
  <c r="E574" i="3"/>
  <c r="O6" i="3"/>
  <c r="E503" i="3"/>
  <c r="E183" i="3"/>
  <c r="E237" i="3"/>
  <c r="C18" i="71"/>
  <c r="T19" i="71"/>
  <c r="D19" i="71"/>
  <c r="U19" i="71" s="1"/>
  <c r="B18" i="71"/>
  <c r="B17" i="71" s="1"/>
  <c r="B16" i="71" s="1"/>
  <c r="B15" i="71" s="1"/>
  <c r="S19" i="71"/>
  <c r="E18" i="71"/>
  <c r="E17" i="71" s="1"/>
  <c r="E16" i="71" s="1"/>
  <c r="E15" i="71" s="1"/>
  <c r="V19" i="71"/>
  <c r="Q60" i="71"/>
  <c r="Q61" i="71"/>
  <c r="T31" i="71"/>
  <c r="D31" i="71"/>
  <c r="C35" i="71"/>
  <c r="D34" i="71"/>
  <c r="D74" i="71"/>
  <c r="C73" i="71"/>
  <c r="D73" i="71" s="1"/>
  <c r="N62" i="71"/>
  <c r="B61" i="71"/>
  <c r="AC39" i="40"/>
  <c r="W39" i="40"/>
  <c r="U36" i="35"/>
  <c r="AB36" i="35"/>
  <c r="AB38" i="40"/>
  <c r="U38" i="40"/>
  <c r="AA38" i="40"/>
  <c r="S38" i="40"/>
  <c r="AA23" i="36"/>
  <c r="S23" i="36"/>
  <c r="U9" i="34"/>
  <c r="AB9" i="34"/>
  <c r="AA35" i="39"/>
  <c r="S35" i="39"/>
  <c r="W33" i="36"/>
  <c r="AC33" i="36"/>
  <c r="AA28" i="33"/>
  <c r="S28" i="33"/>
  <c r="AC13" i="36"/>
  <c r="W13" i="36"/>
  <c r="D121" i="9"/>
  <c r="D7" i="52" s="1"/>
  <c r="D6" i="52"/>
  <c r="E587" i="3"/>
  <c r="E509" i="3"/>
  <c r="S27" i="39"/>
  <c r="AA27" i="39"/>
  <c r="E544" i="3"/>
  <c r="S21" i="39"/>
  <c r="AC21" i="39"/>
  <c r="W21" i="39"/>
  <c r="U17" i="39"/>
  <c r="AC17" i="39"/>
  <c r="W17" i="39"/>
  <c r="AA17" i="39"/>
  <c r="S17" i="39"/>
  <c r="AB36" i="39"/>
  <c r="U36" i="39"/>
  <c r="AC36" i="39"/>
  <c r="W36" i="39"/>
  <c r="W15" i="39"/>
  <c r="AC15" i="39"/>
  <c r="F48" i="68"/>
  <c r="C30" i="68"/>
  <c r="C48" i="68"/>
  <c r="C38" i="68"/>
  <c r="O16" i="1"/>
  <c r="C38" i="69"/>
  <c r="G36" i="43"/>
  <c r="I36" i="43" s="1"/>
  <c r="C29" i="68"/>
  <c r="D27" i="68" s="1"/>
  <c r="F45" i="68"/>
  <c r="C47" i="68"/>
  <c r="D45" i="68" s="1"/>
  <c r="F27" i="69"/>
  <c r="F27" i="11"/>
  <c r="E60" i="40"/>
  <c r="E65" i="39"/>
  <c r="E58" i="40"/>
  <c r="E63" i="39"/>
  <c r="E66" i="39" s="1"/>
  <c r="E27" i="6"/>
  <c r="M109" i="43"/>
  <c r="M102" i="43"/>
  <c r="M106" i="43"/>
  <c r="M103" i="43"/>
  <c r="M104" i="43"/>
  <c r="M107" i="43"/>
  <c r="M105" i="43"/>
  <c r="G105" i="43"/>
  <c r="G102" i="43"/>
  <c r="G107" i="43"/>
  <c r="G104" i="43"/>
  <c r="G106" i="43"/>
  <c r="G103" i="43"/>
  <c r="G109" i="43"/>
  <c r="K103" i="43"/>
  <c r="K102" i="43"/>
  <c r="K105" i="43"/>
  <c r="K109" i="43"/>
  <c r="K107" i="43"/>
  <c r="K104" i="43"/>
  <c r="K106" i="43"/>
  <c r="I109" i="43"/>
  <c r="I102" i="43"/>
  <c r="I106" i="43"/>
  <c r="I103" i="43"/>
  <c r="I104" i="43"/>
  <c r="I107" i="43"/>
  <c r="I105" i="43"/>
  <c r="L109" i="43"/>
  <c r="L102" i="43"/>
  <c r="L105" i="43"/>
  <c r="L104" i="43"/>
  <c r="L106" i="43"/>
  <c r="L107" i="43"/>
  <c r="L103" i="43"/>
  <c r="C104" i="43"/>
  <c r="C107" i="43"/>
  <c r="C103" i="43"/>
  <c r="C106" i="43"/>
  <c r="C105" i="43"/>
  <c r="C102" i="43"/>
  <c r="C109" i="43"/>
  <c r="F104" i="43"/>
  <c r="F102" i="43"/>
  <c r="F105" i="43"/>
  <c r="F109" i="43"/>
  <c r="F107" i="43"/>
  <c r="F106" i="43"/>
  <c r="F103" i="43"/>
  <c r="E102" i="43"/>
  <c r="E106" i="43"/>
  <c r="E103" i="43"/>
  <c r="E109" i="43"/>
  <c r="E104" i="43"/>
  <c r="E107" i="43"/>
  <c r="E105" i="43"/>
  <c r="H102" i="43"/>
  <c r="H103" i="43"/>
  <c r="H104" i="43"/>
  <c r="H107" i="43"/>
  <c r="H106" i="43"/>
  <c r="H105" i="43"/>
  <c r="H109" i="43"/>
  <c r="J104" i="43"/>
  <c r="J105" i="43"/>
  <c r="J107" i="43"/>
  <c r="J102" i="43"/>
  <c r="J109" i="43"/>
  <c r="J103" i="43"/>
  <c r="J106" i="43"/>
  <c r="N102" i="43"/>
  <c r="N105" i="43"/>
  <c r="N104" i="43"/>
  <c r="N109" i="43"/>
  <c r="N103" i="43"/>
  <c r="N106" i="43"/>
  <c r="N107" i="43"/>
  <c r="D22" i="43"/>
  <c r="D109" i="43"/>
  <c r="D103" i="43"/>
  <c r="D104" i="43"/>
  <c r="D107" i="43"/>
  <c r="D105" i="43"/>
  <c r="D106" i="43"/>
  <c r="D102" i="43"/>
  <c r="B115"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AC6" i="3"/>
  <c r="N16" i="1"/>
  <c r="C34" i="11"/>
  <c r="L16" i="1"/>
  <c r="P8" i="1"/>
  <c r="P16" i="1" s="1"/>
  <c r="C11" i="12" s="1"/>
  <c r="J10" i="39"/>
  <c r="AC10" i="39" s="1"/>
  <c r="H10" i="40"/>
  <c r="U10" i="40" s="1"/>
  <c r="H10" i="39"/>
  <c r="AB10" i="39" s="1"/>
  <c r="J10" i="40"/>
  <c r="AC10" i="40" s="1"/>
  <c r="F7" i="36"/>
  <c r="S7" i="36" s="1"/>
  <c r="J7" i="37"/>
  <c r="H7" i="36"/>
  <c r="U7" i="36" s="1"/>
  <c r="H7" i="34"/>
  <c r="F7" i="34"/>
  <c r="S7" i="34" s="1"/>
  <c r="F59" i="67"/>
  <c r="G35" i="43"/>
  <c r="I35" i="43" s="1"/>
  <c r="G70" i="39"/>
  <c r="H68" i="39"/>
  <c r="H7" i="37"/>
  <c r="AB7" i="37" s="1"/>
  <c r="T42" i="37" s="1"/>
  <c r="G42" i="37" s="1"/>
  <c r="B40" i="1"/>
  <c r="AB10" i="40"/>
  <c r="S10" i="39"/>
  <c r="AA10" i="39"/>
  <c r="H7" i="33"/>
  <c r="J7" i="33"/>
  <c r="D65" i="40"/>
  <c r="E63" i="40"/>
  <c r="F48" i="35"/>
  <c r="AC7" i="37"/>
  <c r="V42" i="37" s="1"/>
  <c r="I42" i="37" s="1"/>
  <c r="W7" i="37"/>
  <c r="AB7" i="36"/>
  <c r="T36" i="36" s="1"/>
  <c r="G36" i="36" s="1"/>
  <c r="AB7" i="34"/>
  <c r="T49" i="34" s="1"/>
  <c r="G49" i="34" s="1"/>
  <c r="U7" i="34"/>
  <c r="AA10" i="40"/>
  <c r="S10" i="40"/>
  <c r="F7" i="33"/>
  <c r="E58" i="21"/>
  <c r="AC7" i="36"/>
  <c r="V36" i="36" s="1"/>
  <c r="I36" i="36" s="1"/>
  <c r="W7" i="36"/>
  <c r="F7" i="37"/>
  <c r="W7" i="34"/>
  <c r="AC7" i="34"/>
  <c r="V49" i="34" s="1"/>
  <c r="I49" i="34" s="1"/>
  <c r="G37" i="43"/>
  <c r="I37" i="43" s="1"/>
  <c r="M17" i="67"/>
  <c r="M17" i="15"/>
  <c r="F59" i="15"/>
  <c r="P24" i="43"/>
  <c r="B66" i="40" s="1"/>
  <c r="P21" i="43"/>
  <c r="C49" i="67"/>
  <c r="E39" i="43"/>
  <c r="P25" i="43"/>
  <c r="P23" i="43"/>
  <c r="C30" i="43"/>
  <c r="E30" i="43" s="1"/>
  <c r="E29" i="43"/>
  <c r="E38" i="43"/>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T35" i="71" l="1"/>
  <c r="D35" i="71"/>
  <c r="E14" i="71"/>
  <c r="E13" i="71" s="1"/>
  <c r="E12" i="71" s="1"/>
  <c r="E11" i="71" s="1"/>
  <c r="V15" i="71"/>
  <c r="B14" i="71"/>
  <c r="B13" i="71" s="1"/>
  <c r="B12" i="71" s="1"/>
  <c r="B11" i="71" s="1"/>
  <c r="S15" i="71"/>
  <c r="H6" i="3"/>
  <c r="E6" i="3" s="1"/>
  <c r="T59" i="71"/>
  <c r="D59" i="71"/>
  <c r="C21" i="71"/>
  <c r="D21" i="71" s="1"/>
  <c r="D22" i="71"/>
  <c r="T47" i="71"/>
  <c r="D47" i="71"/>
  <c r="C26" i="43"/>
  <c r="B71" i="39"/>
  <c r="AA7" i="34"/>
  <c r="R49" i="34" s="1"/>
  <c r="AA7" i="36"/>
  <c r="R36" i="36" s="1"/>
  <c r="R37" i="36" s="1"/>
  <c r="N61" i="71"/>
  <c r="N60" i="71"/>
  <c r="C17" i="71"/>
  <c r="D18" i="71"/>
  <c r="AY6" i="3"/>
  <c r="E3" i="6"/>
  <c r="C29" i="11"/>
  <c r="D27" i="11" s="1"/>
  <c r="C47" i="11"/>
  <c r="D45" i="11" s="1"/>
  <c r="C47" i="69"/>
  <c r="D45" i="69" s="1"/>
  <c r="C29" i="69"/>
  <c r="D27" i="69" s="1"/>
  <c r="F45" i="69"/>
  <c r="K21" i="6"/>
  <c r="M21" i="6" s="1"/>
  <c r="I21" i="6" s="1"/>
  <c r="K22" i="6"/>
  <c r="M22" i="6" s="1"/>
  <c r="I22" i="6" s="1"/>
  <c r="K23" i="6"/>
  <c r="M23" i="6" s="1"/>
  <c r="I23" i="6" s="1"/>
  <c r="E31" i="6"/>
  <c r="K26" i="6"/>
  <c r="M26" i="6" s="1"/>
  <c r="I26" i="6" s="1"/>
  <c r="K19" i="6"/>
  <c r="S6" i="1" s="1"/>
  <c r="K25" i="6"/>
  <c r="M25" i="6" s="1"/>
  <c r="I25" i="6" s="1"/>
  <c r="K24" i="6"/>
  <c r="M24" i="6" s="1"/>
  <c r="I24" i="6" s="1"/>
  <c r="K20" i="6"/>
  <c r="M20" i="6" s="1"/>
  <c r="I20" i="6" s="1"/>
  <c r="C115" i="43"/>
  <c r="D113" i="43" s="1"/>
  <c r="W10" i="40"/>
  <c r="W10" i="39"/>
  <c r="C15" i="12"/>
  <c r="C12" i="12"/>
  <c r="C38" i="11"/>
  <c r="C35" i="11"/>
  <c r="F50" i="69"/>
  <c r="F50" i="11"/>
  <c r="F50" i="68"/>
  <c r="U10" i="39"/>
  <c r="U7" i="37"/>
  <c r="I68" i="39"/>
  <c r="H70"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6" i="76"/>
  <c r="E6" i="6" l="1"/>
  <c r="D3" i="34"/>
  <c r="D19" i="11"/>
  <c r="C19" i="11" s="1"/>
  <c r="C20" i="11" s="1"/>
  <c r="C28" i="11" s="1"/>
  <c r="C27" i="11" s="1"/>
  <c r="D37" i="11"/>
  <c r="C37" i="11" s="1"/>
  <c r="M18" i="9"/>
  <c r="B118" i="9" s="1"/>
  <c r="B14" i="74" s="1"/>
  <c r="B1" i="74" s="1"/>
  <c r="C7" i="74" s="1"/>
  <c r="D3" i="21"/>
  <c r="D3" i="37"/>
  <c r="D3" i="33"/>
  <c r="C17" i="4"/>
  <c r="B4" i="52" s="1"/>
  <c r="B43" i="72" s="1"/>
  <c r="D14" i="12"/>
  <c r="L18" i="9"/>
  <c r="B10" i="71"/>
  <c r="B9" i="71" s="1"/>
  <c r="B8" i="71" s="1"/>
  <c r="B7" i="71" s="1"/>
  <c r="S11" i="71"/>
  <c r="E10" i="71"/>
  <c r="E9" i="71" s="1"/>
  <c r="E8" i="71" s="1"/>
  <c r="E7" i="71" s="1"/>
  <c r="V11" i="7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55" i="3"/>
  <c r="AY131" i="3"/>
  <c r="AY268" i="3"/>
  <c r="AY318" i="3"/>
  <c r="AY106" i="3"/>
  <c r="AY395" i="3"/>
  <c r="AY452" i="3"/>
  <c r="AY569" i="3"/>
  <c r="AY77" i="3"/>
  <c r="AY206" i="3"/>
  <c r="AY149" i="3"/>
  <c r="AY263" i="3"/>
  <c r="AY392" i="3"/>
  <c r="BJ6" i="3"/>
  <c r="AY197" i="3"/>
  <c r="AY274" i="3"/>
  <c r="AY317" i="3"/>
  <c r="AY457" i="3"/>
  <c r="AY581" i="3"/>
  <c r="AY546"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6" i="3"/>
  <c r="AY188" i="3"/>
  <c r="AY297" i="3"/>
  <c r="AY335" i="3"/>
  <c r="AY409" i="3"/>
  <c r="AY228" i="3"/>
  <c r="AY465" i="3"/>
  <c r="BK6" i="3"/>
  <c r="AY108" i="3"/>
  <c r="AY28" i="3"/>
  <c r="AY138" i="3"/>
  <c r="AY294" i="3"/>
  <c r="AY214" i="3"/>
  <c r="AY554" i="3"/>
  <c r="AY24" i="3"/>
  <c r="AY290" i="3"/>
  <c r="AY349" i="3"/>
  <c r="AY488" i="3"/>
  <c r="AY427" i="3"/>
  <c r="BF6"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83"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23" i="3"/>
  <c r="AY59" i="3"/>
  <c r="AY58" i="3"/>
  <c r="AY371" i="3"/>
  <c r="AY428" i="3"/>
  <c r="AY245" i="3"/>
  <c r="AY342" i="3"/>
  <c r="AY513" i="3"/>
  <c r="AY553" i="3"/>
  <c r="AY60" i="3"/>
  <c r="AY170" i="3"/>
  <c r="AY299" i="3"/>
  <c r="AY246" i="3"/>
  <c r="AY357" i="3"/>
  <c r="AY41" i="3"/>
  <c r="AY114" i="3"/>
  <c r="AY377" i="3"/>
  <c r="AY491" i="3"/>
  <c r="AY414" i="3"/>
  <c r="AY561" i="3"/>
  <c r="AY16"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6" i="3"/>
  <c r="AY115" i="3"/>
  <c r="AY276" i="3"/>
  <c r="AY225" i="3"/>
  <c r="AY470" i="3"/>
  <c r="AY180" i="3"/>
  <c r="AY358" i="3"/>
  <c r="AY433" i="3"/>
  <c r="AY541" i="3"/>
  <c r="AY45" i="3"/>
  <c r="AY201" i="3"/>
  <c r="AY118" i="3"/>
  <c r="AY231" i="3"/>
  <c r="AY381" i="3"/>
  <c r="AY104" i="3"/>
  <c r="AY177" i="3"/>
  <c r="AY210" i="3"/>
  <c r="AY332" i="3"/>
  <c r="AY446" i="3"/>
  <c r="BM6" i="3"/>
  <c r="AY510"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6" i="71"/>
  <c r="D17" i="71"/>
  <c r="E6" i="70"/>
  <c r="E2" i="70" s="1"/>
  <c r="F69" i="15"/>
  <c r="J29" i="15"/>
  <c r="AQ6" i="1"/>
  <c r="AR6" i="1"/>
  <c r="T6" i="1"/>
  <c r="S16" i="1"/>
  <c r="H20" i="6"/>
  <c r="S20" i="6"/>
  <c r="H24" i="6"/>
  <c r="S24" i="6"/>
  <c r="M19" i="6"/>
  <c r="K27" i="6"/>
  <c r="S22" i="6"/>
  <c r="S25" i="6"/>
  <c r="S26" i="6"/>
  <c r="H23" i="6"/>
  <c r="S23" i="6"/>
  <c r="S21" i="6"/>
  <c r="C33" i="11"/>
  <c r="C39" i="11" s="1"/>
  <c r="C46" i="11" s="1"/>
  <c r="C45" i="11" s="1"/>
  <c r="C19" i="68"/>
  <c r="C24"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14" i="15"/>
  <c r="R24" i="6" l="1"/>
  <c r="C15" i="71"/>
  <c r="D16" i="71"/>
  <c r="D25" i="6"/>
  <c r="D24" i="6"/>
  <c r="D10" i="6"/>
  <c r="D23" i="6"/>
  <c r="R23" i="6" s="1"/>
  <c r="D26" i="6"/>
  <c r="D13" i="6"/>
  <c r="D15" i="6"/>
  <c r="D20" i="6"/>
  <c r="R20" i="6" s="1"/>
  <c r="D12" i="6"/>
  <c r="D22" i="6"/>
  <c r="D5" i="6"/>
  <c r="D29" i="6"/>
  <c r="D8" i="6"/>
  <c r="D14" i="6"/>
  <c r="D19" i="6"/>
  <c r="D27" i="6" s="1"/>
  <c r="D11" i="6"/>
  <c r="D28" i="6"/>
  <c r="D30" i="6" s="1"/>
  <c r="D21" i="6"/>
  <c r="D9" i="6"/>
  <c r="D6" i="6"/>
  <c r="M19" i="9"/>
  <c r="C118" i="9" s="1"/>
  <c r="C14" i="74" s="1"/>
  <c r="B2" i="74" s="1"/>
  <c r="D7" i="74" s="1"/>
  <c r="E61" i="40"/>
  <c r="C18" i="4"/>
  <c r="L19" i="9"/>
  <c r="E6" i="71"/>
  <c r="E5" i="71" s="1"/>
  <c r="V7" i="71"/>
  <c r="B6" i="71"/>
  <c r="B5" i="71" s="1"/>
  <c r="S7" i="71"/>
  <c r="C14" i="12"/>
  <c r="C16" i="12" s="1"/>
  <c r="D17" i="12"/>
  <c r="C17" i="12" s="1"/>
  <c r="B2" i="34"/>
  <c r="B3" i="34" s="1"/>
  <c r="H21" i="6"/>
  <c r="R21" i="6" s="1"/>
  <c r="H26" i="6"/>
  <c r="R26" i="6" s="1"/>
  <c r="H25" i="6"/>
  <c r="H22" i="6"/>
  <c r="R22" i="6" s="1"/>
  <c r="D10" i="68"/>
  <c r="D10" i="11"/>
  <c r="C10" i="11" s="1"/>
  <c r="D10" i="69"/>
  <c r="D20" i="12"/>
  <c r="C20" i="12" s="1"/>
  <c r="C15" i="15"/>
  <c r="C18" i="15"/>
  <c r="T16" i="1"/>
  <c r="C42" i="11"/>
  <c r="I19" i="6"/>
  <c r="M27" i="6"/>
  <c r="C43" i="1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22" i="11"/>
  <c r="C31" i="11" s="1"/>
  <c r="C36" i="67"/>
  <c r="C33" i="67"/>
  <c r="C31" i="67" s="1"/>
  <c r="J14" i="67"/>
  <c r="C13" i="67"/>
  <c r="J19" i="67"/>
  <c r="J17" i="67" s="1"/>
  <c r="C57" i="67"/>
  <c r="C61" i="67" s="1"/>
  <c r="Q49" i="67"/>
  <c r="J59" i="67"/>
  <c r="J60" i="67" s="1"/>
  <c r="C4" i="52" l="1"/>
  <c r="B45" i="72" s="1"/>
  <c r="A7" i="51"/>
  <c r="B7" i="72" s="1"/>
  <c r="A10" i="51"/>
  <c r="B9" i="72" s="1"/>
  <c r="D31" i="6"/>
  <c r="D16" i="6"/>
  <c r="C14" i="71"/>
  <c r="D15" i="71"/>
  <c r="U15" i="71" s="1"/>
  <c r="T15" i="71"/>
  <c r="D19" i="69"/>
  <c r="C10" i="69"/>
  <c r="C8" i="69" s="1"/>
  <c r="C5" i="69" s="1"/>
  <c r="D19" i="68"/>
  <c r="D37" i="68" s="1"/>
  <c r="C37" i="68" s="1"/>
  <c r="C33" i="68" s="1"/>
  <c r="C91" i="9" s="1"/>
  <c r="C94" i="9" s="1"/>
  <c r="C10" i="68"/>
  <c r="B29" i="1" s="1"/>
  <c r="C8" i="68" s="1"/>
  <c r="R25" i="6"/>
  <c r="C19" i="15"/>
  <c r="C20" i="15" s="1"/>
  <c r="C26" i="15" s="1"/>
  <c r="C92" i="9"/>
  <c r="C41" i="11"/>
  <c r="C49" i="11" s="1"/>
  <c r="C51" i="11" s="1"/>
  <c r="C52" i="11" s="1"/>
  <c r="B2" i="11" s="1"/>
  <c r="B3" i="11" s="1"/>
  <c r="I27" i="6"/>
  <c r="S19" i="6"/>
  <c r="S27" i="6" s="1"/>
  <c r="H19" i="6"/>
  <c r="K70" i="39"/>
  <c r="L68" i="39"/>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L51" i="67"/>
  <c r="C23" i="69" l="1"/>
  <c r="C13" i="71"/>
  <c r="D14" i="71"/>
  <c r="I6" i="6"/>
  <c r="C11" i="39" s="1"/>
  <c r="I5" i="6"/>
  <c r="J7" i="21"/>
  <c r="C39" i="68"/>
  <c r="C42" i="68"/>
  <c r="D37" i="69"/>
  <c r="C37" i="69" s="1"/>
  <c r="C33" i="69" s="1"/>
  <c r="C19" i="69"/>
  <c r="C18" i="12"/>
  <c r="C21" i="12" s="1"/>
  <c r="C23" i="15"/>
  <c r="C29" i="15" s="1"/>
  <c r="C57" i="15" s="1"/>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22" i="12" l="1"/>
  <c r="C27" i="12" s="1"/>
  <c r="C25" i="12" s="1"/>
  <c r="C42" i="69"/>
  <c r="C39" i="69"/>
  <c r="C43" i="69" s="1"/>
  <c r="C46" i="68"/>
  <c r="C45" i="68" s="1"/>
  <c r="C43" i="68"/>
  <c r="C41" i="68" s="1"/>
  <c r="J7" i="35"/>
  <c r="AC7" i="35" s="1"/>
  <c r="V38" i="35" s="1"/>
  <c r="I38" i="35" s="1"/>
  <c r="C20" i="69"/>
  <c r="C24" i="69"/>
  <c r="F11" i="39"/>
  <c r="H11" i="39"/>
  <c r="J11" i="39"/>
  <c r="C12" i="71"/>
  <c r="D13" i="71"/>
  <c r="J14" i="15"/>
  <c r="J13" i="15" s="1"/>
  <c r="J23" i="15" s="1"/>
  <c r="C13" i="15"/>
  <c r="C56" i="15" s="1"/>
  <c r="C65" i="15" s="1"/>
  <c r="Q49" i="15"/>
  <c r="J19" i="15"/>
  <c r="C36" i="15"/>
  <c r="J59" i="15"/>
  <c r="J60" i="15" s="1"/>
  <c r="Q48" i="15" s="1"/>
  <c r="C61" i="15"/>
  <c r="C64" i="15"/>
  <c r="R27" i="6"/>
  <c r="R6" i="1"/>
  <c r="M70" i="39"/>
  <c r="N68" i="39"/>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41" i="69" l="1"/>
  <c r="C30" i="12"/>
  <c r="C28" i="12" s="1"/>
  <c r="C32" i="12" s="1"/>
  <c r="B2" i="12" s="1"/>
  <c r="B3" i="12" s="1"/>
  <c r="C49" i="68"/>
  <c r="D13" i="79" s="1"/>
  <c r="W11" i="39"/>
  <c r="AC11" i="39"/>
  <c r="AA11" i="39"/>
  <c r="S11" i="39"/>
  <c r="C25" i="69"/>
  <c r="C22" i="69" s="1"/>
  <c r="C28" i="69"/>
  <c r="C27" i="69" s="1"/>
  <c r="C11" i="71"/>
  <c r="D12" i="71"/>
  <c r="U11" i="39"/>
  <c r="AB11" i="39"/>
  <c r="C46" i="69"/>
  <c r="C45" i="69" s="1"/>
  <c r="C75" i="15"/>
  <c r="J22" i="15"/>
  <c r="C37" i="15"/>
  <c r="Q70" i="15"/>
  <c r="F63" i="15"/>
  <c r="C62" i="15" s="1"/>
  <c r="C59" i="15" s="1"/>
  <c r="C58" i="15" s="1"/>
  <c r="C67" i="15" s="1"/>
  <c r="C68" i="15" s="1"/>
  <c r="C34" i="15"/>
  <c r="C31" i="15" s="1"/>
  <c r="J20" i="15"/>
  <c r="J17"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9" i="69" l="1"/>
  <c r="C51" i="69" s="1"/>
  <c r="C51" i="68"/>
  <c r="D12" i="79"/>
  <c r="D11" i="79" s="1"/>
  <c r="E11" i="79" s="1"/>
  <c r="E7" i="79" s="1"/>
  <c r="C27" i="79" s="1"/>
  <c r="C10" i="71"/>
  <c r="T11" i="71"/>
  <c r="D11" i="71"/>
  <c r="U11" i="71" s="1"/>
  <c r="C31" i="69"/>
  <c r="J16" i="15"/>
  <c r="J25" i="15" s="1"/>
  <c r="C30" i="15"/>
  <c r="C39" i="15" s="1"/>
  <c r="L57" i="15"/>
  <c r="L60" i="15" s="1"/>
  <c r="C71" i="15"/>
  <c r="H7" i="39"/>
  <c r="J7" i="39"/>
  <c r="AA7" i="39"/>
  <c r="R47" i="39" s="1"/>
  <c r="S7" i="39"/>
  <c r="R39" i="35"/>
  <c r="E38" i="35"/>
  <c r="M63" i="40"/>
  <c r="L65" i="40"/>
  <c r="L51" i="15"/>
  <c r="C52" i="69" l="1"/>
  <c r="B2" i="69" s="1"/>
  <c r="B3" i="69" s="1"/>
  <c r="C40" i="15"/>
  <c r="C46" i="15" s="1"/>
  <c r="D7" i="79"/>
  <c r="C26" i="79" s="1"/>
  <c r="C32" i="79" s="1"/>
  <c r="Q69" i="15"/>
  <c r="Q68" i="15" s="1"/>
  <c r="D10" i="71"/>
  <c r="C9" i="71"/>
  <c r="C57" i="69"/>
  <c r="C56" i="69" s="1"/>
  <c r="Q67" i="15"/>
  <c r="C80" i="15"/>
  <c r="C79" i="15" s="1"/>
  <c r="Q47" i="15"/>
  <c r="Q53" i="15" s="1"/>
  <c r="L46" i="15"/>
  <c r="Q66" i="15"/>
  <c r="Q57" i="15"/>
  <c r="E47" i="39"/>
  <c r="W7" i="39"/>
  <c r="AC7" i="39"/>
  <c r="V47" i="39" s="1"/>
  <c r="I47" i="39" s="1"/>
  <c r="U7" i="39"/>
  <c r="AB7" i="39"/>
  <c r="T47" i="39" s="1"/>
  <c r="G47" i="39" s="1"/>
  <c r="C39" i="35"/>
  <c r="B2" i="35" s="1"/>
  <c r="B3" i="35" s="1"/>
  <c r="C38" i="35"/>
  <c r="N63" i="40"/>
  <c r="M65" i="40"/>
  <c r="E43" i="35"/>
  <c r="F43" i="35" s="1"/>
  <c r="E42" i="35"/>
  <c r="F42" i="35" s="1"/>
  <c r="I43" i="35"/>
  <c r="J43" i="35" s="1"/>
  <c r="B2" i="15" l="1"/>
  <c r="B3" i="15" s="1"/>
  <c r="C43" i="15"/>
  <c r="C83" i="15"/>
  <c r="C82" i="15" s="1"/>
  <c r="Q56" i="15"/>
  <c r="Q62" i="15" s="1"/>
  <c r="Q65" i="15"/>
  <c r="Q75" i="15" s="1"/>
  <c r="C38" i="79"/>
  <c r="C39" i="79" s="1"/>
  <c r="C40" i="79" s="1"/>
  <c r="C41" i="79" s="1"/>
  <c r="C8" i="71"/>
  <c r="D9" i="71"/>
  <c r="R48" i="39"/>
  <c r="C48" i="39" s="1"/>
  <c r="E52" i="39"/>
  <c r="F52" i="39" s="1"/>
  <c r="E51" i="39"/>
  <c r="F51" i="39" s="1"/>
  <c r="G51" i="39"/>
  <c r="H51" i="39" s="1"/>
  <c r="G52" i="39"/>
  <c r="H52" i="39" s="1"/>
  <c r="I51" i="39"/>
  <c r="J51" i="39" s="1"/>
  <c r="I52" i="39"/>
  <c r="J52" i="39" s="1"/>
  <c r="O63" i="40"/>
  <c r="O65" i="40" s="1"/>
  <c r="N65" i="40"/>
  <c r="AO6" i="1"/>
  <c r="B6" i="70" l="1"/>
  <c r="B2" i="70" s="1"/>
  <c r="B3" i="70" s="1"/>
  <c r="C7" i="71"/>
  <c r="D8" i="71"/>
  <c r="B2" i="79"/>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D19" i="9"/>
  <c r="C6" i="71" l="1"/>
  <c r="T7" i="71"/>
  <c r="D7" i="71"/>
  <c r="U7" i="71" s="1"/>
  <c r="D102" i="9"/>
  <c r="D21" i="9"/>
  <c r="B3" i="79"/>
  <c r="F66" i="39"/>
  <c r="U7" i="40"/>
  <c r="AB7" i="40"/>
  <c r="T42" i="40" s="1"/>
  <c r="G42" i="40" s="1"/>
  <c r="AA7" i="40"/>
  <c r="R42" i="40" s="1"/>
  <c r="S7" i="40"/>
  <c r="AC7" i="40"/>
  <c r="V42" i="40" s="1"/>
  <c r="I42" i="40" s="1"/>
  <c r="W7" i="40"/>
  <c r="D20" i="9"/>
  <c r="C5" i="71" l="1"/>
  <c r="D6" i="71"/>
  <c r="B2" i="39"/>
  <c r="B3" i="39" s="1"/>
  <c r="C6" i="68"/>
  <c r="D103" i="9"/>
  <c r="I46" i="40"/>
  <c r="J46" i="40" s="1"/>
  <c r="R43" i="40"/>
  <c r="E42" i="40"/>
  <c r="G47" i="40"/>
  <c r="H47" i="40" s="1"/>
  <c r="G46" i="40"/>
  <c r="H46" i="40" s="1"/>
  <c r="D5" i="71" l="1"/>
  <c r="M20" i="43"/>
  <c r="C7" i="68"/>
  <c r="C5" i="68" s="1"/>
  <c r="C42" i="40"/>
  <c r="C43" i="40"/>
  <c r="E47" i="40"/>
  <c r="F47" i="40" s="1"/>
  <c r="E46" i="40"/>
  <c r="F46" i="40" s="1"/>
  <c r="I47" i="40"/>
  <c r="J47" i="40" s="1"/>
  <c r="C23" i="68" l="1"/>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C57" i="68" s="1"/>
  <c r="C56" i="68" s="1"/>
  <c r="B2" i="68" l="1"/>
  <c r="C19" i="9"/>
  <c r="D22" i="9" l="1"/>
  <c r="C102" i="9"/>
  <c r="C21" i="9"/>
  <c r="G19" i="9"/>
  <c r="H36" i="6" s="1"/>
  <c r="B3" i="68"/>
  <c r="D34" i="9"/>
  <c r="D35" i="9"/>
  <c r="C20" i="9"/>
  <c r="G21" i="9" l="1"/>
  <c r="G20" i="9"/>
  <c r="C32" i="9" s="1"/>
  <c r="C103" i="9"/>
  <c r="H118" i="9" l="1"/>
  <c r="C35" i="9"/>
  <c r="H101" i="9" l="1"/>
  <c r="I118" i="9"/>
  <c r="C104" i="9"/>
  <c r="H4" i="52"/>
  <c r="D14" i="74"/>
  <c r="H119" i="9"/>
  <c r="H5" i="52" s="1"/>
  <c r="F118" i="9"/>
  <c r="C34" i="9"/>
  <c r="D118" i="9" s="1"/>
  <c r="C105" i="9" l="1"/>
  <c r="H102" i="9"/>
  <c r="D7" i="53" s="1"/>
  <c r="B21" i="72" s="1"/>
  <c r="I4" i="52"/>
  <c r="D119" i="9"/>
  <c r="D5" i="52" s="1"/>
  <c r="B49" i="72" s="1"/>
  <c r="D4" i="52"/>
  <c r="B47" i="72" s="1"/>
  <c r="F119" i="9"/>
  <c r="F5" i="52" s="1"/>
  <c r="B53" i="72" s="1"/>
  <c r="F4" i="52"/>
  <c r="B51" i="72" s="1"/>
  <c r="G118" i="9"/>
  <c r="G4" i="52" s="1"/>
  <c r="B52" i="72" s="1"/>
  <c r="B5" i="74"/>
  <c r="F14" i="74"/>
  <c r="E14" i="74"/>
  <c r="M48" i="9"/>
  <c r="D45" i="9"/>
  <c r="D5" i="53"/>
  <c r="H107" i="9"/>
  <c r="D59" i="9"/>
  <c r="M55" i="9" s="1"/>
  <c r="H108" i="9" l="1"/>
  <c r="D15" i="53" s="1"/>
  <c r="B31" i="72" s="1"/>
  <c r="D122" i="9"/>
  <c r="D13" i="53"/>
  <c r="M49" i="9"/>
  <c r="C93" i="9"/>
  <c r="C86" i="9" s="1"/>
  <c r="D52" i="9"/>
  <c r="C64" i="9"/>
  <c r="C63" i="9" s="1"/>
  <c r="C67" i="9" s="1"/>
  <c r="C68" i="9" s="1"/>
  <c r="D54" i="9" s="1"/>
  <c r="C85" i="9"/>
  <c r="D55" i="9"/>
  <c r="M53" i="9" s="1"/>
  <c r="C72" i="9"/>
  <c r="C78" i="9"/>
  <c r="C73" i="9" s="1"/>
  <c r="D53" i="9"/>
  <c r="D48" i="9" s="1"/>
  <c r="M52" i="9" s="1"/>
  <c r="C5" i="74"/>
  <c r="D5" i="74"/>
  <c r="E118" i="9"/>
  <c r="E4" i="52" s="1"/>
  <c r="B48" i="72" s="1"/>
  <c r="D6" i="53"/>
  <c r="B22" i="72" s="1"/>
  <c r="B20" i="72"/>
  <c r="C79" i="9" l="1"/>
  <c r="C80" i="9" s="1"/>
  <c r="E80" i="9" s="1"/>
  <c r="E81" i="9" s="1"/>
  <c r="C95" i="9"/>
  <c r="L64" i="9"/>
  <c r="M64" i="9" s="1"/>
  <c r="L65" i="9"/>
  <c r="M65" i="9" s="1"/>
  <c r="L66" i="9"/>
  <c r="M66" i="9" s="1"/>
  <c r="L63" i="9"/>
  <c r="M63" i="9" s="1"/>
  <c r="L68" i="9"/>
  <c r="M68" i="9" s="1"/>
  <c r="L67" i="9"/>
  <c r="M67" i="9" s="1"/>
  <c r="D123" i="9"/>
  <c r="D9" i="52" s="1"/>
  <c r="G14" i="74"/>
  <c r="B6" i="74" s="1"/>
  <c r="D8" i="52"/>
  <c r="D14" i="53"/>
  <c r="B32" i="72" s="1"/>
  <c r="B30" i="72"/>
  <c r="C81" i="9" l="1"/>
  <c r="C6" i="74"/>
  <c r="D6" i="74"/>
  <c r="M69" i="9"/>
  <c r="N69" i="9" s="1"/>
  <c r="C96" i="9"/>
  <c r="E96" i="9" s="1"/>
  <c r="E97" i="9" s="1"/>
  <c r="C97" i="9" l="1"/>
  <c r="D58" i="9" s="1"/>
  <c r="D56" i="9" s="1"/>
  <c r="M54" i="9" s="1"/>
  <c r="N57" i="9" s="1"/>
  <c r="N58" i="9" s="1"/>
  <c r="N59" i="9" l="1"/>
  <c r="N60" i="9" s="1"/>
  <c r="P57" i="9"/>
  <c r="H111" i="9"/>
  <c r="N61" i="9" l="1"/>
  <c r="H112" i="9" s="1"/>
  <c r="D21" i="53" s="1"/>
  <c r="B39" i="72" s="1"/>
  <c r="D126" i="9"/>
  <c r="D19" i="53"/>
  <c r="D12" i="52" l="1"/>
  <c r="D127" i="9"/>
  <c r="D13" i="52" s="1"/>
  <c r="I14" i="74"/>
  <c r="B8" i="74"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<sst xmlns="http://schemas.openxmlformats.org/spreadsheetml/2006/main" count="7699" uniqueCount="3352">
  <si>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</si>
  <si>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</si>
  <si>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</si>
  <si>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</si>
  <si>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</si>
  <si>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</si>
  <si>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</si>
  <si>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</si>
  <si>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</si>
  <si>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</si>
  <si>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</si>
  <si>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</si>
  <si>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</si>
  <si>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</si>
  <si>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</si>
  <si>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</si>
  <si>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</si>
  <si>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</si>
  <si>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</si>
  <si>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</si>
  <si>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</si>
  <si>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</si>
  <si>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</si>
  <si>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</si>
  <si>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</si>
  <si>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</si>
  <si>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</si>
  <si>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</si>
  <si>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</si>
  <si>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</si>
  <si>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</si>
  <si>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</si>
  <si>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</si>
  <si>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</si>
  <si>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</si>
  <si>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</si>
  <si>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</si>
  <si>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</si>
  <si>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</si>
  <si>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</si>
  <si>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</si>
  <si>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</si>
  <si>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</si>
  <si>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</si>
  <si>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</si>
  <si>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</si>
  <si>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</si>
  <si>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</si>
  <si>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</si>
  <si>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</si>
  <si>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</si>
  <si>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</si>
  <si>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</si>
  <si>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</si>
  <si>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</si>
  <si>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</si>
  <si>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</si>
  <si>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</si>
  <si>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</si>
  <si>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</si>
  <si>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</si>
  <si>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</si>
  <si>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</si>
  <si>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</si>
  <si>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</si>
  <si>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</si>
  <si>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</si>
  <si>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</si>
  <si>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</si>
  <si>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</si>
  <si>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</si>
  <si>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</si>
  <si>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</si>
  <si>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</si>
  <si>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</si>
  <si>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</si>
  <si>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</si>
  <si>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</si>
  <si>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</si>
  <si>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</si>
  <si>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</si>
  <si>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</si>
  <si>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</si>
  <si>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</si>
  <si>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</si>
  <si>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</si>
  <si>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</si>
  <si>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</si>
  <si>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</si>
  <si>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</si>
  <si>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</si>
  <si>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</si>
  <si>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</si>
  <si>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</si>
  <si>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</si>
  <si>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</si>
  <si>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</si>
  <si>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</si>
  <si>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</si>
  <si>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</si>
  <si>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</si>
  <si>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</si>
  <si>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</si>
  <si>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</si>
  <si>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</si>
  <si>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</si>
  <si>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</si>
  <si>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</si>
  <si>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</si>
  <si>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</si>
  <si>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</si>
  <si>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</si>
  <si>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</si>
  <si>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</si>
  <si>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</si>
  <si>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</si>
  <si>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</si>
  <si>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</si>
  <si>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</si>
  <si>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</si>
  <si>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</si>
  <si>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</si>
  <si>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</si>
  <si>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</si>
  <si>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</si>
  <si>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</si>
  <si>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</si>
  <si>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</si>
  <si>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</si>
  <si>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</si>
  <si>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</si>
  <si>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</si>
  <si>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</si>
  <si>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</si>
  <si>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</si>
  <si>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</si>
  <si>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</si>
  <si>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</si>
  <si>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</si>
  <si>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</si>
  <si>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</si>
  <si>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</si>
  <si>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</si>
  <si>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</si>
  <si>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</si>
  <si>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</si>
  <si>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</si>
  <si>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</si>
  <si>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</si>
  <si>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</si>
  <si>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</si>
  <si>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</si>
  <si>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</si>
  <si>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</si>
  <si>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</si>
  <si>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</si>
  <si>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</si>
  <si>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</si>
  <si>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</si>
  <si>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</si>
  <si>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</si>
  <si>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</si>
  <si>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</si>
  <si>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</si>
  <si>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</si>
  <si>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</si>
  <si>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</si>
  <si>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</si>
  <si>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</si>
  <si>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</si>
  <si>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</si>
  <si>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</si>
  <si>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</si>
  <si>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</si>
  <si>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</si>
  <si>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</si>
  <si>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</si>
  <si>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</si>
  <si>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</si>
  <si>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</si>
  <si>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</si>
  <si>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</si>
  <si>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</si>
  <si>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</si>
  <si>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</si>
  <si>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</si>
  <si>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</si>
  <si>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</si>
  <si>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</si>
  <si>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</si>
  <si>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</si>
  <si>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</si>
  <si>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</si>
  <si>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</si>
  <si>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</si>
  <si>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</si>
  <si>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</si>
  <si>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</si>
  <si>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</si>
  <si>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</si>
  <si>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</si>
  <si>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</si>
  <si>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</si>
  <si>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</si>
  <si>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</si>
  <si>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</si>
  <si>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</si>
  <si>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</si>
  <si>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</si>
  <si>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</si>
  <si>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</si>
  <si>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</si>
  <si>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</si>
  <si>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</si>
  <si>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</si>
  <si>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</si>
  <si>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</si>
  <si>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</si>
  <si>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</si>
  <si>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</si>
  <si>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</si>
  <si>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</si>
  <si>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</si>
  <si>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</si>
  <si>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</si>
  <si>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</si>
  <si>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</si>
  <si>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</si>
  <si>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</si>
  <si>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</si>
  <si>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</si>
  <si>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</si>
  <si>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</si>
  <si>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</si>
  <si>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</si>
  <si>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</si>
  <si>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</si>
  <si>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</si>
  <si>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</si>
  <si>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</si>
  <si>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</si>
  <si>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</si>
  <si>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</si>
  <si>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</si>
  <si>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</si>
  <si>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</si>
  <si>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</si>
  <si>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</si>
  <si>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</si>
  <si>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</si>
  <si>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</si>
  <si>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</si>
  <si>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</si>
  <si>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</si>
  <si>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</si>
  <si>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</si>
  <si>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</si>
  <si>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</si>
  <si>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</si>
  <si>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</si>
  <si>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</si>
  <si>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</si>
  <si>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</si>
  <si>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</si>
  <si>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</si>
  <si>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</si>
  <si>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</si>
  <si>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</si>
  <si>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</si>
  <si>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</si>
  <si>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</si>
  <si>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</si>
  <si>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</si>
  <si>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</si>
  <si>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</si>
  <si>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</si>
  <si>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</si>
  <si>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</si>
  <si>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</si>
  <si>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</si>
  <si>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</si>
  <si>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</si>
  <si>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</si>
  <si>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</si>
  <si>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</si>
  <si>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</si>
  <si>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</si>
  <si>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</si>
  <si>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</si>
  <si>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</si>
  <si>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</si>
  <si>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</si>
  <si>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</si>
  <si>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</si>
  <si>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</si>
  <si>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</si>
  <si>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</si>
  <si>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</si>
  <si>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</si>
  <si>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</si>
  <si>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</si>
  <si>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</si>
  <si>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</si>
  <si>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</si>
  <si>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</si>
  <si>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</si>
  <si>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</si>
  <si>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</si>
  <si>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</si>
  <si>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</si>
  <si>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</si>
  <si>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</si>
  <si>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</si>
  <si>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</si>
  <si>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</si>
  <si>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</si>
  <si>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</si>
  <si>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</si>
  <si>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</si>
  <si>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</si>
  <si>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</si>
  <si>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</si>
  <si>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</si>
  <si>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</si>
  <si>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</si>
  <si>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</si>
  <si>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</si>
  <si>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</si>
  <si>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</si>
  <si>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</si>
  <si>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</si>
  <si>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</si>
  <si>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</si>
  <si>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</si>
  <si>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</si>
  <si>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</si>
  <si>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</si>
  <si>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</si>
  <si>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</si>
  <si>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</si>
  <si>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</si>
  <si>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</si>
  <si>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</si>
  <si>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</si>
  <si>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</si>
  <si>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</si>
  <si>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</si>
  <si>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</si>
  <si>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</si>
  <si>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</si>
  <si>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</si>
  <si>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</si>
  <si>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</si>
  <si>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</si>
  <si>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</si>
  <si>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</si>
  <si>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</si>
  <si>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</si>
  <si>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</si>
  <si>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</si>
  <si>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</si>
  <si>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</si>
  <si>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</si>
  <si>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</si>
  <si>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</si>
  <si>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</si>
  <si>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</si>
  <si>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</si>
  <si>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</si>
  <si>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</si>
  <si>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</si>
  <si>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</si>
  <si>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</si>
  <si>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</si>
  <si>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</si>
  <si>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</si>
  <si>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</si>
  <si>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</si>
  <si>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</si>
  <si>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</si>
  <si>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</si>
  <si>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</si>
  <si>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</si>
  <si>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</si>
  <si>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</si>
  <si>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</si>
  <si>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</si>
  <si>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</si>
  <si>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</si>
  <si>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</si>
  <si>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</si>
  <si>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</si>
  <si>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</si>
  <si>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</si>
  <si>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</si>
  <si>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</si>
  <si>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</si>
  <si>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</si>
  <si>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</si>
  <si>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</si>
  <si>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</si>
  <si>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</si>
  <si>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</si>
  <si>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</si>
  <si>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</si>
  <si>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</si>
  <si>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</si>
  <si>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</si>
  <si>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</si>
  <si>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</si>
  <si>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</si>
  <si>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</si>
  <si>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</si>
  <si>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</si>
  <si>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</si>
  <si>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</si>
  <si>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</si>
  <si>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</si>
  <si>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</si>
  <si>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</si>
  <si>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</si>
  <si>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</si>
  <si>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</si>
  <si>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</si>
  <si>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</si>
  <si>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</si>
  <si>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</si>
  <si>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</si>
  <si>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</si>
  <si>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</si>
  <si>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</si>
  <si>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</si>
  <si>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</si>
  <si>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</si>
  <si>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</si>
  <si>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</si>
  <si>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</si>
  <si>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</si>
  <si>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</si>
  <si>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</si>
  <si>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</si>
  <si>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</si>
  <si>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</si>
  <si>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</si>
  <si>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</si>
  <si>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</si>
  <si>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</si>
  <si>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</si>
  <si>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</si>
  <si>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</si>
  <si>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</si>
  <si>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</si>
  <si>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</si>
  <si>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</si>
  <si>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</si>
  <si>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</si>
  <si>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</si>
  <si>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</si>
  <si>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</si>
  <si>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</si>
  <si>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</si>
  <si>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</si>
  <si>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</si>
  <si>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</si>
  <si>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</si>
  <si>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</si>
  <si>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</si>
  <si>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</si>
  <si>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</si>
  <si>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</si>
  <si>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</si>
  <si>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</si>
  <si>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</si>
  <si>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</si>
  <si>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</si>
  <si>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</si>
  <si>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</si>
  <si>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</si>
  <si>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</si>
  <si>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</si>
  <si>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</si>
  <si>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</si>
  <si>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</si>
  <si>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</si>
  <si>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</si>
  <si>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</si>
  <si>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</si>
  <si>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</si>
  <si>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</si>
  <si>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</si>
  <si>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</si>
  <si>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</si>
  <si>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</si>
  <si>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</si>
  <si>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</si>
  <si>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</si>
  <si>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</si>
  <si>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</si>
  <si>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</si>
  <si>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</si>
  <si>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</si>
  <si>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</si>
  <si>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</si>
  <si>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</si>
  <si>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</si>
  <si>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</si>
  <si>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</si>
  <si>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</si>
  <si>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</si>
  <si>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</si>
  <si>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</si>
  <si>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</si>
  <si>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</si>
  <si>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</si>
  <si>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</si>
  <si>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</si>
  <si>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</si>
  <si>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</si>
  <si>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</si>
  <si>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</si>
  <si>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</si>
  <si>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</si>
  <si>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</si>
  <si>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</si>
  <si>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</si>
  <si>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</si>
  <si>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</si>
  <si>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</si>
  <si>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</si>
  <si>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</si>
  <si>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</si>
  <si>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</si>
  <si>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</si>
  <si>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</si>
  <si>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</si>
  <si>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</si>
  <si>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</si>
  <si>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</si>
  <si>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</si>
  <si>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</si>
  <si>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</si>
  <si>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</si>
  <si>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</si>
  <si>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</si>
  <si>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</si>
  <si>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</si>
  <si>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</si>
  <si>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</si>
  <si>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</si>
  <si>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</si>
  <si>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</si>
  <si>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</si>
  <si>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</si>
  <si>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</si>
  <si>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</si>
  <si>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</si>
  <si>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</si>
  <si>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</si>
  <si>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</si>
  <si>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</si>
  <si>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</si>
  <si>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</si>
  <si>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</si>
  <si>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</si>
  <si>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</si>
  <si>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</si>
  <si>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</si>
  <si>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</si>
  <si>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</si>
  <si>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</si>
  <si>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</si>
  <si>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</si>
  <si>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</si>
  <si>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</si>
  <si>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</si>
  <si>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</si>
  <si>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</si>
  <si>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</si>
  <si>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</si>
  <si>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</si>
  <si>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</si>
  <si>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</si>
  <si>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</si>
  <si>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</si>
  <si>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</si>
  <si>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</si>
  <si>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</si>
  <si>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</si>
  <si>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</si>
  <si>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</si>
  <si>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</si>
  <si>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</si>
  <si>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</si>
  <si>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</si>
  <si>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</si>
  <si>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</si>
  <si>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</si>
  <si>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</si>
  <si>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</si>
  <si>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</si>
  <si>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</si>
  <si>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</si>
  <si>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</si>
  <si>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</si>
  <si>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</si>
  <si>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</si>
  <si>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</si>
  <si>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</si>
  <si>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</si>
  <si>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</si>
  <si>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</si>
  <si>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</si>
  <si>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</si>
  <si>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</si>
  <si>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</si>
  <si>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</si>
  <si>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</si>
  <si>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</si>
  <si>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</si>
  <si>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</si>
  <si>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</si>
  <si>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</si>
  <si>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</si>
  <si>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</si>
  <si>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</si>
  <si>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</si>
  <si>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</si>
  <si>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</si>
  <si>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</si>
  <si>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</si>
  <si>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</si>
  <si>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</si>
  <si>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</si>
  <si>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</si>
  <si>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</si>
  <si>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</si>
  <si>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</si>
  <si>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</si>
  <si>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</si>
  <si>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</si>
  <si>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</si>
  <si>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</si>
  <si>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</si>
  <si>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</si>
  <si>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</si>
  <si>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</si>
  <si>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</si>
  <si>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</si>
  <si>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</si>
  <si>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</si>
  <si>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</si>
  <si>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</si>
  <si>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</si>
  <si>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</si>
  <si>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</si>
  <si>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</si>
  <si>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</si>
  <si>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</si>
  <si>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</si>
  <si>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</si>
  <si>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</si>
  <si>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</si>
  <si>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</si>
  <si>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</si>
  <si>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</si>
  <si>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</si>
  <si>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</si>
  <si>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</si>
  <si>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</si>
  <si>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</si>
  <si>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</si>
  <si>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</si>
  <si>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</si>
  <si>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</si>
  <si>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</si>
  <si>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</si>
  <si>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</si>
  <si>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</si>
  <si>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</si>
  <si>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</si>
  <si>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</si>
  <si>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</si>
  <si>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</si>
  <si>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</si>
  <si>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</si>
  <si>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</si>
  <si>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</si>
  <si>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</si>
  <si>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</si>
  <si>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</si>
  <si>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</si>
  <si>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</si>
  <si>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</si>
  <si>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</si>
  <si>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</si>
  <si>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</si>
  <si>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</si>
  <si>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</si>
  <si>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</si>
  <si>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</si>
  <si>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</si>
  <si>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</si>
  <si>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</si>
  <si>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</si>
  <si>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</si>
  <si>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</si>
  <si>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</si>
  <si>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</si>
  <si>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</si>
  <si>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</si>
  <si>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</si>
  <si>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</si>
  <si>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</si>
  <si>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</si>
  <si>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</si>
  <si>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</si>
  <si>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</si>
  <si>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</si>
  <si>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</si>
  <si>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</si>
  <si>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</si>
  <si>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</si>
  <si>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</si>
  <si>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</si>
  <si>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</si>
  <si>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</si>
  <si>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</si>
  <si>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</si>
  <si>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</si>
  <si>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</si>
  <si>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</si>
  <si>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</si>
  <si>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</si>
  <si>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</si>
  <si>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</si>
  <si>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</si>
  <si>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</si>
  <si>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</si>
  <si>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</si>
  <si>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</si>
  <si>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</si>
  <si>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</si>
  <si>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</si>
  <si>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</si>
  <si>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</si>
  <si>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</si>
  <si>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</si>
  <si>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</si>
  <si>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</si>
  <si>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</si>
  <si>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</si>
  <si>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</si>
  <si>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</si>
  <si>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</si>
  <si>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</si>
  <si>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</si>
  <si>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</si>
  <si>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</si>
  <si>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</si>
  <si>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</si>
  <si>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</si>
  <si>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</si>
  <si>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</si>
  <si>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</si>
  <si>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</si>
  <si>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</si>
  <si>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</si>
  <si>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</si>
  <si>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</si>
  <si>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</si>
  <si>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</si>
  <si>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</si>
  <si>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</si>
  <si>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</si>
  <si>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</si>
  <si>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</si>
  <si>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</si>
  <si>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</si>
  <si>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</si>
  <si>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</si>
  <si>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</si>
  <si>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</si>
  <si>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</si>
  <si>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</si>
  <si>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</si>
  <si>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</si>
  <si>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</si>
  <si>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</si>
  <si>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</si>
  <si>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</si>
  <si>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</si>
  <si>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</si>
  <si>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</si>
  <si>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</si>
  <si>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</si>
  <si>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</si>
  <si>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</si>
  <si>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</si>
  <si>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</si>
  <si>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</si>
  <si>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</si>
  <si>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</si>
  <si>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</si>
  <si>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</si>
  <si>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</si>
  <si>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</si>
  <si>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</si>
  <si>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</si>
  <si>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</si>
  <si>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</si>
  <si>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</si>
  <si>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</si>
  <si>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</si>
  <si>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</si>
  <si>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</si>
  <si>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</si>
  <si>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</si>
  <si>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</si>
  <si>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</si>
  <si>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</si>
  <si>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</si>
  <si>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</si>
  <si>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</si>
  <si>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</si>
  <si>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</si>
  <si>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</si>
  <si>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</si>
  <si>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</si>
  <si>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</si>
  <si>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</si>
  <si>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</si>
  <si>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</si>
  <si>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</si>
  <si>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</si>
  <si>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</si>
  <si>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</si>
  <si>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</si>
  <si>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</si>
  <si>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</si>
  <si>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</si>
  <si>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</si>
  <si>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</si>
  <si>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</si>
  <si>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</si>
  <si>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</si>
  <si>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</si>
  <si>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</si>
  <si>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</si>
  <si>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</si>
  <si>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</si>
  <si>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</si>
  <si>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</si>
  <si>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</si>
  <si>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</si>
  <si>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</si>
  <si>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</si>
  <si>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</si>
  <si>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</si>
  <si>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</si>
  <si>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</si>
  <si>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</si>
  <si>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</si>
  <si>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</si>
  <si>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</si>
  <si>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</si>
  <si>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</si>
  <si>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</si>
  <si>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</si>
  <si>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</si>
  <si>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</si>
  <si>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</si>
  <si>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</si>
  <si>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</si>
  <si>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</si>
  <si>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</si>
  <si>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</si>
  <si>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</si>
  <si>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</si>
  <si>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</si>
  <si>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</si>
  <si>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</si>
  <si>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</si>
  <si>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</si>
  <si>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</si>
  <si>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</si>
  <si>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</si>
  <si>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</si>
  <si>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</si>
  <si>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</si>
  <si>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</si>
  <si>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</si>
  <si>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</si>
  <si>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</si>
  <si>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</si>
  <si>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</si>
  <si>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</si>
  <si>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</si>
  <si>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</si>
  <si>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</si>
  <si>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</si>
  <si>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</si>
  <si>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</si>
  <si>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</si>
  <si>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</si>
  <si>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</si>
  <si>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</si>
  <si>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</si>
  <si>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</si>
  <si>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</si>
  <si>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</si>
  <si>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</si>
  <si>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</si>
  <si>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</si>
  <si>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</si>
  <si>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</si>
  <si>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</si>
  <si>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</si>
  <si>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</si>
  <si>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</si>
  <si>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</si>
  <si>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</si>
  <si>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</si>
  <si>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</si>
  <si>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</si>
  <si>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</si>
  <si>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</si>
  <si>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</si>
  <si>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</si>
  <si>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</si>
  <si>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</si>
  <si>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</si>
  <si>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</si>
  <si>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</si>
  <si>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</si>
  <si>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</si>
  <si>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</si>
  <si>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</si>
  <si>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</si>
  <si>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</si>
  <si>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</si>
  <si>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</si>
  <si>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</si>
  <si>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</si>
  <si>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</si>
  <si>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</si>
  <si>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</si>
  <si>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</si>
  <si>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</si>
  <si>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</si>
  <si>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</si>
  <si>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</si>
  <si>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</si>
  <si>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</si>
  <si>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</si>
  <si>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</si>
  <si>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</si>
  <si>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</si>
  <si>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</si>
  <si>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</si>
  <si>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</si>
  <si>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</si>
  <si>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</si>
  <si>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</si>
  <si>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</si>
  <si>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</si>
  <si>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</si>
  <si>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</si>
  <si>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</si>
  <si>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</si>
  <si>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</si>
  <si>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</si>
  <si>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</si>
  <si>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</si>
  <si>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</si>
  <si>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</si>
  <si>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</si>
  <si>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</si>
  <si>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</si>
  <si>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</si>
  <si>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</si>
  <si>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</si>
  <si>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</si>
  <si>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</si>
  <si>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</si>
  <si>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</si>
  <si>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</si>
  <si>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</si>
  <si>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</si>
  <si>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</si>
  <si>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</si>
  <si>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</si>
  <si>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</si>
  <si>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</si>
  <si>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</si>
  <si>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</si>
  <si>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</si>
  <si>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</si>
  <si>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</si>
  <si>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</si>
  <si>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</si>
  <si>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</si>
  <si>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</si>
  <si>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</si>
  <si>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</si>
  <si>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</si>
  <si>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</si>
  <si>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</si>
  <si>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</si>
  <si>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</si>
  <si>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</si>
  <si>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</si>
  <si>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</si>
  <si>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</si>
  <si>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</si>
  <si>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</si>
  <si>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</si>
  <si>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</si>
  <si>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</si>
  <si>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</si>
  <si>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</si>
  <si>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</si>
  <si>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</si>
  <si>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</si>
  <si>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</si>
  <si>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</si>
  <si>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</si>
  <si>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</si>
  <si>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</si>
  <si>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</si>
  <si>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</si>
  <si>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</si>
  <si>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</si>
  <si>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</si>
  <si>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</si>
  <si>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</si>
  <si>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</si>
  <si>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</si>
  <si>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</si>
  <si>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</si>
  <si>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</si>
  <si>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</si>
  <si>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</si>
  <si>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</si>
  <si>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</si>
  <si>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</si>
  <si>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</si>
  <si>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</si>
  <si>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</si>
  <si>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</si>
  <si>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</si>
  <si>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</si>
  <si>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</si>
  <si>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</si>
  <si>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</si>
  <si>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</si>
  <si>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</si>
  <si>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</si>
  <si>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</si>
  <si>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</si>
  <si>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</si>
  <si>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</si>
  <si>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</si>
  <si>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</si>
  <si>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</si>
  <si>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</si>
  <si>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</si>
  <si>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</si>
  <si>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</si>
  <si>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</si>
  <si>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</si>
  <si>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</si>
  <si>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</si>
  <si>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</si>
  <si>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</si>
  <si>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</si>
  <si>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</si>
  <si>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</si>
  <si>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</si>
  <si>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</si>
  <si>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</si>
  <si>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</si>
  <si>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</si>
  <si>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</si>
  <si>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</si>
  <si>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</si>
  <si>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</si>
  <si>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</si>
  <si>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</si>
  <si>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</si>
  <si>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</si>
  <si>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</si>
  <si>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</si>
  <si>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</si>
  <si>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</si>
  <si>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</si>
  <si>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</si>
  <si>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</si>
  <si>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</si>
  <si>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</si>
  <si>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</si>
  <si>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</si>
  <si>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</si>
  <si>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</si>
  <si>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</si>
  <si>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</si>
  <si>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</si>
  <si>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</si>
  <si>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</si>
  <si>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</si>
  <si>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</si>
  <si>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</si>
  <si>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</si>
  <si>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</si>
  <si>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</si>
  <si>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</si>
  <si>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</si>
  <si>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</si>
  <si>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</si>
  <si>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</si>
  <si>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</si>
  <si>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</si>
  <si>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</si>
  <si>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</si>
  <si>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</si>
  <si>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</si>
  <si>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</si>
  <si>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</si>
  <si>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</si>
  <si>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</si>
  <si>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</si>
  <si>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</si>
  <si>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</si>
  <si>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</si>
  <si>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</si>
  <si>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</si>
  <si>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</si>
  <si>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</si>
  <si>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</si>
  <si>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</si>
  <si>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</si>
  <si>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</si>
  <si>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</si>
  <si>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</si>
  <si>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</si>
  <si>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</si>
  <si>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</si>
  <si>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</si>
  <si>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</si>
  <si>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</si>
  <si>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</si>
  <si>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</si>
  <si>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</si>
  <si>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</si>
  <si>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</si>
  <si>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</si>
  <si>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</si>
  <si>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</si>
  <si>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</si>
  <si>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</si>
  <si>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</si>
  <si>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</si>
  <si>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</si>
  <si>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</si>
  <si>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</si>
  <si>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</si>
  <si>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</si>
  <si>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</si>
  <si>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</si>
  <si>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</si>
  <si>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</si>
  <si>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</si>
  <si>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</si>
  <si>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</si>
  <si>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</si>
  <si>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</si>
  <si>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</si>
  <si>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</si>
  <si>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</si>
  <si>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</si>
  <si>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</si>
  <si>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</si>
  <si>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</si>
  <si>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</si>
  <si>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</si>
  <si>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</si>
  <si>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</si>
  <si>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</si>
  <si>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</si>
  <si>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</si>
  <si>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</si>
  <si>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</si>
  <si>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</si>
  <si>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</si>
  <si>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</si>
  <si>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</si>
  <si>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</si>
  <si>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</si>
  <si>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</si>
  <si>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</si>
  <si>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</si>
  <si>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</si>
  <si>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</si>
  <si>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</si>
  <si>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</si>
  <si>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</si>
  <si>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</si>
  <si>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</si>
  <si>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</si>
  <si>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</si>
  <si>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</si>
  <si>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</si>
  <si>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</si>
  <si>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</si>
  <si>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</si>
  <si>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</si>
  <si>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</si>
  <si>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</si>
  <si>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</si>
  <si>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</si>
  <si>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</si>
  <si>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</si>
  <si>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</si>
  <si>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</si>
  <si>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</si>
  <si>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</si>
  <si>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</si>
  <si>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</si>
  <si>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</si>
  <si>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</si>
  <si>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</si>
  <si>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</si>
  <si>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</si>
  <si>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</si>
  <si>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</si>
  <si>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</si>
  <si>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</si>
  <si>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</si>
  <si>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</si>
  <si>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</si>
  <si>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</si>
  <si>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</si>
  <si>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</si>
  <si>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</si>
  <si>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</si>
  <si>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</si>
  <si>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</si>
  <si>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</si>
  <si>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</si>
  <si>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</si>
  <si>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</si>
  <si>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</si>
  <si>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</si>
  <si>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</si>
  <si>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</si>
  <si>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</si>
  <si>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</si>
  <si>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</si>
  <si>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</si>
  <si>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</si>
  <si>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</si>
  <si>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</si>
  <si>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</si>
  <si>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</si>
  <si>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</si>
  <si>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</si>
  <si>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</si>
  <si>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</si>
  <si>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</si>
  <si>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</si>
  <si>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</si>
  <si>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</si>
  <si>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</si>
  <si>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</si>
  <si>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</si>
  <si>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</si>
  <si>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</si>
  <si>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</si>
  <si>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</si>
  <si>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</si>
  <si>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</si>
  <si>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</si>
  <si>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</si>
  <si>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</si>
  <si>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</si>
  <si>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</si>
  <si>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</si>
  <si>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</si>
  <si>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</si>
  <si>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</si>
  <si>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</si>
  <si>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</si>
  <si>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</si>
  <si>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</si>
  <si>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</si>
  <si>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</si>
  <si>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</si>
  <si>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</si>
  <si>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</si>
  <si>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</si>
  <si>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</si>
  <si>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</si>
  <si>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</si>
  <si>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</si>
  <si>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</si>
  <si>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</si>
  <si>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</si>
  <si>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</si>
  <si>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</si>
  <si>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</si>
  <si>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</si>
  <si>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</si>
  <si>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</si>
  <si>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</si>
  <si>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</si>
  <si>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</si>
  <si>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</si>
  <si>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</si>
  <si>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</si>
  <si>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</si>
  <si>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</si>
  <si>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</si>
  <si>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</si>
  <si>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</si>
  <si>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</si>
  <si>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</si>
  <si>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</si>
  <si>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</si>
  <si>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</si>
  <si>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</si>
  <si>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</si>
  <si>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</si>
  <si>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</si>
  <si>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</si>
  <si>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</si>
  <si>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</si>
  <si>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</si>
  <si>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</si>
  <si>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</si>
  <si>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</si>
  <si>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</si>
  <si>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</si>
  <si>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</si>
  <si>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</si>
  <si>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</si>
  <si>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</si>
  <si>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</si>
  <si>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</si>
  <si>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</si>
  <si>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</si>
  <si>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</si>
  <si>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</si>
  <si>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</si>
  <si>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</si>
  <si>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</si>
  <si>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</si>
  <si>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</si>
  <si>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</si>
  <si>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</si>
  <si>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</si>
  <si>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</si>
  <si>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</si>
  <si>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</si>
  <si>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</si>
  <si>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</si>
  <si>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</si>
  <si>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</si>
  <si>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</si>
  <si>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</si>
  <si>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</si>
  <si>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</si>
  <si>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</si>
  <si>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</si>
  <si>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</si>
  <si>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</si>
  <si>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</si>
  <si>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</si>
  <si>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</si>
  <si>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</si>
  <si>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</si>
  <si>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</si>
  <si>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</si>
  <si>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</si>
  <si>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</si>
  <si>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</si>
  <si>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</si>
  <si>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</si>
  <si>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</si>
  <si>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</si>
  <si>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</si>
  <si>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</si>
  <si>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</si>
  <si>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</si>
  <si>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</si>
  <si>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</si>
  <si>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</si>
  <si>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</si>
  <si>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</si>
  <si>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</si>
  <si>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</si>
  <si>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</si>
  <si>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</si>
  <si>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</si>
  <si>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</si>
  <si>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</si>
  <si>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</si>
  <si>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</si>
  <si>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</si>
  <si>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</si>
  <si>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</si>
  <si>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</si>
  <si>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</si>
  <si>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</si>
  <si>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</si>
  <si>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</si>
  <si>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</si>
  <si>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</si>
  <si>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</si>
  <si>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</si>
  <si>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</si>
  <si>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</si>
  <si>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</si>
  <si>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</si>
  <si>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</si>
  <si>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</si>
  <si>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</si>
  <si>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</si>
  <si>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</si>
  <si>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</si>
  <si>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</si>
  <si>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</si>
  <si>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</si>
  <si>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</si>
  <si>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</si>
  <si>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</si>
  <si>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</si>
  <si>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</si>
  <si>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</si>
  <si>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</si>
  <si>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</si>
  <si>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</si>
  <si>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</si>
  <si>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</si>
  <si>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</si>
  <si>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</si>
  <si>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</si>
  <si>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</si>
  <si>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</si>
  <si>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</si>
  <si>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</si>
  <si>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</si>
  <si>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</si>
  <si>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</si>
  <si>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</si>
  <si>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</si>
  <si>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</si>
  <si>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</si>
  <si>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</si>
  <si>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</si>
  <si>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</si>
  <si>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</si>
  <si>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</si>
  <si>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</si>
  <si>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</si>
  <si>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</si>
  <si>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</si>
  <si>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</si>
  <si>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</si>
  <si>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</si>
  <si>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</si>
  <si>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</si>
  <si>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</si>
  <si>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</si>
  <si>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</si>
  <si>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</si>
  <si>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</si>
  <si>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</si>
  <si>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</si>
  <si>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</si>
  <si>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</si>
  <si>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</si>
  <si>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</si>
  <si>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</si>
  <si>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</si>
  <si>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</si>
  <si>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</si>
  <si>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</si>
  <si>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</si>
  <si>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</si>
  <si>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</si>
  <si>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</si>
  <si>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</si>
  <si>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</si>
  <si>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</si>
  <si>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</si>
  <si>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</si>
  <si>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</si>
  <si>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</si>
  <si>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</si>
  <si>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</si>
  <si>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</si>
  <si>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</si>
  <si>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</si>
  <si>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</si>
  <si>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</si>
  <si>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</si>
  <si>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</si>
  <si>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</si>
  <si>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</si>
  <si>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</si>
  <si>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</si>
  <si>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</si>
  <si>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</si>
  <si>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</si>
  <si>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</si>
  <si>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</si>
  <si>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</si>
  <si>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</si>
  <si>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</si>
  <si>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</si>
  <si>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</si>
  <si>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</si>
  <si>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</si>
  <si>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</si>
  <si>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</si>
  <si>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</si>
  <si>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</si>
  <si>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</si>
  <si>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</si>
  <si>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</si>
  <si>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</si>
  <si>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</si>
  <si>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</si>
  <si>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</si>
  <si>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</si>
  <si>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</si>
  <si>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</si>
  <si>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</si>
  <si>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</si>
  <si>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</si>
  <si>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</si>
  <si>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</si>
  <si>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</si>
  <si>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</si>
  <si>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</si>
  <si>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</si>
  <si>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</si>
  <si>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</si>
  <si>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</si>
  <si>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</si>
  <si>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</si>
  <si>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</si>
  <si>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</si>
  <si>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</si>
  <si>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</si>
  <si>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</si>
  <si>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</si>
  <si>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</si>
  <si>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</si>
  <si>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</si>
  <si>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</si>
  <si>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</si>
  <si>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</si>
  <si>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</si>
  <si>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</si>
  <si>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</si>
  <si>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</si>
  <si>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</si>
  <si>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</si>
  <si>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</si>
  <si>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</si>
  <si>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</si>
  <si>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</si>
  <si>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</si>
  <si>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</si>
  <si>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</si>
  <si>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</si>
  <si>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</si>
  <si>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</si>
  <si>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</si>
  <si>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</si>
  <si>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</si>
  <si>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</si>
  <si>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</si>
  <si>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</si>
  <si>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</si>
  <si>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</si>
  <si>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</si>
  <si>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</si>
  <si>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</si>
  <si>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</si>
  <si>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</si>
  <si>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</si>
  <si>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</si>
  <si>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</si>
  <si>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</si>
  <si>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</si>
  <si>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</si>
  <si>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</si>
  <si>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</si>
  <si>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</si>
  <si>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</si>
  <si>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</si>
  <si>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</si>
  <si>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</si>
  <si>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</si>
  <si>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</si>
  <si>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</si>
  <si>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</si>
  <si>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</si>
  <si>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</si>
  <si>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</si>
  <si>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</si>
  <si>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</si>
  <si>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</si>
  <si>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</si>
  <si>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</si>
  <si>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</si>
  <si>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</si>
  <si>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</si>
  <si>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</si>
  <si>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</si>
  <si>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</si>
  <si>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</si>
  <si>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</si>
  <si>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</si>
  <si>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</si>
  <si>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</si>
  <si>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</si>
  <si>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</si>
  <si>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</si>
  <si>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</si>
  <si>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</si>
  <si>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</si>
  <si>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</si>
  <si>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</si>
  <si>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</si>
  <si>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</si>
  <si>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</si>
  <si>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</si>
  <si>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</si>
  <si>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</si>
  <si>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</si>
  <si>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</si>
  <si>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</si>
  <si>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</si>
  <si>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</si>
  <si>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</si>
  <si>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</si>
  <si>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</si>
  <si>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</si>
  <si>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</si>
  <si>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</si>
  <si>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</si>
  <si>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</si>
  <si>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</si>
  <si>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</si>
  <si>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</si>
  <si>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</si>
  <si>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</si>
  <si>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</si>
  <si>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</si>
  <si>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</si>
  <si>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</si>
  <si>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</si>
  <si>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</si>
  <si>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</si>
  <si>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</si>
  <si>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</si>
  <si>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</si>
  <si>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</si>
  <si>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</si>
  <si>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</si>
  <si>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</si>
  <si>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</si>
  <si>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</si>
  <si>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</si>
  <si>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</si>
  <si>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</si>
  <si>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</si>
  <si>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</si>
  <si>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</si>
  <si>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</si>
  <si>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</si>
  <si>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</si>
  <si>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</si>
  <si>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</si>
  <si>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</si>
  <si>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</si>
  <si>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</si>
  <si>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</si>
  <si>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</si>
  <si>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</si>
  <si>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</si>
  <si>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</si>
  <si>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</si>
  <si>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</si>
  <si>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</si>
  <si>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</si>
  <si>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</si>
  <si>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</si>
  <si>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</si>
  <si>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</si>
  <si>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</si>
  <si>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</si>
  <si>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</si>
  <si>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</si>
  <si>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</si>
  <si>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</si>
  <si>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</si>
  <si>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</si>
  <si>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</si>
  <si>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</si>
  <si>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</si>
  <si>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</si>
  <si>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</si>
  <si>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</si>
  <si>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</si>
  <si>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</si>
  <si>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</si>
  <si>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</si>
  <si>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</si>
  <si>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</si>
  <si>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</si>
  <si>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</si>
  <si>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</si>
  <si>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</si>
  <si>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</si>
  <si>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</si>
  <si>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</si>
  <si>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</si>
  <si>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</si>
  <si>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</si>
  <si>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</si>
  <si>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</si>
  <si>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</si>
  <si>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</si>
  <si>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</si>
  <si>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</si>
  <si>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</si>
  <si>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</si>
  <si>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</si>
  <si>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</si>
  <si>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</si>
  <si>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</si>
  <si>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</si>
  <si>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</si>
  <si>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</si>
  <si>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</si>
  <si>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</si>
  <si>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</si>
  <si>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</si>
  <si>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</si>
  <si>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</si>
  <si>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</si>
  <si>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</si>
  <si>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</si>
  <si>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</si>
  <si>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</si>
  <si>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</si>
  <si>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</si>
  <si>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</si>
  <si>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</si>
  <si>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</si>
  <si>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</si>
  <si>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</si>
  <si>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</si>
  <si>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</si>
  <si>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</si>
  <si>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</si>
  <si>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</si>
  <si>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</si>
  <si>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</si>
  <si>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</si>
  <si>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</si>
  <si>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</si>
  <si>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</si>
  <si>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</si>
  <si>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</si>
  <si>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</si>
  <si>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</si>
  <si>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</si>
  <si>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</si>
  <si>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</si>
  <si>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</si>
  <si>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</si>
  <si>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</si>
  <si>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</si>
  <si>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</si>
  <si>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</si>
  <si>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</si>
  <si>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</si>
  <si>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</si>
  <si>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</si>
  <si>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</si>
  <si>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</si>
  <si>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</si>
  <si>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</si>
  <si>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</si>
  <si>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</si>
  <si>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</si>
  <si>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</si>
  <si>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</si>
  <si>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</si>
  <si>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</si>
  <si>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</si>
  <si>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</si>
  <si>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</si>
  <si>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</si>
  <si>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</si>
  <si>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</si>
  <si>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</si>
  <si>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</si>
  <si>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</si>
  <si>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</si>
  <si>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</si>
  <si>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</si>
  <si>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</si>
  <si>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</si>
  <si>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</si>
  <si>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</si>
  <si>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</si>
  <si>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</si>
  <si>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</si>
  <si>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</si>
  <si>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</si>
  <si>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</si>
  <si>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</si>
  <si>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</si>
  <si>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</si>
  <si>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</si>
  <si>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</si>
  <si>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</si>
  <si>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</si>
  <si>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</si>
  <si>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</si>
  <si>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</si>
  <si>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</si>
  <si>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</si>
  <si>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</si>
  <si>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</si>
  <si>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</si>
  <si>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</si>
  <si>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</si>
  <si>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</si>
  <si>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</si>
  <si>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</si>
  <si>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</si>
  <si>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</si>
  <si>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</si>
  <si>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</si>
  <si>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</si>
  <si>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</si>
  <si>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</si>
  <si>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</si>
  <si>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</si>
  <si>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</si>
  <si>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</si>
  <si>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</si>
  <si>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</si>
  <si>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</si>
  <si>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</si>
  <si>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</si>
  <si>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</si>
  <si>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</si>
  <si>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</si>
  <si>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</si>
  <si>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</si>
  <si>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</si>
  <si>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</si>
  <si>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</si>
  <si>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</si>
  <si>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</si>
  <si>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</si>
  <si>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</si>
  <si>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</si>
  <si>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</si>
  <si>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</si>
  <si>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</si>
  <si>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</si>
  <si>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</si>
  <si>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</si>
  <si>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</si>
  <si>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</si>
  <si>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</si>
  <si>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</si>
  <si>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</si>
  <si>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</si>
  <si>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</si>
  <si>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</si>
  <si>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</si>
  <si>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</si>
  <si>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</si>
  <si>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</si>
  <si>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</si>
  <si>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</si>
  <si>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</si>
  <si>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</si>
  <si>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</si>
  <si>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</si>
  <si>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</si>
  <si>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</si>
  <si>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</si>
  <si>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</si>
  <si>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</si>
  <si>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</si>
  <si>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</si>
  <si>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</si>
  <si>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</si>
  <si>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</si>
  <si>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</si>
  <si>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</si>
  <si>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</si>
  <si>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</si>
  <si>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</si>
  <si>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</si>
  <si>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</si>
  <si>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</si>
  <si>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</si>
  <si>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</si>
  <si>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</si>
  <si>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</si>
  <si>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</si>
  <si>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</si>
  <si>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</si>
  <si>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</si>
  <si>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</si>
  <si>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</si>
  <si>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</si>
  <si>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</si>
  <si>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</si>
  <si>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</si>
  <si>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</si>
  <si>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</si>
  <si>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</si>
  <si>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</si>
  <si>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</si>
  <si>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</si>
  <si>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</si>
  <si>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</si>
  <si>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</si>
  <si>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</si>
  <si>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</si>
  <si>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</si>
  <si>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</si>
  <si>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</si>
  <si>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</si>
  <si>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</si>
  <si>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</si>
  <si>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</si>
  <si>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</si>
  <si>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</si>
  <si>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</si>
  <si>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</si>
  <si>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</si>
  <si>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</si>
  <si>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</si>
  <si>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</si>
  <si>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</si>
  <si>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</si>
  <si>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</si>
  <si>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</si>
  <si>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</si>
  <si>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</si>
  <si>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</si>
  <si>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</si>
  <si>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</si>
  <si>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</si>
  <si>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</si>
  <si>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</si>
  <si>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</si>
  <si>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</si>
  <si>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</si>
  <si>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</si>
  <si>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</si>
  <si>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</si>
  <si>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</si>
  <si>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</si>
  <si>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</si>
  <si>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</si>
  <si>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</si>
  <si>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</si>
  <si>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</si>
  <si>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</si>
  <si>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</si>
  <si>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</si>
  <si>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</si>
  <si>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</si>
  <si>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</si>
  <si>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</si>
  <si>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</si>
  <si>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</si>
  <si>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</si>
  <si>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</si>
  <si>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</si>
  <si>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</si>
  <si>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</si>
  <si>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</si>
  <si>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</si>
  <si>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</si>
  <si>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</si>
  <si>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</si>
  <si>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</si>
  <si>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</si>
  <si>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</si>
  <si>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</si>
  <si>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</si>
  <si>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</si>
  <si>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</si>
  <si>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</si>
  <si>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</si>
  <si>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</si>
  <si>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</si>
  <si>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</si>
  <si>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</si>
  <si>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</si>
  <si>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</si>
  <si>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</si>
  <si>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</si>
  <si>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</si>
  <si>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</si>
  <si>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</si>
  <si>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</si>
  <si>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</si>
  <si>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</si>
  <si>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</si>
  <si>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</si>
  <si>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</si>
  <si>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</si>
  <si>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</si>
  <si>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</si>
  <si>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</si>
  <si>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</si>
  <si>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</si>
  <si>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</si>
  <si>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</si>
  <si>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</si>
  <si>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</si>
  <si>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</si>
  <si>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</si>
  <si>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</si>
  <si>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</si>
  <si>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</si>
  <si>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</si>
  <si>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</si>
  <si>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</si>
  <si>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</si>
  <si>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</si>
  <si>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</si>
  <si>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</si>
  <si>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</si>
  <si>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</si>
  <si>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</si>
  <si>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</si>
  <si>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</si>
  <si>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</si>
  <si>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</si>
  <si>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</si>
  <si>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</si>
  <si>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</si>
  <si>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</si>
  <si>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</si>
  <si>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</si>
  <si>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</si>
  <si>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</si>
  <si>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</si>
  <si>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</si>
  <si>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</si>
  <si>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</si>
  <si>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</si>
  <si>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</si>
  <si>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</si>
  <si>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</si>
  <si>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</si>
  <si>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</si>
  <si>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</si>
  <si>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</si>
  <si>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</si>
  <si>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</si>
  <si>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</si>
  <si>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</si>
  <si>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</si>
  <si>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</si>
  <si>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</si>
  <si>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</si>
  <si>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</si>
  <si>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</si>
  <si>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</si>
  <si>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</si>
  <si>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</si>
  <si>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</si>
  <si>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</si>
  <si>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</si>
  <si>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</si>
  <si>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</si>
  <si>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</si>
  <si>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</si>
  <si>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</si>
  <si>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</si>
  <si>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</si>
  <si>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</si>
  <si>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</si>
  <si>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</si>
  <si>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</si>
  <si>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</si>
  <si>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</si>
  <si>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</si>
  <si>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</si>
  <si>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</si>
  <si>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</si>
  <si>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</si>
  <si>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</si>
  <si>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</si>
  <si>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</si>
  <si>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</si>
  <si>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</si>
  <si>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</si>
  <si>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</si>
  <si>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</si>
  <si>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</si>
  <si>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</si>
  <si>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</si>
  <si>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</si>
  <si>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</si>
  <si>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</si>
  <si>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</si>
  <si>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</si>
  <si>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</si>
  <si>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</si>
  <si>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</si>
  <si>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</si>
  <si>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</si>
  <si>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</si>
  <si>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</si>
  <si>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</si>
  <si>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</si>
  <si>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</si>
  <si>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</si>
  <si>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</si>
  <si>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</si>
  <si>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</si>
  <si>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</si>
  <si>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</si>
  <si>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</si>
  <si>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</si>
  <si>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</si>
  <si>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</si>
  <si>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</si>
  <si>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</si>
  <si>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</si>
  <si>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</si>
  <si>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</si>
  <si>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</si>
  <si>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</si>
  <si>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</si>
  <si>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</si>
  <si>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</si>
  <si>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</si>
  <si>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</si>
  <si>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</si>
  <si>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</si>
  <si>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</si>
  <si>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</si>
  <si>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</si>
  <si>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</si>
  <si>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</si>
  <si>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</si>
  <si>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</si>
  <si>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</si>
  <si>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</si>
  <si>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</si>
  <si>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</si>
  <si>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</si>
  <si>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</si>
  <si>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</si>
  <si>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</si>
  <si>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</si>
  <si>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</si>
  <si>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</si>
  <si>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</si>
  <si>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</si>
  <si>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</si>
  <si>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</si>
  <si>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</si>
  <si>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</si>
  <si>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</si>
  <si>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</si>
  <si>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</si>
  <si>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</si>
  <si>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</si>
  <si>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</si>
  <si>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</si>
  <si>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</si>
  <si>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</si>
  <si>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</si>
  <si>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</si>
  <si>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</si>
  <si>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</si>
  <si>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</si>
  <si>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</si>
  <si>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</si>
  <si>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</si>
  <si>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</si>
  <si>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</si>
  <si>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</si>
  <si>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</si>
  <si>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</si>
  <si>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</si>
  <si>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</si>
  <si>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</si>
  <si>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</si>
  <si>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</si>
  <si>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</si>
  <si>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</si>
  <si>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</si>
  <si>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</si>
  <si>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</si>
  <si>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</si>
  <si>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</si>
  <si>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</si>
  <si>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</si>
  <si>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</si>
  <si>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</si>
  <si>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</si>
  <si>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</si>
  <si>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</si>
  <si>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</si>
  <si>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</si>
  <si>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</si>
  <si>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</si>
  <si>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</si>
  <si>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</si>
  <si>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</si>
  <si>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</si>
  <si>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</si>
  <si>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</si>
  <si>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</si>
  <si>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</si>
  <si>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</si>
  <si>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</si>
  <si>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</si>
  <si>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</si>
  <si>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</si>
  <si>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</si>
  <si>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</si>
  <si>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</si>
  <si>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</si>
  <si>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</si>
  <si>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</si>
  <si>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</si>
  <si>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</si>
  <si>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</si>
  <si>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</si>
  <si>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</si>
  <si>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</si>
  <si>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</si>
  <si>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</si>
  <si>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</si>
  <si>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</si>
  <si>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</si>
  <si>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</si>
  <si>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</si>
  <si>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</si>
  <si>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</si>
  <si>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</si>
  <si>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</si>
  <si>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</si>
  <si>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</si>
  <si>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</si>
  <si>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</si>
  <si>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</si>
  <si>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</si>
  <si>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</si>
  <si>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</si>
  <si>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</si>
  <si>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</si>
  <si>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</si>
  <si>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</si>
  <si>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</si>
  <si>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</si>
  <si>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</si>
  <si>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</si>
  <si>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</si>
  <si>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</si>
  <si>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</si>
  <si>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</si>
  <si>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</si>
  <si>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</si>
  <si>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</si>
  <si>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</si>
  <si>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</si>
  <si>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</si>
  <si>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</si>
  <si>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</si>
  <si>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</si>
  <si>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</si>
  <si>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</si>
  <si>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</si>
  <si>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</si>
  <si>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</si>
  <si>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</si>
  <si>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</si>
  <si>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</si>
  <si>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</si>
  <si>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</si>
  <si>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</si>
  <si>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</si>
  <si>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</si>
  <si>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</si>
  <si>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</si>
  <si>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</si>
  <si>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</si>
  <si>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</si>
  <si>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</si>
  <si>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</si>
  <si>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</si>
  <si>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</si>
  <si>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</si>
  <si>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</si>
  <si>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</si>
  <si>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</si>
  <si>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</si>
  <si>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</si>
  <si>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</si>
  <si>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</si>
  <si>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</si>
  <si>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</si>
  <si>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</si>
  <si>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</si>
  <si>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</si>
  <si>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</si>
  <si>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</si>
  <si>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</si>
  <si>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</si>
  <si>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</si>
  <si>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</si>
  <si>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</si>
  <si>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</si>
  <si>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</si>
  <si>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</si>
  <si>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</si>
  <si>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</si>
  <si>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</si>
  <si>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</si>
  <si>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</si>
  <si>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</si>
  <si>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</si>
  <si>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</si>
  <si>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</si>
  <si>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</si>
  <si>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</si>
  <si>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</si>
  <si>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</si>
  <si>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</si>
  <si>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</si>
  <si>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</si>
  <si>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</si>
  <si>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</si>
  <si>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</si>
  <si>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</si>
  <si>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</si>
  <si>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</si>
  <si>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</si>
  <si>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</si>
  <si>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</si>
  <si>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</si>
  <si>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</si>
  <si>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</si>
  <si>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</si>
  <si>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</si>
  <si>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</si>
  <si>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</si>
  <si>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</si>
  <si>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</si>
  <si>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</si>
  <si>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</si>
  <si>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</si>
  <si>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</si>
  <si>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</si>
  <si>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</si>
  <si>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</si>
  <si>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</si>
  <si>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</si>
  <si>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</si>
  <si>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</si>
  <si>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</si>
  <si>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</si>
  <si>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</si>
  <si>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</si>
  <si>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</si>
  <si>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</si>
  <si>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</si>
  <si>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</si>
  <si>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</si>
  <si>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</si>
  <si>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</si>
  <si>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</si>
  <si>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</si>
  <si>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</si>
  <si>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</si>
  <si>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</si>
  <si>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</si>
  <si>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</si>
  <si>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</si>
  <si>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</si>
  <si>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</si>
  <si>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</si>
  <si>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</si>
  <si>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</si>
  <si>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</si>
  <si>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</si>
  <si>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</si>
  <si>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</si>
  <si>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</si>
  <si>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</si>
  <si>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</si>
  <si>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</si>
  <si>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</si>
  <si>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</si>
  <si>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</si>
  <si>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</si>
  <si>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</si>
  <si>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</si>
  <si>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</si>
  <si>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</si>
  <si>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</si>
  <si>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</si>
  <si>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</si>
  <si>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</si>
  <si>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</si>
  <si>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</si>
  <si>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</si>
  <si>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</si>
  <si>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</si>
  <si>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</si>
  <si>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</si>
  <si>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</si>
  <si>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</si>
  <si>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</si>
  <si>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</si>
  <si>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</si>
  <si>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</si>
  <si>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</si>
  <si>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</si>
  <si>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</si>
  <si>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</si>
  <si>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</si>
  <si>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</si>
  <si>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</si>
  <si>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</si>
  <si>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</si>
  <si>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</si>
  <si>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</si>
  <si>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</si>
  <si>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</si>
  <si>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</si>
  <si>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</si>
  <si>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</si>
  <si>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</si>
  <si>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</si>
  <si>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</si>
  <si>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</si>
  <si>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</si>
  <si>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</si>
  <si>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</si>
  <si>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</si>
  <si>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</si>
  <si>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</si>
  <si>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</si>
  <si>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</si>
  <si>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</si>
  <si>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</si>
  <si>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</si>
  <si>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</si>
  <si>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</si>
  <si>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</si>
  <si>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</si>
  <si>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</si>
  <si>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</si>
  <si>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</si>
  <si>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</si>
  <si>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</si>
  <si>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</si>
  <si>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</si>
  <si>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</si>
  <si>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</si>
  <si>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</si>
  <si>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</si>
  <si>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</si>
  <si>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</si>
  <si>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</si>
  <si>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</si>
  <si>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</si>
  <si>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</si>
  <si>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</si>
  <si>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</si>
  <si>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</si>
  <si>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</si>
  <si>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</si>
  <si>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</si>
  <si>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</si>
  <si>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</si>
  <si>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</si>
  <si>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</si>
  <si>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</si>
  <si>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</si>
  <si>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</si>
  <si>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</si>
  <si>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</si>
  <si>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</si>
  <si>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</si>
  <si>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</si>
  <si>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</si>
  <si>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</si>
  <si>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</si>
  <si>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</si>
  <si>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</si>
  <si>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</si>
  <si>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</si>
  <si>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</si>
  <si>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</si>
  <si>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</si>
  <si>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</si>
  <si>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</si>
  <si>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</si>
  <si>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</si>
  <si>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</si>
  <si>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</si>
  <si>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</si>
  <si>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</si>
  <si>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</si>
  <si>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</si>
  <si>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</si>
  <si>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</si>
  <si>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</si>
  <si>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</si>
  <si>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</si>
  <si>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</si>
  <si>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</si>
  <si>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</si>
  <si>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</si>
  <si>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</si>
  <si>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</si>
  <si>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</si>
  <si>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</si>
  <si>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</si>
  <si>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</si>
  <si>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</si>
  <si>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</si>
  <si>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</si>
  <si>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</si>
  <si>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</si>
  <si>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</si>
  <si>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</si>
  <si>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</si>
  <si>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</si>
  <si>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</si>
  <si>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</si>
  <si>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</si>
  <si>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</si>
  <si>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</si>
  <si>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</si>
  <si>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</si>
  <si>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</si>
  <si>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</si>
  <si>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</si>
  <si>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</si>
  <si>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</si>
  <si>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</si>
  <si>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</si>
  <si>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</si>
  <si>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</si>
  <si>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</si>
  <si>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</si>
  <si>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</si>
  <si>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</si>
  <si>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</si>
  <si>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</si>
  <si>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</si>
  <si>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</si>
  <si>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</si>
  <si>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</si>
  <si>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</si>
  <si>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</si>
  <si>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</si>
  <si>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</si>
  <si>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</si>
  <si>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</si>
  <si>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</si>
  <si>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</si>
  <si>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</si>
  <si>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</si>
  <si>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</si>
  <si>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</si>
  <si>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</si>
  <si>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</si>
  <si>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</si>
  <si>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</si>
  <si>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</si>
  <si>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</si>
  <si>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</si>
  <si>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</si>
  <si>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</si>
  <si>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</si>
  <si>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</si>
  <si>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</si>
  <si>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</si>
  <si>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</si>
  <si>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</si>
  <si>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</si>
  <si>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</si>
  <si>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</si>
  <si>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</si>
  <si>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</si>
  <si>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</si>
  <si>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</si>
  <si>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</si>
  <si>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</si>
  <si>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</si>
  <si>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</si>
  <si>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</si>
  <si>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</si>
  <si>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</si>
  <si>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</si>
  <si>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</si>
  <si>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</si>
  <si>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</si>
  <si>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</si>
  <si>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</si>
  <si>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</si>
  <si>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</si>
  <si>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</si>
  <si>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</si>
  <si>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</si>
  <si>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</si>
  <si>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</si>
  <si>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</si>
  <si>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</si>
  <si>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</si>
  <si>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</si>
  <si>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</si>
  <si>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</si>
  <si>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</si>
  <si>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</si>
  <si>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</si>
  <si>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</si>
  <si>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</si>
  <si>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</si>
  <si>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</si>
  <si>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</si>
  <si>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</si>
  <si>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</si>
  <si>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</si>
  <si>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</si>
  <si>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</si>
  <si>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</si>
  <si>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</si>
  <si>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</si>
  <si>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</si>
  <si>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</si>
  <si>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</si>
  <si>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</si>
  <si>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</si>
  <si>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</si>
  <si>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</si>
  <si>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</si>
  <si>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</si>
  <si>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</si>
  <si>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</si>
  <si>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</si>
  <si>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</si>
  <si>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</si>
  <si>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</si>
  <si>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</si>
  <si>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</si>
  <si>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</si>
  <si>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</si>
  <si>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</si>
  <si>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</si>
  <si>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</si>
  <si>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</si>
  <si>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</si>
  <si>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</si>
  <si>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</si>
  <si>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</si>
  <si>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</si>
  <si>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</si>
  <si>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</si>
  <si>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</si>
  <si>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</si>
  <si>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</si>
  <si>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</si>
  <si>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</si>
  <si>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</si>
  <si>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</si>
  <si>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</si>
  <si>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</si>
  <si>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</si>
  <si>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</si>
  <si>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</si>
  <si>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</si>
  <si>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</si>
  <si>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</si>
  <si>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</si>
  <si>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</si>
  <si>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</si>
  <si>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</si>
  <si>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</si>
  <si>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</si>
  <si>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</si>
  <si>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</si>
  <si>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</si>
  <si>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</si>
  <si>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</si>
  <si>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</si>
  <si>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</si>
  <si>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</si>
  <si>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</si>
  <si>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</si>
  <si>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</si>
  <si>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</si>
  <si>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</si>
  <si>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</si>
  <si>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</si>
  <si>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</si>
  <si>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</si>
  <si>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</si>
  <si>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</si>
  <si>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</si>
  <si>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</si>
  <si>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</si>
  <si>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</si>
  <si>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</si>
  <si>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</si>
  <si>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</si>
  <si>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</si>
  <si>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</si>
  <si>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</si>
  <si>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</si>
  <si>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</si>
  <si>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</si>
  <si>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</si>
  <si>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</si>
  <si>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</si>
  <si>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</si>
  <si>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</si>
  <si>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</si>
  <si>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</si>
  <si>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</si>
  <si>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</si>
  <si>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</si>
  <si>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</si>
  <si>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</si>
  <si>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</si>
  <si>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</si>
  <si>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</si>
  <si>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</si>
  <si>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</si>
  <si>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</si>
  <si>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</si>
  <si>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</si>
  <si>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</si>
  <si>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</si>
  <si>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</si>
  <si>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</si>
  <si>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</si>
  <si>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</si>
  <si>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</si>
  <si>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</si>
  <si>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</si>
  <si>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</si>
  <si>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</si>
  <si>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</si>
  <si>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</si>
  <si>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</si>
  <si>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</si>
  <si>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</si>
  <si>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</si>
  <si>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</si>
  <si>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</si>
  <si>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</si>
  <si>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</si>
  <si>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</si>
  <si>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</si>
  <si>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</si>
  <si>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</si>
  <si>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</si>
  <si>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</si>
  <si>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</si>
  <si>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</si>
  <si>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</si>
  <si>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</si>
  <si>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</si>
  <si>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</si>
  <si>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</si>
  <si>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</si>
  <si>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</si>
  <si>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</si>
  <si>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</si>
  <si>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</si>
  <si>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</si>
  <si>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</si>
  <si>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</si>
  <si>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</si>
  <si>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</si>
  <si>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</si>
  <si>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</si>
  <si>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</si>
  <si>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</si>
  <si>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</si>
  <si>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</si>
  <si>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</si>
  <si>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</si>
  <si>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</si>
  <si>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</si>
  <si>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</si>
  <si>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</si>
  <si>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</si>
  <si>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</si>
  <si>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</si>
  <si>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</si>
  <si>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</si>
  <si>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</si>
  <si>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</si>
  <si>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</si>
  <si>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</si>
  <si>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</si>
  <si>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</si>
  <si>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</si>
  <si>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</si>
  <si>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</si>
  <si>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</si>
  <si>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</si>
  <si>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</si>
  <si>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</si>
  <si>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</si>
  <si>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</si>
  <si>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</si>
  <si>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</si>
  <si>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</si>
  <si>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</si>
  <si>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</si>
  <si>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</si>
  <si>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</si>
  <si>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</si>
  <si>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</si>
  <si>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</si>
  <si>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</si>
  <si>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</si>
  <si>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</si>
  <si>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</si>
  <si>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</si>
  <si>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</si>
  <si>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</si>
  <si>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</si>
  <si>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</si>
  <si>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</si>
  <si>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</si>
  <si>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</si>
  <si>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</si>
  <si>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</si>
  <si>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</si>
  <si>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</si>
  <si>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</si>
  <si>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</si>
  <si>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</si>
  <si>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</si>
  <si>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</si>
  <si>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</si>
  <si>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</si>
  <si>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</si>
  <si>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</si>
  <si>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</si>
  <si>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</si>
  <si>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</si>
  <si>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</si>
  <si>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</si>
  <si>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</si>
  <si>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</si>
  <si>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</si>
  <si>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</si>
  <si>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</si>
  <si>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</si>
  <si>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</si>
  <si>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</si>
  <si>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</si>
  <si>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</si>
  <si>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</si>
  <si>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</si>
  <si>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</si>
  <si>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</si>
  <si>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</si>
  <si>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</si>
  <si>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</si>
  <si>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</si>
  <si>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</si>
  <si>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</si>
  <si>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</si>
  <si>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</si>
  <si>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</si>
  <si>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</si>
  <si>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</si>
  <si>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</si>
  <si>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</si>
  <si>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</si>
  <si>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</si>
  <si>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</si>
  <si>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</si>
  <si>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</si>
  <si>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</si>
  <si>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</si>
  <si>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</si>
  <si>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</si>
  <si>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</si>
  <si>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</si>
  <si>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</si>
  <si>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</si>
  <si>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</si>
  <si>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</si>
  <si>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</si>
  <si>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</si>
  <si>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</si>
  <si>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</si>
  <si>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</si>
  <si>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</si>
  <si>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</si>
  <si>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</si>
  <si>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</si>
  <si>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</si>
  <si>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</si>
  <si>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</si>
  <si>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</si>
  <si>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</si>
  <si>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</si>
  <si>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</si>
  <si>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</si>
  <si>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</si>
  <si>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</si>
  <si>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</si>
  <si>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</si>
  <si>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</si>
  <si>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</si>
  <si>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</si>
  <si>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</si>
  <si>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</si>
  <si>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</si>
  <si>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</si>
  <si>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</si>
  <si>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</si>
  <si>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</si>
  <si>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</si>
  <si>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</si>
  <si>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</si>
  <si>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</si>
  <si>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</si>
  <si>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</si>
  <si>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</si>
  <si>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</si>
  <si>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</si>
  <si>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</si>
  <si>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</si>
  <si>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</si>
  <si>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</si>
  <si>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</si>
  <si>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</si>
  <si>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</si>
  <si>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</si>
  <si>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</si>
  <si>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</si>
  <si>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</si>
  <si>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</si>
  <si>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</si>
  <si>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</si>
  <si>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</si>
  <si>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</si>
  <si>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</si>
  <si>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</si>
  <si>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</si>
  <si>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</si>
  <si>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</si>
  <si>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</si>
  <si>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</si>
  <si>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</si>
  <si>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</si>
  <si>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</si>
  <si>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</si>
  <si>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</si>
  <si>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</si>
  <si>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</si>
  <si>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</si>
  <si>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</si>
  <si>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</si>
  <si>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</si>
  <si>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</si>
  <si>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</si>
  <si>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</si>
  <si>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</si>
  <si>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</si>
  <si>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</si>
  <si>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</si>
  <si>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</si>
  <si>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</si>
  <si>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</si>
  <si>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</si>
  <si>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</si>
  <si>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</si>
  <si>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</si>
  <si>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</si>
  <si>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</si>
  <si>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</si>
  <si>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</si>
  <si>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</si>
  <si>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</si>
  <si>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</si>
  <si>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</si>
  <si>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</si>
  <si>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</si>
  <si>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</si>
  <si>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</si>
  <si>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</si>
  <si>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</si>
  <si>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</si>
  <si>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</si>
  <si>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</si>
  <si>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</si>
  <si>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</si>
  <si>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</si>
  <si>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</si>
  <si>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</si>
  <si>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</si>
  <si>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</si>
  <si>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</si>
  <si>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</si>
  <si>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</si>
  <si>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</si>
  <si>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</si>
  <si>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</si>
  <si>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</si>
  <si>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</si>
  <si>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</si>
  <si>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</si>
  <si>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</si>
  <si>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</si>
  <si>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</si>
  <si>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</si>
  <si>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</si>
  <si>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</si>
  <si>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</si>
  <si>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</si>
  <si>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</si>
  <si>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</si>
  <si>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</si>
  <si>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</si>
  <si>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</si>
  <si>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</si>
  <si>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</si>
  <si>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</si>
  <si>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</si>
  <si>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</si>
  <si>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</si>
  <si>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</si>
  <si>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</si>
  <si>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</si>
  <si>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</si>
  <si>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</si>
  <si>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</si>
  <si>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其他：</t>
  </si>
  <si>
    <t>企业</t>
  </si>
  <si>
    <t>出让</t>
  </si>
  <si>
    <t>否</t>
  </si>
  <si>
    <t>商业项目</t>
  </si>
  <si>
    <t>现房</t>
  </si>
  <si>
    <t>地上</t>
  </si>
  <si>
    <t>地下</t>
  </si>
  <si>
    <t>是</t>
  </si>
  <si>
    <t>商业</t>
    <phoneticPr fontId="7" type="noConversion"/>
  </si>
  <si>
    <t>成新度</t>
  </si>
  <si>
    <t>收益法</t>
  </si>
  <si>
    <t>利息：取LPR加浮动点数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</si>
  <si>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</si>
  <si>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</si>
  <si>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</si>
  <si>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</si>
  <si>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</si>
  <si>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</si>
  <si>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</si>
  <si>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</si>
  <si>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</si>
  <si>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</si>
  <si>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</si>
  <si>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</si>
  <si>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</si>
  <si>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</si>
  <si>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</si>
  <si>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</si>
  <si>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</si>
  <si>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新吴区泰山路与坊育南路交叉口东南侧</t>
  </si>
  <si>
    <t>无锡市</t>
  </si>
  <si>
    <t>商业/办公用地</t>
  </si>
  <si>
    <t>≤2.2</t>
  </si>
  <si>
    <t>挂牌</t>
  </si>
  <si>
    <t>办公、商业用地</t>
  </si>
  <si>
    <t>2020-07-29</t>
  </si>
  <si>
    <t>无锡市新发集成电路产业园有限公司</t>
  </si>
  <si>
    <t>4星</t>
  </si>
  <si>
    <t>经开区震泽路与清舒道交叉口西南侧</t>
  </si>
  <si>
    <t>≤1.3</t>
  </si>
  <si>
    <t>商业、商务用地</t>
  </si>
  <si>
    <t>2020-06-23</t>
  </si>
  <si>
    <t>无锡新泽投资发展有限公司</t>
  </si>
  <si>
    <t>5星</t>
  </si>
  <si>
    <t>新吴区华谊路以东、科研北路以南、净慧西道以西、和风路以北</t>
  </si>
  <si>
    <t>≤2.5</t>
  </si>
  <si>
    <t>商业用地</t>
  </si>
  <si>
    <t>2019-10-10</t>
  </si>
  <si>
    <t>SK海力士(无锡)产业发展有限公司</t>
  </si>
  <si>
    <t>新吴区兴昌路东侧、金城路南侧</t>
  </si>
  <si>
    <t>≤0.8-1.0</t>
  </si>
  <si>
    <t>2019-09-04</t>
  </si>
  <si>
    <t>无锡市美新汽车销售有限公司</t>
  </si>
  <si>
    <t>新吴区兴昌路东侧、前卫路北侧</t>
  </si>
  <si>
    <t>无锡市新吴区江溪街道资产经营公司</t>
  </si>
  <si>
    <t>新吴区震泽路与净慧西道交叉口东南侧</t>
  </si>
  <si>
    <t>≤2.3</t>
  </si>
  <si>
    <t>其他商服用地</t>
  </si>
  <si>
    <t>2019-01-29</t>
  </si>
  <si>
    <t>大连万达商业管理集团股份有限公司</t>
  </si>
  <si>
    <t>XDG-2017-30号地块</t>
  </si>
  <si>
    <t>容积率≤0.50</t>
  </si>
  <si>
    <t>公共加油加气站用地</t>
  </si>
  <si>
    <t>2018-04-26</t>
  </si>
  <si>
    <t>无锡市和运加油有限公司</t>
  </si>
  <si>
    <t>XDG-2017-48号地块</t>
  </si>
  <si>
    <t>容积率≤0.80</t>
  </si>
  <si>
    <t>2018-03-06</t>
  </si>
  <si>
    <t>无锡隽泰房地产开发有限公司</t>
  </si>
  <si>
    <t>3星</t>
  </si>
  <si>
    <t>XDG-2017-46号地块</t>
  </si>
  <si>
    <t>XDG-2017-49号地块</t>
  </si>
  <si>
    <t>2≤容积率≤2.20</t>
  </si>
  <si>
    <t>XDG-2017-47号地块</t>
  </si>
  <si>
    <t>XDG-2017-38号地块</t>
  </si>
  <si>
    <t>容积率≤1.50</t>
  </si>
  <si>
    <t>2017-12-22</t>
  </si>
  <si>
    <t>无锡吴文化博览园建设发展有限公司</t>
  </si>
  <si>
    <t>XDG-2017-20号地块</t>
  </si>
  <si>
    <t>容积率≤1.40</t>
  </si>
  <si>
    <t>XDG-2017-21号地块</t>
  </si>
  <si>
    <t>1.20≤容积率≤1.40</t>
  </si>
  <si>
    <t>2017-12-04</t>
  </si>
  <si>
    <t>无锡新丰泰尚众汽车销售服务有限公司</t>
  </si>
  <si>
    <t>正常</t>
  </si>
  <si>
    <t>商业</t>
    <phoneticPr fontId="31" type="noConversion"/>
  </si>
  <si>
    <t>较好</t>
  </si>
  <si>
    <t>一般</t>
  </si>
  <si>
    <t>楼面地价</t>
  </si>
  <si>
    <t>六通</t>
  </si>
  <si>
    <t>未包含在土地购买价格中</t>
  </si>
  <si>
    <t>全部缴纳</t>
  </si>
  <si>
    <t>已包含在土地取得成本中</t>
  </si>
  <si>
    <t>押一</t>
  </si>
  <si>
    <t>按租金收入计税</t>
  </si>
  <si>
    <t>钢混</t>
  </si>
  <si>
    <t>非生产用房</t>
  </si>
  <si>
    <t>成本法</t>
  </si>
  <si>
    <t>总价</t>
  </si>
  <si>
    <t>成本比率</t>
  </si>
  <si>
    <t>情况3</t>
  </si>
  <si>
    <t>自行开发建设</t>
  </si>
  <si>
    <t>非个人房产</t>
  </si>
  <si>
    <t>出让金+开发费</t>
  </si>
  <si>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</si>
  <si>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</si>
  <si>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</si>
  <si>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</si>
  <si>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</si>
  <si>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</si>
  <si>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</si>
  <si>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</si>
  <si>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</si>
  <si>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</si>
  <si>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</si>
  <si>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</si>
  <si>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</si>
  <si>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</si>
  <si>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</si>
  <si>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</si>
  <si>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</si>
  <si>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</si>
  <si>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</si>
  <si>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</si>
  <si>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</si>
  <si>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</si>
  <si>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</si>
  <si>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</si>
  <si>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</si>
  <si>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</si>
  <si>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</si>
  <si>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</si>
  <si>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</si>
  <si>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</si>
  <si>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</si>
  <si>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</si>
  <si>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</si>
  <si>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</si>
  <si>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</si>
  <si>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</si>
  <si>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</si>
  <si>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</si>
  <si>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</si>
  <si>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</si>
  <si>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</si>
  <si>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</si>
  <si>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</si>
  <si>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</si>
  <si>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</si>
  <si>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</si>
  <si>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</si>
  <si>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</si>
  <si>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</si>
  <si>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</si>
  <si>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</si>
  <si>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</si>
  <si>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</si>
  <si>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</si>
  <si>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</si>
  <si>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</si>
  <si>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</si>
  <si>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</si>
  <si>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</si>
  <si>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</si>
  <si>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</si>
  <si>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</si>
  <si>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</si>
  <si>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</si>
  <si>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</si>
  <si>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</si>
  <si>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</si>
  <si>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</si>
  <si>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</si>
  <si>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</si>
  <si>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</si>
  <si>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</si>
  <si>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</si>
  <si>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</si>
  <si>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</si>
  <si>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</si>
  <si>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</si>
  <si>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</si>
  <si>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</si>
  <si>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</si>
  <si>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</si>
  <si>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sz val="10"/>
        <rFont val="宋体"/>
        <family val="3"/>
        <charset val="134"/>
      </rPr>
      <t>按比例</t>
    </r>
  </si>
  <si>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</si>
  <si>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</si>
  <si>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</si>
  <si>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</si>
  <si>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</si>
  <si>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</si>
  <si>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</si>
  <si>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</si>
  <si>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</si>
  <si>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</si>
  <si>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</si>
  <si>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</si>
  <si>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</si>
  <si>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</si>
  <si>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</si>
  <si>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</si>
  <si>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</si>
  <si>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</si>
  <si>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</si>
  <si>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小计</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</si>
  <si>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</si>
  <si>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</si>
  <si>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</si>
  <si>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</si>
  <si>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</si>
  <si>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</si>
  <si>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</si>
  <si>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</si>
  <si>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</si>
  <si>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</si>
  <si>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</si>
  <si>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</si>
  <si>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</si>
  <si>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</si>
  <si>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</si>
  <si>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</si>
  <si>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</si>
  <si>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</si>
  <si>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</si>
  <si>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</si>
  <si>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</si>
  <si>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</si>
  <si>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</si>
  <si>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</si>
  <si>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</si>
  <si>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</si>
  <si>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</si>
  <si>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</si>
  <si>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</si>
  <si>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sz val="10"/>
        <rFont val="宋体"/>
        <family val="3"/>
        <charset val="134"/>
      </rPr>
      <t>周边商业租金</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</si>
  <si>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</si>
  <si>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</si>
  <si>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</si>
  <si>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</si>
  <si>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</si>
  <si>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</si>
  <si>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</si>
  <si>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</si>
  <si>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t>押金利息收入</t>
    <phoneticPr fontId="3" type="noConversion"/>
  </si>
  <si>
    <t>押金</t>
    <phoneticPr fontId="3" type="noConversion"/>
  </si>
  <si>
    <t>押金方式</t>
    <phoneticPr fontId="3" type="noConversion"/>
  </si>
  <si>
    <t>押一</t>
    <phoneticPr fontId="3" type="noConversion"/>
  </si>
  <si>
    <t>利息</t>
    <phoneticPr fontId="3" type="noConversion"/>
  </si>
  <si>
    <t>租金收益</t>
    <phoneticPr fontId="140" type="noConversion"/>
  </si>
  <si>
    <t>万元</t>
    <phoneticPr fontId="140" type="noConversion"/>
  </si>
  <si>
    <t>2021.1-2022.7</t>
    <phoneticPr fontId="140" type="noConversion"/>
  </si>
  <si>
    <t>2020.7-2020.12</t>
    <phoneticPr fontId="140" type="noConversion"/>
  </si>
  <si>
    <t>收益法-经营</t>
  </si>
  <si>
    <t>收益法-经营</t>
    <phoneticPr fontId="16" type="noConversion"/>
  </si>
  <si>
    <r>
      <t>2</t>
    </r>
    <r>
      <rPr>
        <sz val="11"/>
        <color theme="1"/>
        <rFont val="宋体"/>
        <family val="3"/>
        <charset val="134"/>
        <scheme val="minor"/>
      </rPr>
      <t>020年度</t>
    </r>
    <phoneticPr fontId="140" type="noConversion"/>
  </si>
  <si>
    <r>
      <t>租金4</t>
    </r>
    <r>
      <rPr>
        <sz val="11"/>
        <color theme="1"/>
        <rFont val="宋体"/>
        <family val="3"/>
        <charset val="134"/>
        <scheme val="minor"/>
      </rPr>
      <t>.6元</t>
    </r>
    <phoneticPr fontId="140" type="noConversion"/>
  </si>
  <si>
    <t>楼层</t>
    <phoneticPr fontId="140" type="noConversion"/>
  </si>
  <si>
    <t>租金</t>
    <phoneticPr fontId="140" type="noConversion"/>
  </si>
  <si>
    <t>建筑面积</t>
    <phoneticPr fontId="140" type="noConversion"/>
  </si>
  <si>
    <t>负1</t>
    <phoneticPr fontId="140" type="noConversion"/>
  </si>
  <si>
    <t>系数</t>
    <phoneticPr fontId="140" type="noConversion"/>
  </si>
  <si>
    <t>合计</t>
    <phoneticPr fontId="140" type="noConversion"/>
  </si>
  <si>
    <t>负1</t>
    <phoneticPr fontId="140" type="noConversion"/>
  </si>
  <si>
    <t>楼层</t>
    <phoneticPr fontId="140" type="noConversion"/>
  </si>
  <si>
    <t>合计</t>
    <phoneticPr fontId="140" type="noConversion"/>
  </si>
  <si>
    <t>企业提供（在右侧录入）</t>
  </si>
  <si>
    <r>
      <t>周边二手房北侧位于1</t>
    </r>
    <r>
      <rPr>
        <sz val="11"/>
        <color theme="1"/>
        <rFont val="宋体"/>
        <family val="3"/>
        <charset val="134"/>
        <scheme val="minor"/>
      </rPr>
      <t>-1.5万之间，南侧临近湖景房2-2.5万之间</t>
    </r>
    <phoneticPr fontId="140" type="noConversion"/>
  </si>
  <si>
    <r>
      <t>新房2</t>
    </r>
    <r>
      <rPr>
        <sz val="11"/>
        <color theme="1"/>
        <rFont val="宋体"/>
        <family val="3"/>
        <charset val="134"/>
        <scheme val="minor"/>
      </rPr>
      <t>-3万之间</t>
    </r>
    <phoneticPr fontId="140" type="noConversion"/>
  </si>
  <si>
    <t>收入</t>
    <phoneticPr fontId="140" type="noConversion"/>
  </si>
  <si>
    <t>管理费用</t>
    <phoneticPr fontId="140" type="noConversion"/>
  </si>
  <si>
    <t>财务费用</t>
    <phoneticPr fontId="140" type="noConversion"/>
  </si>
  <si>
    <t>营业成本</t>
    <phoneticPr fontId="140" type="noConversion"/>
  </si>
  <si>
    <t>序号</t>
    <phoneticPr fontId="140" type="noConversion"/>
  </si>
  <si>
    <t>震泽路31号</t>
    <phoneticPr fontId="140" type="noConversion"/>
  </si>
  <si>
    <t>震泽路33号</t>
    <phoneticPr fontId="140" type="noConversion"/>
  </si>
  <si>
    <r>
      <rPr>
        <sz val="11"/>
        <color indexed="8"/>
        <rFont val="宋体"/>
        <family val="3"/>
        <charset val="134"/>
      </rPr>
      <t>关于公布</t>
    </r>
    <r>
      <rPr>
        <sz val="11"/>
        <color indexed="8"/>
        <rFont val="Arial"/>
        <family val="2"/>
      </rPr>
      <t>2020</t>
    </r>
    <r>
      <rPr>
        <sz val="11"/>
        <color indexed="8"/>
        <rFont val="宋体"/>
        <family val="3"/>
        <charset val="134"/>
      </rPr>
      <t>年江苏省政府性基金项目
目录的通知
苏财综〔</t>
    </r>
    <r>
      <rPr>
        <sz val="11"/>
        <color indexed="8"/>
        <rFont val="Arial"/>
        <family val="2"/>
      </rPr>
      <t>2021</t>
    </r>
    <r>
      <rPr>
        <sz val="11"/>
        <color indexed="8"/>
        <rFont val="宋体"/>
        <family val="3"/>
        <charset val="134"/>
      </rPr>
      <t>〕</t>
    </r>
    <r>
      <rPr>
        <sz val="11"/>
        <color indexed="8"/>
        <rFont val="Arial"/>
        <family val="2"/>
      </rPr>
      <t>10</t>
    </r>
    <r>
      <rPr>
        <sz val="11"/>
        <color indexed="8"/>
        <rFont val="宋体"/>
        <family val="3"/>
        <charset val="134"/>
      </rPr>
      <t>号</t>
    </r>
    <phoneticPr fontId="3" type="noConversion"/>
  </si>
  <si>
    <t>好</t>
  </si>
  <si>
    <t>依据总包合同</t>
    <phoneticPr fontId="8" type="noConversion"/>
  </si>
  <si>
    <t>项目（单位：万元）</t>
    <phoneticPr fontId="140" type="noConversion"/>
  </si>
  <si>
    <t>2021年</t>
    <phoneticPr fontId="140" type="noConversion"/>
  </si>
  <si>
    <r>
      <t>2022年</t>
    </r>
    <r>
      <rPr>
        <sz val="11"/>
        <color theme="1"/>
        <rFont val="宋体"/>
        <family val="3"/>
        <charset val="134"/>
        <scheme val="minor"/>
      </rPr>
      <t xml:space="preserve"> </t>
    </r>
    <phoneticPr fontId="140" type="noConversion"/>
  </si>
  <si>
    <t>2023年</t>
    <phoneticPr fontId="140" type="noConversion"/>
  </si>
  <si>
    <t>租金收入</t>
    <phoneticPr fontId="140" type="noConversion"/>
  </si>
  <si>
    <t>物业费等其他收入</t>
    <phoneticPr fontId="140" type="noConversion"/>
  </si>
  <si>
    <t>合计收入</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</si>
</sst>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98" fillId="0" borderId="0">
      <alignment vertical="center"/>
    </xf>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46" fillId="13" borderId="0" xfId="0" applyFont="1" applyFill="1" applyAlignment="1" applyProtection="1">
      <alignment vertical="center" wrapText="1"/>
      <protection locked="0"/>
    </xf>
    <xf numFmtId="0" fontId="55" fillId="0" borderId="0" xfId="17"/>
    <xf numFmtId="0" fontId="118" fillId="0" borderId="0" xfId="17" applyFont="1"/>
    <xf numFmtId="0" fontId="254" fillId="0" borderId="0" xfId="0" applyFont="1">
      <alignment vertical="center"/>
    </xf>
    <xf numFmtId="0" fontId="55" fillId="5" borderId="0" xfId="17" applyFill="1"/>
    <xf numFmtId="0" fontId="0" fillId="5" borderId="0" xfId="0" applyFill="1">
      <alignment vertical="center"/>
    </xf>
    <xf numFmtId="0" fontId="134" fillId="2" borderId="51" xfId="0" applyNumberFormat="1" applyFont="1" applyFill="1" applyBorder="1" applyAlignment="1" applyProtection="1">
      <alignment horizontal="center" vertical="center" wrapText="1"/>
      <protection locked="0"/>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59" fillId="2" borderId="27" xfId="4" applyNumberFormat="1" applyFont="1" applyFill="1" applyBorder="1" applyAlignment="1" applyProtection="1">
      <alignment horizontal="right"/>
      <protection locked="0"/>
    </xf>
    <xf numFmtId="0" fontId="60" fillId="5" borderId="0" xfId="4" applyFont="1" applyFill="1" applyAlignment="1" applyProtection="1">
      <alignment horizontal="right" vertical="center"/>
      <protection locked="0"/>
    </xf>
    <xf numFmtId="49"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xf>
    <xf numFmtId="0" fontId="3" fillId="0" borderId="0" xfId="4" applyFont="1" applyAlignment="1">
      <alignment horizontal="left"/>
    </xf>
    <xf numFmtId="0" fontId="255" fillId="0" borderId="0" xfId="4" applyFont="1" applyAlignment="1">
      <alignment horizontal="left"/>
    </xf>
    <xf numFmtId="0" fontId="56" fillId="5" borderId="16" xfId="4" applyFont="1" applyFill="1" applyBorder="1" applyAlignment="1">
      <alignment vertical="center"/>
    </xf>
    <xf numFmtId="0" fontId="56" fillId="5" borderId="19" xfId="4" applyFont="1" applyFill="1" applyBorder="1" applyAlignment="1">
      <alignment vertical="center"/>
    </xf>
    <xf numFmtId="0" fontId="56" fillId="5" borderId="31" xfId="4" applyFont="1" applyFill="1" applyBorder="1" applyAlignment="1">
      <alignment vertical="center"/>
    </xf>
    <xf numFmtId="0" fontId="55" fillId="0" borderId="0" xfId="4" applyFont="1" applyAlignment="1">
      <alignment horizontal="left" vertical="center"/>
    </xf>
    <xf numFmtId="0" fontId="56" fillId="6" borderId="1" xfId="18" applyFont="1" applyFill="1" applyBorder="1" applyAlignment="1" applyProtection="1">
      <alignment vertical="center"/>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xf numFmtId="0" fontId="19" fillId="0" borderId="0" xfId="4" applyFont="1" applyAlignment="1">
      <alignment horizontal="left"/>
    </xf>
    <xf numFmtId="0" fontId="55" fillId="0" borderId="0" xfId="4" applyFont="1" applyAlignment="1">
      <alignment horizontal="left"/>
    </xf>
    <xf numFmtId="0" fontId="56" fillId="0" borderId="1" xfId="4" applyFont="1" applyFill="1" applyBorder="1" applyAlignment="1">
      <alignment horizontal="left" vertical="center"/>
    </xf>
    <xf numFmtId="0" fontId="56" fillId="0" borderId="24" xfId="4" applyFont="1" applyFill="1" applyBorder="1" applyAlignment="1">
      <alignment horizontal="left" vertical="center"/>
    </xf>
    <xf numFmtId="0" fontId="56" fillId="6" borderId="24" xfId="4" applyFont="1" applyFill="1" applyBorder="1" applyAlignment="1">
      <alignment horizontal="left" vertical="center"/>
    </xf>
    <xf numFmtId="0" fontId="56" fillId="6" borderId="13" xfId="18"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8" applyNumberFormat="1" applyFont="1" applyBorder="1" applyAlignment="1" applyProtection="1">
      <alignment horizontal="left" vertical="center"/>
      <protection hidden="1"/>
    </xf>
    <xf numFmtId="177" fontId="103" fillId="0" borderId="24" xfId="18" applyNumberFormat="1" applyFont="1" applyBorder="1" applyAlignment="1" applyProtection="1">
      <alignment horizontal="left" vertical="center"/>
      <protection hidden="1"/>
    </xf>
    <xf numFmtId="177" fontId="55" fillId="6" borderId="24" xfId="4" applyNumberFormat="1" applyFont="1" applyFill="1" applyBorder="1" applyAlignment="1">
      <alignment horizontal="left" vertical="center"/>
    </xf>
    <xf numFmtId="0" fontId="19" fillId="6" borderId="1" xfId="4" applyFont="1" applyFill="1" applyBorder="1" applyAlignment="1" applyProtection="1">
      <alignment vertical="center"/>
    </xf>
    <xf numFmtId="0" fontId="55" fillId="0" borderId="1" xfId="4" applyFont="1" applyFill="1" applyBorder="1" applyAlignment="1">
      <alignment horizontal="left" vertical="center"/>
    </xf>
    <xf numFmtId="0" fontId="55" fillId="0" borderId="13" xfId="4" applyFont="1" applyFill="1" applyBorder="1" applyAlignment="1">
      <alignment horizontal="left" vertical="center"/>
    </xf>
    <xf numFmtId="0" fontId="55" fillId="0" borderId="61" xfId="4" applyFont="1" applyFill="1" applyBorder="1" applyAlignment="1">
      <alignment horizontal="left" vertical="center"/>
    </xf>
    <xf numFmtId="0" fontId="55" fillId="6" borderId="61" xfId="4" applyFont="1" applyFill="1" applyBorder="1" applyAlignment="1">
      <alignment horizontal="left" vertical="center"/>
    </xf>
    <xf numFmtId="0" fontId="83" fillId="6" borderId="0" xfId="18" applyFont="1" applyFill="1" applyBorder="1" applyAlignment="1" applyProtection="1">
      <alignment vertical="center"/>
    </xf>
    <xf numFmtId="0" fontId="49" fillId="0" borderId="32" xfId="4" applyFont="1" applyFill="1" applyBorder="1" applyAlignment="1" applyProtection="1">
      <alignment horizontal="left" vertical="center"/>
    </xf>
    <xf numFmtId="0" fontId="19" fillId="6" borderId="58" xfId="4" applyFont="1" applyFill="1" applyBorder="1" applyAlignment="1" applyProtection="1">
      <alignment vertical="center"/>
    </xf>
    <xf numFmtId="0" fontId="106" fillId="6" borderId="37" xfId="4" applyFont="1" applyFill="1" applyBorder="1" applyAlignment="1">
      <alignment vertical="center"/>
    </xf>
    <xf numFmtId="0" fontId="106" fillId="6" borderId="54" xfId="4" applyFont="1" applyFill="1" applyBorder="1" applyAlignment="1">
      <alignment vertical="center"/>
    </xf>
    <xf numFmtId="0" fontId="56" fillId="6" borderId="54" xfId="4" applyFont="1" applyFill="1" applyBorder="1" applyAlignment="1">
      <alignment vertical="center"/>
    </xf>
    <xf numFmtId="0" fontId="56" fillId="0" borderId="34" xfId="4" applyFont="1" applyFill="1" applyBorder="1" applyAlignment="1">
      <alignment horizontal="left" vertical="center"/>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lignment vertical="center"/>
    </xf>
    <xf numFmtId="0" fontId="55" fillId="6" borderId="5" xfId="4" applyFont="1" applyFill="1" applyBorder="1" applyAlignment="1">
      <alignment vertical="center"/>
    </xf>
    <xf numFmtId="0" fontId="55" fillId="6" borderId="1" xfId="4" applyFont="1" applyFill="1" applyBorder="1" applyAlignment="1">
      <alignment horizontal="left" vertical="center"/>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0" fontId="55" fillId="0" borderId="5" xfId="4" applyFont="1" applyFill="1" applyBorder="1" applyAlignment="1">
      <alignment vertical="center"/>
    </xf>
    <xf numFmtId="0" fontId="103" fillId="0" borderId="1" xfId="4" applyFont="1" applyFill="1" applyBorder="1" applyAlignment="1">
      <alignment horizontal="left" vertical="center"/>
    </xf>
    <xf numFmtId="9" fontId="55" fillId="0" borderId="1" xfId="4" applyNumberFormat="1" applyFont="1" applyFill="1" applyBorder="1" applyAlignment="1">
      <alignment horizontal="left" vertical="center"/>
    </xf>
    <xf numFmtId="177" fontId="55" fillId="0" borderId="1" xfId="4" applyNumberFormat="1" applyFont="1" applyFill="1" applyBorder="1" applyAlignment="1">
      <alignment horizontal="left" vertical="center"/>
    </xf>
    <xf numFmtId="0" fontId="55" fillId="0" borderId="24" xfId="4"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0" borderId="0" xfId="4" applyFont="1" applyFill="1" applyBorder="1" applyAlignment="1">
      <alignment horizontal="left" vertical="center"/>
    </xf>
    <xf numFmtId="9" fontId="56" fillId="0" borderId="1" xfId="4" applyNumberFormat="1" applyFont="1" applyFill="1" applyBorder="1" applyAlignment="1">
      <alignment horizontal="left" vertical="center"/>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lignment horizontal="left" vertical="center"/>
    </xf>
    <xf numFmtId="181" fontId="55" fillId="6" borderId="3" xfId="4" applyNumberFormat="1" applyFont="1" applyFill="1" applyBorder="1" applyAlignment="1">
      <alignment horizontal="right" vertical="center"/>
    </xf>
    <xf numFmtId="178" fontId="55" fillId="0" borderId="1" xfId="4" applyNumberFormat="1" applyFont="1" applyFill="1" applyBorder="1" applyAlignment="1">
      <alignment horizontal="left" vertical="center"/>
    </xf>
    <xf numFmtId="0" fontId="56" fillId="6" borderId="5" xfId="4" applyFont="1" applyFill="1" applyBorder="1" applyAlignment="1">
      <alignment vertical="center"/>
    </xf>
    <xf numFmtId="0" fontId="106" fillId="6" borderId="1" xfId="4" applyFont="1" applyFill="1" applyBorder="1" applyAlignment="1">
      <alignment horizontal="left" vertical="center"/>
    </xf>
    <xf numFmtId="9" fontId="56" fillId="6" borderId="1" xfId="4" applyNumberFormat="1" applyFont="1" applyFill="1" applyBorder="1" applyAlignment="1">
      <alignment horizontal="left" vertical="center"/>
    </xf>
    <xf numFmtId="177" fontId="56" fillId="6" borderId="1" xfId="4" applyNumberFormat="1" applyFont="1" applyFill="1" applyBorder="1" applyAlignment="1">
      <alignment horizontal="left" vertical="center"/>
    </xf>
    <xf numFmtId="177" fontId="55" fillId="0" borderId="24" xfId="4" applyNumberFormat="1" applyFont="1" applyFill="1" applyBorder="1" applyAlignment="1">
      <alignment horizontal="left" vertical="center"/>
    </xf>
    <xf numFmtId="186" fontId="55" fillId="0" borderId="1" xfId="4" applyNumberFormat="1" applyFont="1" applyFill="1" applyBorder="1" applyAlignment="1">
      <alignment horizontal="left" vertical="center"/>
    </xf>
    <xf numFmtId="181" fontId="55" fillId="0" borderId="1" xfId="4" applyNumberFormat="1" applyFont="1" applyFill="1" applyBorder="1" applyAlignment="1">
      <alignment horizontal="left" vertical="center"/>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lignment horizontal="left" vertical="center"/>
    </xf>
    <xf numFmtId="0" fontId="106" fillId="6" borderId="24" xfId="4" applyFont="1" applyFill="1" applyBorder="1" applyAlignment="1">
      <alignment horizontal="left" vertical="center"/>
    </xf>
    <xf numFmtId="0" fontId="56" fillId="6" borderId="71" xfId="4" applyFont="1" applyFill="1" applyBorder="1" applyAlignment="1">
      <alignment horizontal="left" vertical="center"/>
    </xf>
    <xf numFmtId="0" fontId="103" fillId="0" borderId="1" xfId="4" applyFont="1" applyFill="1" applyBorder="1" applyAlignment="1">
      <alignment horizontal="left" vertical="center" wrapText="1"/>
    </xf>
    <xf numFmtId="0" fontId="55" fillId="0" borderId="0" xfId="4" applyFont="1" applyFill="1" applyAlignment="1">
      <alignment horizontal="left" vertical="center"/>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lignment horizontal="left" vertical="center"/>
    </xf>
    <xf numFmtId="0" fontId="256" fillId="0" borderId="5" xfId="4" applyFont="1" applyFill="1" applyBorder="1" applyAlignment="1">
      <alignment horizontal="left" vertical="center"/>
    </xf>
    <xf numFmtId="0" fontId="256" fillId="0" borderId="158" xfId="4" applyFont="1" applyFill="1" applyBorder="1" applyAlignment="1">
      <alignment horizontal="left" vertical="center"/>
    </xf>
    <xf numFmtId="0" fontId="256" fillId="0" borderId="3" xfId="4" applyFont="1" applyFill="1" applyBorder="1" applyAlignment="1">
      <alignment horizontal="left" vertical="center"/>
    </xf>
    <xf numFmtId="0" fontId="55" fillId="0" borderId="0" xfId="4" applyFont="1" applyFill="1" applyBorder="1" applyAlignment="1">
      <alignment horizontal="left" vertical="center"/>
    </xf>
    <xf numFmtId="0" fontId="55" fillId="6" borderId="37"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lignment horizontal="right" vertical="center"/>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lignment horizontal="right" vertical="center"/>
    </xf>
    <xf numFmtId="181" fontId="55" fillId="0" borderId="3" xfId="4" applyNumberFormat="1" applyFont="1" applyFill="1" applyBorder="1" applyAlignment="1">
      <alignment horizontal="right" vertical="center"/>
    </xf>
    <xf numFmtId="0" fontId="55" fillId="6" borderId="24" xfId="4" applyFont="1" applyFill="1" applyBorder="1" applyAlignment="1">
      <alignment horizontal="right" vertical="center"/>
    </xf>
    <xf numFmtId="0" fontId="56" fillId="6" borderId="23" xfId="4" applyFont="1" applyFill="1" applyBorder="1" applyAlignment="1">
      <alignment horizontal="left" vertical="center" wrapText="1"/>
    </xf>
    <xf numFmtId="0" fontId="56" fillId="6" borderId="5" xfId="4" applyFont="1" applyFill="1" applyBorder="1" applyAlignment="1">
      <alignment vertical="center" wrapText="1"/>
    </xf>
    <xf numFmtId="0" fontId="56" fillId="6" borderId="54" xfId="4" applyFont="1" applyFill="1" applyBorder="1" applyAlignment="1">
      <alignment vertical="center" wrapText="1"/>
    </xf>
    <xf numFmtId="0" fontId="56" fillId="6" borderId="3" xfId="4" applyFont="1" applyFill="1" applyBorder="1" applyAlignment="1">
      <alignment vertical="center" wrapText="1"/>
    </xf>
    <xf numFmtId="9" fontId="103" fillId="0" borderId="1" xfId="4" applyNumberFormat="1" applyFont="1" applyFill="1" applyBorder="1" applyAlignment="1">
      <alignment horizontal="left" vertical="center"/>
    </xf>
    <xf numFmtId="0" fontId="55" fillId="0" borderId="0" xfId="4" applyFont="1" applyAlignment="1">
      <alignment horizontal="right"/>
    </xf>
    <xf numFmtId="0" fontId="19" fillId="0" borderId="0" xfId="4" applyFont="1" applyAlignment="1">
      <alignment horizontal="right"/>
    </xf>
    <xf numFmtId="0" fontId="106" fillId="6" borderId="46" xfId="4" applyFont="1" applyFill="1" applyBorder="1" applyAlignment="1">
      <alignment vertical="center"/>
    </xf>
    <xf numFmtId="0" fontId="106" fillId="6" borderId="36" xfId="4" applyFont="1" applyFill="1" applyBorder="1" applyAlignment="1">
      <alignment vertical="center"/>
    </xf>
    <xf numFmtId="0" fontId="106" fillId="6" borderId="22" xfId="4" applyFont="1" applyFill="1" applyBorder="1" applyAlignment="1">
      <alignment vertical="center"/>
    </xf>
    <xf numFmtId="0" fontId="103" fillId="6" borderId="1" xfId="4" applyFont="1" applyFill="1" applyBorder="1" applyAlignment="1">
      <alignment horizontal="left" vertical="center"/>
    </xf>
    <xf numFmtId="9" fontId="103" fillId="6" borderId="1" xfId="4" applyNumberFormat="1" applyFont="1" applyFill="1" applyBorder="1" applyAlignment="1">
      <alignment horizontal="left" vertical="center"/>
    </xf>
    <xf numFmtId="0" fontId="56" fillId="0" borderId="0" xfId="4" applyFont="1" applyFill="1" applyAlignment="1">
      <alignment horizontal="left" vertical="center"/>
    </xf>
    <xf numFmtId="181" fontId="55" fillId="6" borderId="5" xfId="4" applyNumberFormat="1" applyFont="1" applyFill="1" applyBorder="1" applyAlignment="1">
      <alignment horizontal="right" vertical="center"/>
    </xf>
    <xf numFmtId="0" fontId="106" fillId="6" borderId="4" xfId="4" applyFont="1" applyFill="1" applyBorder="1" applyAlignment="1">
      <alignment vertical="center"/>
    </xf>
    <xf numFmtId="0" fontId="106" fillId="6" borderId="60" xfId="4" applyFont="1" applyFill="1" applyBorder="1" applyAlignment="1">
      <alignment vertical="center"/>
    </xf>
    <xf numFmtId="0" fontId="106" fillId="6" borderId="7" xfId="4" applyFont="1" applyFill="1" applyBorder="1" applyAlignment="1">
      <alignment vertical="center"/>
    </xf>
    <xf numFmtId="0" fontId="106" fillId="0" borderId="1" xfId="4" applyFont="1" applyFill="1" applyBorder="1" applyAlignment="1">
      <alignment horizontal="left" vertical="center"/>
    </xf>
    <xf numFmtId="9" fontId="106" fillId="0" borderId="1" xfId="4" applyNumberFormat="1" applyFont="1" applyFill="1" applyBorder="1" applyAlignment="1">
      <alignment horizontal="left" vertical="center"/>
    </xf>
    <xf numFmtId="0" fontId="83" fillId="6" borderId="12" xfId="4" applyFont="1" applyFill="1" applyBorder="1" applyAlignment="1">
      <alignment horizontal="left" vertical="center" wrapText="1"/>
    </xf>
    <xf numFmtId="0" fontId="142" fillId="6" borderId="74" xfId="4" applyFont="1" applyFill="1" applyBorder="1" applyAlignment="1">
      <alignment vertical="center"/>
    </xf>
    <xf numFmtId="0" fontId="19" fillId="6" borderId="74" xfId="4" applyFont="1" applyFill="1" applyBorder="1" applyAlignment="1">
      <alignment vertical="center"/>
    </xf>
    <xf numFmtId="0" fontId="37" fillId="0" borderId="74" xfId="4" applyFill="1" applyBorder="1" applyAlignment="1">
      <alignment horizontal="left" vertical="center"/>
    </xf>
    <xf numFmtId="9" fontId="55" fillId="0" borderId="32" xfId="4" applyNumberFormat="1" applyFont="1" applyFill="1" applyBorder="1" applyAlignment="1">
      <alignment horizontal="left" vertical="center"/>
    </xf>
    <xf numFmtId="181" fontId="103" fillId="0" borderId="32" xfId="4" applyNumberFormat="1" applyFont="1" applyFill="1" applyBorder="1" applyAlignment="1">
      <alignment horizontal="left" vertical="center"/>
    </xf>
    <xf numFmtId="0" fontId="141" fillId="0" borderId="76" xfId="4" applyFont="1" applyFill="1" applyBorder="1" applyAlignment="1">
      <alignment horizontal="left" vertical="center"/>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lignment horizontal="righ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lignment horizontal="left" vertical="center"/>
    </xf>
    <xf numFmtId="10" fontId="55" fillId="0" borderId="5" xfId="4" applyNumberFormat="1" applyFont="1" applyFill="1" applyBorder="1" applyAlignment="1">
      <alignment horizontal="left" vertical="center"/>
    </xf>
    <xf numFmtId="10" fontId="55" fillId="0" borderId="158" xfId="4" applyNumberFormat="1" applyFont="1" applyFill="1" applyBorder="1" applyAlignment="1">
      <alignment horizontal="left" vertical="center"/>
    </xf>
    <xf numFmtId="10" fontId="55" fillId="0" borderId="3" xfId="4" applyNumberFormat="1" applyFont="1" applyFill="1" applyBorder="1" applyAlignment="1">
      <alignment horizontal="left" vertical="center"/>
    </xf>
    <xf numFmtId="0" fontId="55" fillId="6" borderId="13" xfId="4" applyFont="1" applyFill="1" applyBorder="1" applyAlignment="1">
      <alignment horizontal="left" vertical="center"/>
    </xf>
    <xf numFmtId="181" fontId="55" fillId="0" borderId="5" xfId="4" applyNumberFormat="1" applyFont="1" applyFill="1" applyBorder="1" applyAlignment="1">
      <alignment horizontal="left" vertical="center"/>
    </xf>
    <xf numFmtId="181" fontId="55" fillId="0" borderId="158" xfId="4" applyNumberFormat="1" applyFont="1" applyFill="1" applyBorder="1" applyAlignment="1">
      <alignment horizontal="left" vertical="center"/>
    </xf>
    <xf numFmtId="181" fontId="55" fillId="0" borderId="3" xfId="4" applyNumberFormat="1" applyFont="1" applyFill="1" applyBorder="1" applyAlignment="1">
      <alignment horizontal="left" vertical="center"/>
    </xf>
    <xf numFmtId="176" fontId="55" fillId="0" borderId="0" xfId="4" applyNumberFormat="1" applyFont="1" applyFill="1" applyBorder="1" applyAlignment="1">
      <alignment horizontal="left" vertical="center"/>
    </xf>
    <xf numFmtId="0" fontId="55" fillId="6" borderId="32" xfId="4" applyFont="1" applyFill="1" applyBorder="1" applyAlignment="1">
      <alignment horizontal="left" vertical="center"/>
    </xf>
    <xf numFmtId="176" fontId="55" fillId="0" borderId="33" xfId="4" applyNumberFormat="1" applyFont="1" applyFill="1" applyBorder="1" applyAlignment="1">
      <alignment horizontal="left" vertical="center"/>
    </xf>
    <xf numFmtId="176" fontId="55" fillId="0" borderId="159" xfId="4" applyNumberFormat="1" applyFont="1" applyFill="1" applyBorder="1" applyAlignment="1">
      <alignment horizontal="left" vertical="center"/>
    </xf>
    <xf numFmtId="176" fontId="55" fillId="0" borderId="66" xfId="4" applyNumberFormat="1" applyFont="1" applyFill="1" applyBorder="1" applyAlignment="1">
      <alignment horizontal="left" vertical="center"/>
    </xf>
    <xf numFmtId="176" fontId="55" fillId="6" borderId="24" xfId="4" applyNumberFormat="1" applyFont="1" applyFill="1" applyBorder="1" applyAlignment="1">
      <alignment horizontal="left" vertical="center"/>
    </xf>
    <xf numFmtId="0" fontId="55" fillId="0" borderId="0" xfId="4" applyFont="1" applyFill="1" applyBorder="1" applyAlignment="1">
      <alignment horizontal="left"/>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lignment horizontal="left"/>
    </xf>
    <xf numFmtId="0" fontId="3" fillId="0" borderId="0" xfId="4" applyFont="1" applyFill="1" applyAlignment="1">
      <alignment horizontal="left"/>
    </xf>
    <xf numFmtId="0" fontId="255" fillId="0" borderId="0" xfId="4" applyFont="1" applyAlignment="1">
      <alignment horizontal="left" vertical="center"/>
    </xf>
    <xf numFmtId="0" fontId="83" fillId="6" borderId="74" xfId="4" applyFont="1" applyFill="1" applyBorder="1" applyAlignment="1">
      <alignment vertical="center"/>
    </xf>
    <xf numFmtId="0" fontId="98" fillId="0" borderId="0" xfId="0" applyFont="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176" fontId="60" fillId="6" borderId="0" xfId="4" applyNumberFormat="1" applyFont="1" applyFill="1" applyBorder="1" applyAlignment="1" applyProtection="1">
      <alignment horizontal="center"/>
    </xf>
    <xf numFmtId="0" fontId="55" fillId="0" borderId="0" xfId="17" applyAlignment="1">
      <alignment horizontal="right"/>
    </xf>
    <xf numFmtId="0" fontId="55" fillId="5" borderId="0" xfId="17" applyFill="1" applyAlignment="1">
      <alignment horizontal="right"/>
    </xf>
    <xf numFmtId="0" fontId="118" fillId="0" borderId="0" xfId="17" applyFont="1" applyAlignment="1">
      <alignment horizontal="right"/>
    </xf>
    <xf numFmtId="0" fontId="0" fillId="0" borderId="0" xfId="0" applyAlignment="1">
      <alignment horizontal="right" vertical="center"/>
    </xf>
    <xf numFmtId="0" fontId="0" fillId="0" borderId="58" xfId="0" applyFill="1" applyBorder="1" applyAlignment="1">
      <alignment horizontal="left" vertical="center"/>
    </xf>
    <xf numFmtId="0" fontId="0" fillId="0" borderId="0" xfId="0" applyAlignment="1">
      <alignment horizontal="left" vertical="center"/>
    </xf>
    <xf numFmtId="176" fontId="56" fillId="0" borderId="0" xfId="4" applyNumberFormat="1" applyFont="1" applyFill="1" applyBorder="1" applyAlignment="1">
      <alignment horizontal="left" vertical="center"/>
    </xf>
    <xf numFmtId="186" fontId="3" fillId="0" borderId="0" xfId="4" applyNumberFormat="1" applyFont="1" applyAlignment="1">
      <alignment horizontal="left"/>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6" fillId="6" borderId="23" xfId="4" applyFont="1" applyFill="1" applyBorder="1" applyAlignment="1">
      <alignment horizontal="left" vertical="center" wrapText="1"/>
    </xf>
    <xf numFmtId="0" fontId="56" fillId="6" borderId="13" xfId="4" applyFont="1" applyFill="1" applyBorder="1" applyAlignment="1">
      <alignment horizontal="left" vertical="center" wrapText="1"/>
    </xf>
    <xf numFmtId="0" fontId="56" fillId="6" borderId="15" xfId="4" applyFont="1" applyFill="1" applyBorder="1" applyAlignment="1">
      <alignment horizontal="left" vertical="center" wrapText="1"/>
    </xf>
    <xf numFmtId="0" fontId="56" fillId="6" borderId="2" xfId="4" applyFont="1" applyFill="1" applyBorder="1" applyAlignment="1">
      <alignment horizontal="left" vertical="center" wrapText="1"/>
    </xf>
    <xf numFmtId="0" fontId="106" fillId="6" borderId="11" xfId="4" applyFont="1" applyFill="1" applyBorder="1" applyAlignment="1">
      <alignment horizontal="left" vertical="center"/>
    </xf>
    <xf numFmtId="0" fontId="106" fillId="6" borderId="41" xfId="4" applyFont="1" applyFill="1" applyBorder="1" applyAlignment="1">
      <alignment horizontal="left" vertical="center"/>
    </xf>
    <xf numFmtId="0" fontId="56" fillId="20" borderId="69" xfId="4" applyFont="1" applyFill="1" applyBorder="1" applyAlignment="1">
      <alignment vertical="center"/>
    </xf>
    <xf numFmtId="0" fontId="56" fillId="20" borderId="7" xfId="4" applyFont="1" applyFill="1" applyBorder="1" applyAlignment="1">
      <alignment vertical="center"/>
    </xf>
    <xf numFmtId="0" fontId="56" fillId="6" borderId="37"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21" borderId="5" xfId="4" applyFont="1" applyFill="1" applyBorder="1" applyAlignment="1">
      <alignment horizontal="left" vertical="center"/>
    </xf>
    <xf numFmtId="0" fontId="56" fillId="21" borderId="3" xfId="4" applyFont="1" applyFill="1" applyBorder="1" applyAlignment="1">
      <alignment horizontal="left" vertical="center"/>
    </xf>
    <xf numFmtId="0" fontId="55" fillId="21" borderId="5" xfId="4" applyFont="1" applyFill="1" applyBorder="1" applyAlignment="1">
      <alignment horizontal="left" vertical="center"/>
    </xf>
    <xf numFmtId="0" fontId="55" fillId="21" borderId="3" xfId="4" applyFont="1" applyFill="1" applyBorder="1" applyAlignment="1">
      <alignment horizontal="left" vertical="center"/>
    </xf>
    <xf numFmtId="0" fontId="120" fillId="7" borderId="0" xfId="0" applyFont="1" applyFill="1" applyProtection="1">
      <alignment vertical="center"/>
      <protection locked="0"/>
    </xf>
    <xf numFmtId="0" fontId="98" fillId="0" borderId="0" xfId="0" applyFont="1" applyAlignment="1">
      <alignment horizontal="left"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152400</xdr:rowOff>
    </xdr:from>
    <xdr:to>
      <xdr:col>12</xdr:col>
      <xdr:colOff>8496</xdr:colOff>
      <xdr:row>41</xdr:row>
      <xdr:rowOff>37579</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2895600"/>
          <a:ext cx="8228571" cy="4171429"/>
        </a:xfrm>
        <a:prstGeom prst="rect">
          <a:avLst/>
        </a:prstGeom>
      </xdr:spPr>
    </xdr:pic>
    <xdr:clientData/>
  </xdr:twoCellAnchor>
  <xdr:twoCellAnchor>
    <xdr:from>
      <xdr:col>5</xdr:col>
      <xdr:colOff>200025</xdr:colOff>
      <xdr:row>33</xdr:row>
      <xdr:rowOff>152400</xdr:rowOff>
    </xdr:from>
    <xdr:to>
      <xdr:col>8</xdr:col>
      <xdr:colOff>38100</xdr:colOff>
      <xdr:row>35</xdr:row>
      <xdr:rowOff>142875</xdr:rowOff>
    </xdr:to>
    <xdr:sp macro="" textlink="">
      <xdr:nvSpPr>
        <xdr:cNvPr id="3" name="线形标注 1 2">
          <a:extLst>
            <a:ext uri="{FF2B5EF4-FFF2-40B4-BE49-F238E27FC236}">
              <a16:creationId xmlns:a16="http://schemas.microsoft.com/office/drawing/2014/main" xmlns="" id="{00000000-0008-0000-2D00-000003000000}"/>
            </a:ext>
          </a:extLst>
        </xdr:cNvPr>
        <xdr:cNvSpPr/>
      </xdr:nvSpPr>
      <xdr:spPr>
        <a:xfrm>
          <a:off x="3248025" y="6187440"/>
          <a:ext cx="1666875" cy="356235"/>
        </a:xfrm>
        <a:prstGeom prst="borderCallout1">
          <a:avLst>
            <a:gd name="adj1" fmla="val 18750"/>
            <a:gd name="adj2" fmla="val -8333"/>
            <a:gd name="adj3" fmla="val -10323"/>
            <a:gd name="adj4" fmla="val -5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14</a:t>
          </a:r>
          <a:r>
            <a:rPr lang="zh-CN" altLang="en-US" sz="1100"/>
            <a:t>年</a:t>
          </a:r>
          <a:r>
            <a:rPr lang="en-US" altLang="zh-CN" sz="1100"/>
            <a:t>2593</a:t>
          </a:r>
          <a:r>
            <a:rPr lang="zh-CN" altLang="en-US" sz="1100"/>
            <a:t>元，</a:t>
          </a:r>
          <a:r>
            <a:rPr lang="en-US" altLang="zh-CN" sz="1100"/>
            <a:t>R1.5</a:t>
          </a:r>
          <a:endParaRPr lang="zh-CN" altLang="en-US" sz="1100"/>
        </a:p>
      </xdr:txBody>
    </xdr:sp>
    <xdr:clientData/>
  </xdr:twoCellAnchor>
  <xdr:twoCellAnchor>
    <xdr:from>
      <xdr:col>3</xdr:col>
      <xdr:colOff>9524</xdr:colOff>
      <xdr:row>36</xdr:row>
      <xdr:rowOff>123825</xdr:rowOff>
    </xdr:from>
    <xdr:to>
      <xdr:col>6</xdr:col>
      <xdr:colOff>53339</xdr:colOff>
      <xdr:row>38</xdr:row>
      <xdr:rowOff>114300</xdr:rowOff>
    </xdr:to>
    <xdr:sp macro="" textlink="">
      <xdr:nvSpPr>
        <xdr:cNvPr id="4" name="线形标注 1 3">
          <a:extLst>
            <a:ext uri="{FF2B5EF4-FFF2-40B4-BE49-F238E27FC236}">
              <a16:creationId xmlns:a16="http://schemas.microsoft.com/office/drawing/2014/main" xmlns="" id="{00000000-0008-0000-2D00-000004000000}"/>
            </a:ext>
          </a:extLst>
        </xdr:cNvPr>
        <xdr:cNvSpPr/>
      </xdr:nvSpPr>
      <xdr:spPr>
        <a:xfrm>
          <a:off x="1838324" y="6707505"/>
          <a:ext cx="1872615" cy="356235"/>
        </a:xfrm>
        <a:prstGeom prst="borderCallout1">
          <a:avLst>
            <a:gd name="adj1" fmla="val 18750"/>
            <a:gd name="adj2" fmla="val -8333"/>
            <a:gd name="adj3" fmla="val -136037"/>
            <a:gd name="adj4" fmla="val -2982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20.6</a:t>
          </a:r>
          <a:r>
            <a:rPr lang="zh-CN" altLang="en-US" sz="1100"/>
            <a:t>月</a:t>
          </a:r>
          <a:r>
            <a:rPr lang="en-US" altLang="zh-CN" sz="1100"/>
            <a:t>3044</a:t>
          </a:r>
          <a:r>
            <a:rPr lang="zh-CN" altLang="en-US" sz="1100"/>
            <a:t>元，</a:t>
          </a:r>
          <a:r>
            <a:rPr lang="en-US" altLang="zh-CN" sz="1100"/>
            <a:t>R1.3</a:t>
          </a:r>
          <a:endParaRPr lang="zh-CN" altLang="en-US" sz="1100"/>
        </a:p>
      </xdr:txBody>
    </xdr:sp>
    <xdr:clientData/>
  </xdr:twoCellAnchor>
  <xdr:twoCellAnchor>
    <xdr:from>
      <xdr:col>5</xdr:col>
      <xdr:colOff>0</xdr:colOff>
      <xdr:row>29</xdr:row>
      <xdr:rowOff>19050</xdr:rowOff>
    </xdr:from>
    <xdr:to>
      <xdr:col>8</xdr:col>
      <xdr:colOff>7620</xdr:colOff>
      <xdr:row>32</xdr:row>
      <xdr:rowOff>47625</xdr:rowOff>
    </xdr:to>
    <xdr:sp macro="" textlink="">
      <xdr:nvSpPr>
        <xdr:cNvPr id="5" name="线形标注 1 4">
          <a:extLst>
            <a:ext uri="{FF2B5EF4-FFF2-40B4-BE49-F238E27FC236}">
              <a16:creationId xmlns:a16="http://schemas.microsoft.com/office/drawing/2014/main" xmlns="" id="{00000000-0008-0000-2D00-000005000000}"/>
            </a:ext>
          </a:extLst>
        </xdr:cNvPr>
        <xdr:cNvSpPr/>
      </xdr:nvSpPr>
      <xdr:spPr>
        <a:xfrm>
          <a:off x="3048000" y="5322570"/>
          <a:ext cx="1836420" cy="577215"/>
        </a:xfrm>
        <a:prstGeom prst="borderCallout1">
          <a:avLst>
            <a:gd name="adj1" fmla="val 18750"/>
            <a:gd name="adj2" fmla="val -8333"/>
            <a:gd name="adj3" fmla="val 52534"/>
            <a:gd name="adj4" fmla="val -4061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1.19.10</a:t>
          </a:r>
          <a:r>
            <a:rPr lang="zh-CN" altLang="en-US" sz="1100"/>
            <a:t>月</a:t>
          </a:r>
          <a:r>
            <a:rPr lang="en-US" altLang="zh-CN" sz="1100"/>
            <a:t>1384</a:t>
          </a:r>
          <a:r>
            <a:rPr lang="zh-CN" altLang="en-US" sz="1100"/>
            <a:t>元，</a:t>
          </a:r>
          <a:r>
            <a:rPr lang="en-US" altLang="zh-CN" sz="1100"/>
            <a:t>R2.5</a:t>
          </a:r>
        </a:p>
        <a:p>
          <a:pPr algn="l"/>
          <a:r>
            <a:rPr lang="en-US" altLang="zh-CN" sz="1100"/>
            <a:t>2.17.8</a:t>
          </a:r>
          <a:r>
            <a:rPr lang="zh-CN" altLang="en-US" sz="1100"/>
            <a:t>月</a:t>
          </a:r>
          <a:r>
            <a:rPr lang="en-US" altLang="zh-CN" sz="1100"/>
            <a:t>2322</a:t>
          </a:r>
          <a:r>
            <a:rPr lang="zh-CN" altLang="en-US" sz="1100"/>
            <a:t>元，</a:t>
          </a:r>
          <a:r>
            <a:rPr lang="en-US" altLang="zh-CN" sz="1100"/>
            <a:t>R2.5</a:t>
          </a:r>
          <a:endParaRPr lang="zh-CN" altLang="en-US" sz="1100"/>
        </a:p>
      </xdr:txBody>
    </xdr:sp>
    <xdr:clientData/>
  </xdr:twoCellAnchor>
  <xdr:twoCellAnchor>
    <xdr:from>
      <xdr:col>6</xdr:col>
      <xdr:colOff>495300</xdr:colOff>
      <xdr:row>25</xdr:row>
      <xdr:rowOff>0</xdr:rowOff>
    </xdr:from>
    <xdr:to>
      <xdr:col>9</xdr:col>
      <xdr:colOff>335280</xdr:colOff>
      <xdr:row>26</xdr:row>
      <xdr:rowOff>161925</xdr:rowOff>
    </xdr:to>
    <xdr:sp macro="" textlink="">
      <xdr:nvSpPr>
        <xdr:cNvPr id="6" name="线形标注 1 5">
          <a:extLst>
            <a:ext uri="{FF2B5EF4-FFF2-40B4-BE49-F238E27FC236}">
              <a16:creationId xmlns:a16="http://schemas.microsoft.com/office/drawing/2014/main" xmlns="" id="{00000000-0008-0000-2D00-000006000000}"/>
            </a:ext>
          </a:extLst>
        </xdr:cNvPr>
        <xdr:cNvSpPr/>
      </xdr:nvSpPr>
      <xdr:spPr>
        <a:xfrm>
          <a:off x="4152900" y="4572000"/>
          <a:ext cx="1668780" cy="34480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17.8</a:t>
          </a:r>
          <a:r>
            <a:rPr lang="zh-CN" altLang="en-US" sz="1100"/>
            <a:t>月</a:t>
          </a:r>
          <a:r>
            <a:rPr lang="en-US" altLang="zh-CN" sz="1100"/>
            <a:t>4240</a:t>
          </a:r>
          <a:r>
            <a:rPr lang="zh-CN" altLang="en-US" sz="1100"/>
            <a:t>元，</a:t>
          </a:r>
          <a:r>
            <a:rPr lang="en-US" altLang="zh-CN" sz="1100"/>
            <a:t>R1.4</a:t>
          </a:r>
          <a:endParaRPr lang="zh-CN" altLang="en-US" sz="1100"/>
        </a:p>
      </xdr:txBody>
    </xdr:sp>
    <xdr:clientData/>
  </xdr:twoCellAnchor>
  <xdr:twoCellAnchor>
    <xdr:from>
      <xdr:col>11</xdr:col>
      <xdr:colOff>171450</xdr:colOff>
      <xdr:row>28</xdr:row>
      <xdr:rowOff>85725</xdr:rowOff>
    </xdr:from>
    <xdr:to>
      <xdr:col>14</xdr:col>
      <xdr:colOff>335280</xdr:colOff>
      <xdr:row>30</xdr:row>
      <xdr:rowOff>76200</xdr:rowOff>
    </xdr:to>
    <xdr:sp macro="" textlink="">
      <xdr:nvSpPr>
        <xdr:cNvPr id="7" name="线形标注 1 6">
          <a:extLst>
            <a:ext uri="{FF2B5EF4-FFF2-40B4-BE49-F238E27FC236}">
              <a16:creationId xmlns:a16="http://schemas.microsoft.com/office/drawing/2014/main" xmlns="" id="{00000000-0008-0000-2D00-000007000000}"/>
            </a:ext>
          </a:extLst>
        </xdr:cNvPr>
        <xdr:cNvSpPr/>
      </xdr:nvSpPr>
      <xdr:spPr>
        <a:xfrm>
          <a:off x="6877050" y="5206365"/>
          <a:ext cx="1992630" cy="356235"/>
        </a:xfrm>
        <a:prstGeom prst="borderCallout1">
          <a:avLst>
            <a:gd name="adj1" fmla="val 18750"/>
            <a:gd name="adj2" fmla="val -8333"/>
            <a:gd name="adj3" fmla="val -10323"/>
            <a:gd name="adj4" fmla="val -5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1100">
              <a:solidFill>
                <a:schemeClr val="lt1"/>
              </a:solidFill>
              <a:effectLst/>
              <a:latin typeface="+mn-lt"/>
              <a:ea typeface="+mn-ea"/>
              <a:cs typeface="+mn-cs"/>
            </a:rPr>
            <a:t>17.6</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1288</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R1.5</a:t>
          </a:r>
          <a:endParaRPr lang="zh-CN" altLang="zh-CN">
            <a:effectLst/>
          </a:endParaRPr>
        </a:p>
      </xdr:txBody>
    </xdr:sp>
    <xdr:clientData/>
  </xdr:twoCellAnchor>
  <xdr:twoCellAnchor>
    <xdr:from>
      <xdr:col>11</xdr:col>
      <xdr:colOff>200025</xdr:colOff>
      <xdr:row>26</xdr:row>
      <xdr:rowOff>57150</xdr:rowOff>
    </xdr:from>
    <xdr:to>
      <xdr:col>14</xdr:col>
      <xdr:colOff>403860</xdr:colOff>
      <xdr:row>28</xdr:row>
      <xdr:rowOff>47625</xdr:rowOff>
    </xdr:to>
    <xdr:sp macro="" textlink="">
      <xdr:nvSpPr>
        <xdr:cNvPr id="8" name="线形标注 1 7">
          <a:extLst>
            <a:ext uri="{FF2B5EF4-FFF2-40B4-BE49-F238E27FC236}">
              <a16:creationId xmlns:a16="http://schemas.microsoft.com/office/drawing/2014/main" xmlns="" id="{00000000-0008-0000-2D00-000008000000}"/>
            </a:ext>
          </a:extLst>
        </xdr:cNvPr>
        <xdr:cNvSpPr/>
      </xdr:nvSpPr>
      <xdr:spPr>
        <a:xfrm>
          <a:off x="6905625" y="4812030"/>
          <a:ext cx="2032635" cy="356235"/>
        </a:xfrm>
        <a:prstGeom prst="borderCallout1">
          <a:avLst>
            <a:gd name="adj1" fmla="val 18750"/>
            <a:gd name="adj2" fmla="val -8333"/>
            <a:gd name="adj3" fmla="val 46820"/>
            <a:gd name="adj4" fmla="val -456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1100">
              <a:solidFill>
                <a:schemeClr val="lt1"/>
              </a:solidFill>
              <a:effectLst/>
              <a:latin typeface="+mn-lt"/>
              <a:ea typeface="+mn-ea"/>
              <a:cs typeface="+mn-cs"/>
            </a:rPr>
            <a:t>17.5</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1755</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R1.5</a:t>
          </a:r>
          <a:endParaRPr lang="zh-CN" altLang="zh-CN">
            <a:effectLst/>
          </a:endParaRPr>
        </a:p>
      </xdr:txBody>
    </xdr:sp>
    <xdr:clientData/>
  </xdr:twoCellAnchor>
  <xdr:twoCellAnchor>
    <xdr:from>
      <xdr:col>11</xdr:col>
      <xdr:colOff>247650</xdr:colOff>
      <xdr:row>24</xdr:row>
      <xdr:rowOff>19050</xdr:rowOff>
    </xdr:from>
    <xdr:to>
      <xdr:col>14</xdr:col>
      <xdr:colOff>419100</xdr:colOff>
      <xdr:row>26</xdr:row>
      <xdr:rowOff>9525</xdr:rowOff>
    </xdr:to>
    <xdr:sp macro="" textlink="">
      <xdr:nvSpPr>
        <xdr:cNvPr id="9" name="线形标注 1 8">
          <a:extLst>
            <a:ext uri="{FF2B5EF4-FFF2-40B4-BE49-F238E27FC236}">
              <a16:creationId xmlns:a16="http://schemas.microsoft.com/office/drawing/2014/main" xmlns="" id="{00000000-0008-0000-2D00-000009000000}"/>
            </a:ext>
          </a:extLst>
        </xdr:cNvPr>
        <xdr:cNvSpPr/>
      </xdr:nvSpPr>
      <xdr:spPr>
        <a:xfrm>
          <a:off x="6953250" y="4408170"/>
          <a:ext cx="2000250" cy="356235"/>
        </a:xfrm>
        <a:prstGeom prst="borderCallout1">
          <a:avLst>
            <a:gd name="adj1" fmla="val 18750"/>
            <a:gd name="adj2" fmla="val -8333"/>
            <a:gd name="adj3" fmla="val 46820"/>
            <a:gd name="adj4" fmla="val -456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altLang="zh-CN" sz="1100">
              <a:solidFill>
                <a:schemeClr val="lt1"/>
              </a:solidFill>
              <a:effectLst/>
              <a:latin typeface="+mn-lt"/>
              <a:ea typeface="+mn-ea"/>
              <a:cs typeface="+mn-cs"/>
            </a:rPr>
            <a:t>17.12</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1589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R1.5</a:t>
          </a:r>
          <a:endParaRPr lang="zh-CN" altLang="zh-CN">
            <a:effectLst/>
          </a:endParaRPr>
        </a:p>
      </xdr:txBody>
    </xdr:sp>
    <xdr:clientData/>
  </xdr:twoCellAnchor>
  <xdr:twoCellAnchor>
    <xdr:from>
      <xdr:col>8</xdr:col>
      <xdr:colOff>352424</xdr:colOff>
      <xdr:row>17</xdr:row>
      <xdr:rowOff>66675</xdr:rowOff>
    </xdr:from>
    <xdr:to>
      <xdr:col>11</xdr:col>
      <xdr:colOff>533399</xdr:colOff>
      <xdr:row>19</xdr:row>
      <xdr:rowOff>57150</xdr:rowOff>
    </xdr:to>
    <xdr:sp macro="" textlink="">
      <xdr:nvSpPr>
        <xdr:cNvPr id="10" name="线形标注 1 9">
          <a:extLst>
            <a:ext uri="{FF2B5EF4-FFF2-40B4-BE49-F238E27FC236}">
              <a16:creationId xmlns:a16="http://schemas.microsoft.com/office/drawing/2014/main" xmlns="" id="{00000000-0008-0000-2D00-00000A000000}"/>
            </a:ext>
          </a:extLst>
        </xdr:cNvPr>
        <xdr:cNvSpPr/>
      </xdr:nvSpPr>
      <xdr:spPr>
        <a:xfrm>
          <a:off x="5229224" y="3175635"/>
          <a:ext cx="2009775" cy="35623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18.3</a:t>
          </a:r>
          <a:r>
            <a:rPr lang="zh-CN" altLang="en-US" sz="1100"/>
            <a:t>月</a:t>
          </a:r>
          <a:r>
            <a:rPr lang="en-US" altLang="zh-CN" sz="1100"/>
            <a:t>3896</a:t>
          </a:r>
          <a:r>
            <a:rPr lang="zh-CN" altLang="en-US" sz="1100"/>
            <a:t>元，</a:t>
          </a:r>
          <a:r>
            <a:rPr lang="en-US" altLang="zh-CN" sz="1100"/>
            <a:t>R0.8</a:t>
          </a:r>
          <a:endParaRPr lang="zh-CN" altLang="en-US" sz="1100"/>
        </a:p>
      </xdr:txBody>
    </xdr:sp>
    <xdr:clientData/>
  </xdr:twoCellAnchor>
  <xdr:twoCellAnchor>
    <xdr:from>
      <xdr:col>3</xdr:col>
      <xdr:colOff>561974</xdr:colOff>
      <xdr:row>15</xdr:row>
      <xdr:rowOff>85725</xdr:rowOff>
    </xdr:from>
    <xdr:to>
      <xdr:col>6</xdr:col>
      <xdr:colOff>220980</xdr:colOff>
      <xdr:row>17</xdr:row>
      <xdr:rowOff>76200</xdr:rowOff>
    </xdr:to>
    <xdr:sp macro="" textlink="">
      <xdr:nvSpPr>
        <xdr:cNvPr id="11" name="线形标注 1 10">
          <a:extLst>
            <a:ext uri="{FF2B5EF4-FFF2-40B4-BE49-F238E27FC236}">
              <a16:creationId xmlns:a16="http://schemas.microsoft.com/office/drawing/2014/main" xmlns="" id="{00000000-0008-0000-2D00-00000B000000}"/>
            </a:ext>
          </a:extLst>
        </xdr:cNvPr>
        <xdr:cNvSpPr/>
      </xdr:nvSpPr>
      <xdr:spPr>
        <a:xfrm>
          <a:off x="2390774" y="2828925"/>
          <a:ext cx="1487806" cy="35623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19.9</a:t>
          </a:r>
          <a:r>
            <a:rPr lang="zh-CN" altLang="en-US" sz="1100"/>
            <a:t>月，</a:t>
          </a:r>
          <a:r>
            <a:rPr lang="en-US" altLang="zh-CN" sz="1100"/>
            <a:t>2820</a:t>
          </a:r>
          <a:r>
            <a:rPr lang="zh-CN" altLang="en-US" sz="1100"/>
            <a:t>元</a:t>
          </a:r>
          <a:r>
            <a:rPr lang="en-US" altLang="zh-CN" sz="1100"/>
            <a:t>R1</a:t>
          </a:r>
          <a:endParaRPr lang="zh-CN" altLang="en-US" sz="1100"/>
        </a:p>
      </xdr:txBody>
    </xdr:sp>
    <xdr:clientData/>
  </xdr:twoCellAnchor>
  <xdr:twoCellAnchor>
    <xdr:from>
      <xdr:col>6</xdr:col>
      <xdr:colOff>466724</xdr:colOff>
      <xdr:row>15</xdr:row>
      <xdr:rowOff>95250</xdr:rowOff>
    </xdr:from>
    <xdr:to>
      <xdr:col>9</xdr:col>
      <xdr:colOff>426719</xdr:colOff>
      <xdr:row>17</xdr:row>
      <xdr:rowOff>85725</xdr:rowOff>
    </xdr:to>
    <xdr:sp macro="" textlink="">
      <xdr:nvSpPr>
        <xdr:cNvPr id="12" name="线形标注 1 11">
          <a:extLst>
            <a:ext uri="{FF2B5EF4-FFF2-40B4-BE49-F238E27FC236}">
              <a16:creationId xmlns:a16="http://schemas.microsoft.com/office/drawing/2014/main" xmlns="" id="{00000000-0008-0000-2D00-00000C000000}"/>
            </a:ext>
          </a:extLst>
        </xdr:cNvPr>
        <xdr:cNvSpPr/>
      </xdr:nvSpPr>
      <xdr:spPr>
        <a:xfrm>
          <a:off x="4124324" y="2838450"/>
          <a:ext cx="1788795" cy="35623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20.7</a:t>
          </a:r>
          <a:r>
            <a:rPr lang="zh-CN" altLang="en-US" sz="1100"/>
            <a:t>月</a:t>
          </a:r>
          <a:r>
            <a:rPr lang="en-US" altLang="zh-CN" sz="1100"/>
            <a:t>1820</a:t>
          </a:r>
          <a:r>
            <a:rPr lang="zh-CN" altLang="en-US" sz="1100"/>
            <a:t>元，</a:t>
          </a:r>
          <a:r>
            <a:rPr lang="en-US" altLang="zh-CN" sz="1100"/>
            <a:t>R2.2</a:t>
          </a:r>
          <a:endParaRPr lang="zh-CN" altLang="en-US" sz="1100"/>
        </a:p>
      </xdr:txBody>
    </xdr:sp>
    <xdr:clientData/>
  </xdr:twoCellAnchor>
  <xdr:twoCellAnchor>
    <xdr:from>
      <xdr:col>3</xdr:col>
      <xdr:colOff>628650</xdr:colOff>
      <xdr:row>31</xdr:row>
      <xdr:rowOff>57150</xdr:rowOff>
    </xdr:from>
    <xdr:to>
      <xdr:col>4</xdr:col>
      <xdr:colOff>180975</xdr:colOff>
      <xdr:row>32</xdr:row>
      <xdr:rowOff>104774</xdr:rowOff>
    </xdr:to>
    <xdr:sp macro="" textlink="">
      <xdr:nvSpPr>
        <xdr:cNvPr id="13" name="五角星 12">
          <a:extLst>
            <a:ext uri="{FF2B5EF4-FFF2-40B4-BE49-F238E27FC236}">
              <a16:creationId xmlns:a16="http://schemas.microsoft.com/office/drawing/2014/main" xmlns="" id="{00000000-0008-0000-2D00-00000D000000}"/>
            </a:ext>
          </a:extLst>
        </xdr:cNvPr>
        <xdr:cNvSpPr/>
      </xdr:nvSpPr>
      <xdr:spPr>
        <a:xfrm>
          <a:off x="2686050" y="5372100"/>
          <a:ext cx="238125" cy="219074"/>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45</xdr:row>
      <xdr:rowOff>0</xdr:rowOff>
    </xdr:from>
    <xdr:to>
      <xdr:col>13</xdr:col>
      <xdr:colOff>56029</xdr:colOff>
      <xdr:row>71</xdr:row>
      <xdr:rowOff>104205</xdr:rowOff>
    </xdr:to>
    <xdr:pic>
      <xdr:nvPicPr>
        <xdr:cNvPr id="14" name="图片 13">
          <a:extLst>
            <a:ext uri="{FF2B5EF4-FFF2-40B4-BE49-F238E27FC236}">
              <a16:creationId xmlns:a16="http://schemas.microsoft.com/office/drawing/2014/main" xmlns="" id="{00000000-0008-0000-2D00-00000E000000}"/>
            </a:ext>
          </a:extLst>
        </xdr:cNvPr>
        <xdr:cNvPicPr>
          <a:picLocks noChangeAspect="1"/>
        </xdr:cNvPicPr>
      </xdr:nvPicPr>
      <xdr:blipFill>
        <a:blip xmlns:r="http://schemas.openxmlformats.org/officeDocument/2006/relationships" r:embed="rId2"/>
        <a:stretch>
          <a:fillRect/>
        </a:stretch>
      </xdr:blipFill>
      <xdr:spPr>
        <a:xfrm>
          <a:off x="0" y="7715250"/>
          <a:ext cx="8971429" cy="4561905"/>
        </a:xfrm>
        <a:prstGeom prst="rect">
          <a:avLst/>
        </a:prstGeom>
      </xdr:spPr>
    </xdr:pic>
    <xdr:clientData/>
  </xdr:twoCellAnchor>
  <xdr:twoCellAnchor editAs="oneCell">
    <xdr:from>
      <xdr:col>0</xdr:col>
      <xdr:colOff>0</xdr:colOff>
      <xdr:row>132</xdr:row>
      <xdr:rowOff>0</xdr:rowOff>
    </xdr:from>
    <xdr:to>
      <xdr:col>12</xdr:col>
      <xdr:colOff>303735</xdr:colOff>
      <xdr:row>160</xdr:row>
      <xdr:rowOff>66067</xdr:rowOff>
    </xdr:to>
    <xdr:pic>
      <xdr:nvPicPr>
        <xdr:cNvPr id="15" name="图片 14"/>
        <xdr:cNvPicPr>
          <a:picLocks noChangeAspect="1"/>
        </xdr:cNvPicPr>
      </xdr:nvPicPr>
      <xdr:blipFill>
        <a:blip xmlns:r="http://schemas.openxmlformats.org/officeDocument/2006/relationships" r:embed="rId3"/>
        <a:stretch>
          <a:fillRect/>
        </a:stretch>
      </xdr:blipFill>
      <xdr:spPr>
        <a:xfrm>
          <a:off x="0" y="23831550"/>
          <a:ext cx="8523810" cy="4866667"/>
        </a:xfrm>
        <a:prstGeom prst="rect">
          <a:avLst/>
        </a:prstGeom>
      </xdr:spPr>
    </xdr:pic>
    <xdr:clientData/>
  </xdr:twoCellAnchor>
  <xdr:twoCellAnchor editAs="oneCell">
    <xdr:from>
      <xdr:col>0</xdr:col>
      <xdr:colOff>0</xdr:colOff>
      <xdr:row>102</xdr:row>
      <xdr:rowOff>133350</xdr:rowOff>
    </xdr:from>
    <xdr:to>
      <xdr:col>12</xdr:col>
      <xdr:colOff>275164</xdr:colOff>
      <xdr:row>130</xdr:row>
      <xdr:rowOff>94655</xdr:rowOff>
    </xdr:to>
    <xdr:pic>
      <xdr:nvPicPr>
        <xdr:cNvPr id="16" name="图片 15"/>
        <xdr:cNvPicPr>
          <a:picLocks noChangeAspect="1"/>
        </xdr:cNvPicPr>
      </xdr:nvPicPr>
      <xdr:blipFill>
        <a:blip xmlns:r="http://schemas.openxmlformats.org/officeDocument/2006/relationships" r:embed="rId4"/>
        <a:stretch>
          <a:fillRect/>
        </a:stretch>
      </xdr:blipFill>
      <xdr:spPr>
        <a:xfrm>
          <a:off x="0" y="18821400"/>
          <a:ext cx="8495239" cy="4761905"/>
        </a:xfrm>
        <a:prstGeom prst="rect">
          <a:avLst/>
        </a:prstGeom>
      </xdr:spPr>
    </xdr:pic>
    <xdr:clientData/>
  </xdr:twoCellAnchor>
  <xdr:twoCellAnchor editAs="oneCell">
    <xdr:from>
      <xdr:col>0</xdr:col>
      <xdr:colOff>0</xdr:colOff>
      <xdr:row>73</xdr:row>
      <xdr:rowOff>0</xdr:rowOff>
    </xdr:from>
    <xdr:to>
      <xdr:col>12</xdr:col>
      <xdr:colOff>122783</xdr:colOff>
      <xdr:row>100</xdr:row>
      <xdr:rowOff>151803</xdr:rowOff>
    </xdr:to>
    <xdr:pic>
      <xdr:nvPicPr>
        <xdr:cNvPr id="17" name="图片 16"/>
        <xdr:cNvPicPr>
          <a:picLocks noChangeAspect="1"/>
        </xdr:cNvPicPr>
      </xdr:nvPicPr>
      <xdr:blipFill>
        <a:blip xmlns:r="http://schemas.openxmlformats.org/officeDocument/2006/relationships" r:embed="rId5"/>
        <a:stretch>
          <a:fillRect/>
        </a:stretch>
      </xdr:blipFill>
      <xdr:spPr>
        <a:xfrm>
          <a:off x="0" y="12515850"/>
          <a:ext cx="8342858" cy="47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8</xdr:col>
      <xdr:colOff>313600</xdr:colOff>
      <xdr:row>12</xdr:row>
      <xdr:rowOff>152156</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257175"/>
          <a:ext cx="5800000" cy="1952381"/>
        </a:xfrm>
        <a:prstGeom prst="rect">
          <a:avLst/>
        </a:prstGeom>
      </xdr:spPr>
    </xdr:pic>
    <xdr:clientData/>
  </xdr:twoCellAnchor>
  <xdr:twoCellAnchor editAs="oneCell">
    <xdr:from>
      <xdr:col>0</xdr:col>
      <xdr:colOff>91440</xdr:colOff>
      <xdr:row>13</xdr:row>
      <xdr:rowOff>45720</xdr:rowOff>
    </xdr:from>
    <xdr:to>
      <xdr:col>8</xdr:col>
      <xdr:colOff>347898</xdr:colOff>
      <xdr:row>19</xdr:row>
      <xdr:rowOff>74163</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91440" y="2423160"/>
          <a:ext cx="5133258" cy="1125723"/>
        </a:xfrm>
        <a:prstGeom prst="rect">
          <a:avLst/>
        </a:prstGeom>
      </xdr:spPr>
    </xdr:pic>
    <xdr:clientData/>
  </xdr:twoCellAnchor>
  <xdr:twoCellAnchor editAs="oneCell">
    <xdr:from>
      <xdr:col>0</xdr:col>
      <xdr:colOff>167640</xdr:colOff>
      <xdr:row>19</xdr:row>
      <xdr:rowOff>167640</xdr:rowOff>
    </xdr:from>
    <xdr:to>
      <xdr:col>8</xdr:col>
      <xdr:colOff>566955</xdr:colOff>
      <xdr:row>25</xdr:row>
      <xdr:rowOff>22748</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167640" y="3642360"/>
          <a:ext cx="5276115" cy="952388"/>
        </a:xfrm>
        <a:prstGeom prst="rect">
          <a:avLst/>
        </a:prstGeom>
      </xdr:spPr>
    </xdr:pic>
    <xdr:clientData/>
  </xdr:twoCellAnchor>
  <xdr:twoCellAnchor editAs="oneCell">
    <xdr:from>
      <xdr:col>0</xdr:col>
      <xdr:colOff>0</xdr:colOff>
      <xdr:row>26</xdr:row>
      <xdr:rowOff>0</xdr:rowOff>
    </xdr:from>
    <xdr:to>
      <xdr:col>8</xdr:col>
      <xdr:colOff>342172</xdr:colOff>
      <xdr:row>41</xdr:row>
      <xdr:rowOff>142536</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0" y="4457700"/>
          <a:ext cx="5828572" cy="2714286"/>
        </a:xfrm>
        <a:prstGeom prst="rect">
          <a:avLst/>
        </a:prstGeom>
      </xdr:spPr>
    </xdr:pic>
    <xdr:clientData/>
  </xdr:twoCellAnchor>
  <xdr:twoCellAnchor editAs="oneCell">
    <xdr:from>
      <xdr:col>0</xdr:col>
      <xdr:colOff>0</xdr:colOff>
      <xdr:row>42</xdr:row>
      <xdr:rowOff>0</xdr:rowOff>
    </xdr:from>
    <xdr:to>
      <xdr:col>8</xdr:col>
      <xdr:colOff>313600</xdr:colOff>
      <xdr:row>66</xdr:row>
      <xdr:rowOff>151867</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0" y="7200900"/>
          <a:ext cx="5800000" cy="4266667"/>
        </a:xfrm>
        <a:prstGeom prst="rect">
          <a:avLst/>
        </a:prstGeom>
      </xdr:spPr>
    </xdr:pic>
    <xdr:clientData/>
  </xdr:twoCellAnchor>
  <xdr:twoCellAnchor editAs="oneCell">
    <xdr:from>
      <xdr:col>0</xdr:col>
      <xdr:colOff>0</xdr:colOff>
      <xdr:row>69</xdr:row>
      <xdr:rowOff>0</xdr:rowOff>
    </xdr:from>
    <xdr:to>
      <xdr:col>13</xdr:col>
      <xdr:colOff>389363</xdr:colOff>
      <xdr:row>78</xdr:row>
      <xdr:rowOff>75998</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0" y="11830050"/>
          <a:ext cx="9304763" cy="1619048"/>
        </a:xfrm>
        <a:prstGeom prst="rect">
          <a:avLst/>
        </a:prstGeom>
      </xdr:spPr>
    </xdr:pic>
    <xdr:clientData/>
  </xdr:twoCellAnchor>
  <xdr:twoCellAnchor editAs="oneCell">
    <xdr:from>
      <xdr:col>0</xdr:col>
      <xdr:colOff>0</xdr:colOff>
      <xdr:row>79</xdr:row>
      <xdr:rowOff>0</xdr:rowOff>
    </xdr:from>
    <xdr:to>
      <xdr:col>13</xdr:col>
      <xdr:colOff>322696</xdr:colOff>
      <xdr:row>109</xdr:row>
      <xdr:rowOff>46977</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7"/>
        <a:stretch>
          <a:fillRect/>
        </a:stretch>
      </xdr:blipFill>
      <xdr:spPr>
        <a:xfrm>
          <a:off x="0" y="13544550"/>
          <a:ext cx="9238096" cy="5190477"/>
        </a:xfrm>
        <a:prstGeom prst="rect">
          <a:avLst/>
        </a:prstGeom>
      </xdr:spPr>
    </xdr:pic>
    <xdr:clientData/>
  </xdr:twoCellAnchor>
  <xdr:twoCellAnchor editAs="oneCell">
    <xdr:from>
      <xdr:col>9</xdr:col>
      <xdr:colOff>9525</xdr:colOff>
      <xdr:row>0</xdr:row>
      <xdr:rowOff>38100</xdr:rowOff>
    </xdr:from>
    <xdr:to>
      <xdr:col>16</xdr:col>
      <xdr:colOff>323211</xdr:colOff>
      <xdr:row>11</xdr:row>
      <xdr:rowOff>161674</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8"/>
        <a:stretch>
          <a:fillRect/>
        </a:stretch>
      </xdr:blipFill>
      <xdr:spPr>
        <a:xfrm>
          <a:off x="6181725" y="38100"/>
          <a:ext cx="5114286"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619125</xdr:colOff>
      <xdr:row>25</xdr:row>
      <xdr:rowOff>113750</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8848725" cy="4400000"/>
        </a:xfrm>
        <a:prstGeom prst="rect">
          <a:avLst/>
        </a:prstGeom>
      </xdr:spPr>
    </xdr:pic>
    <xdr:clientData/>
  </xdr:twoCellAnchor>
  <xdr:twoCellAnchor editAs="oneCell">
    <xdr:from>
      <xdr:col>0</xdr:col>
      <xdr:colOff>0</xdr:colOff>
      <xdr:row>26</xdr:row>
      <xdr:rowOff>0</xdr:rowOff>
    </xdr:from>
    <xdr:to>
      <xdr:col>13</xdr:col>
      <xdr:colOff>198886</xdr:colOff>
      <xdr:row>36</xdr:row>
      <xdr:rowOff>171214</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4457700"/>
          <a:ext cx="9114286" cy="1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收益法车库</v>
          </cell>
        </row>
        <row r="19">
          <cell r="A19" t="str">
            <v>宿舍</v>
          </cell>
          <cell r="B19" t="str">
            <v>收益法-经营</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估价对象为房地产，为所有。根据《国有土地使用证》[]，估价对象（分摊）出让国有建设用地使用权面积为47741.4平方米，建筑面积为140992.71平方米。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估价对象为房地产,属开发建设的商业项目，该项目尚在开发建设中。根据《国有土地使用证》[]，估价对象（分摊）出让国有建设用地使用权面积为47741.4平方米，规划建筑面积为140992.71平方米。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2021年8月3日</v>
      </c>
    </row>
    <row r="13" spans="1:2" s="1365" customFormat="1">
      <c r="A13" s="1363" t="s">
        <v>1194</v>
      </c>
      <c r="B13" s="1364" t="str">
        <f>'预评函-1'!A18</f>
        <v>本次估价的“房地产价值”是指在正常市场情况下，在价值时点2021年8月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130545</v>
      </c>
    </row>
    <row r="21" spans="1:2" s="1365" customFormat="1">
      <c r="A21" s="1363" t="s">
        <v>1202</v>
      </c>
      <c r="B21" s="1364">
        <f ca="1">'预评函-2'!D7</f>
        <v>9259</v>
      </c>
    </row>
    <row r="22" spans="1:2" s="1365" customFormat="1">
      <c r="A22" s="1363" t="s">
        <v>1203</v>
      </c>
      <c r="B22" s="1364" t="str">
        <f ca="1">'预评函-2'!D6</f>
        <v>壹拾叁亿零伍佰肆拾伍万元整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130545</v>
      </c>
    </row>
    <row r="31" spans="1:2" s="1365" customFormat="1">
      <c r="A31" s="1363" t="s">
        <v>1241</v>
      </c>
      <c r="B31" s="1364">
        <f ca="1">'预评函-2'!D15</f>
        <v>9259</v>
      </c>
    </row>
    <row r="32" spans="1:2" s="1365" customFormat="1">
      <c r="A32" s="1363" t="s">
        <v>1208</v>
      </c>
      <c r="B32" s="1364" t="str">
        <f ca="1">'预评函-2'!D14</f>
        <v>壹拾叁亿零伍佰肆拾伍万元整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117693</v>
      </c>
    </row>
    <row r="39" spans="1:2" s="1365" customFormat="1">
      <c r="A39" s="1363" t="s">
        <v>1210</v>
      </c>
      <c r="B39" s="1364">
        <f ca="1">'预评函-2'!D21</f>
        <v>8347</v>
      </c>
    </row>
    <row r="40" spans="1:2" s="1365" customFormat="1">
      <c r="A40" s="1363" t="s">
        <v>1211</v>
      </c>
      <c r="B40" s="1364" t="str">
        <f ca="1">'预评函-2'!D20</f>
        <v>壹拾壹亿柒仟陆佰玖拾叁万元整</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140992.71000000002</v>
      </c>
    </row>
    <row r="44" spans="1:2" s="1365" customFormat="1">
      <c r="A44" s="1363" t="s">
        <v>1240</v>
      </c>
      <c r="B44" s="1364" t="str">
        <f>'预评函-3'!C2</f>
        <v>(分摊)土地面积</v>
      </c>
    </row>
    <row r="45" spans="1:2" s="1365" customFormat="1">
      <c r="A45" s="1363" t="s">
        <v>1212</v>
      </c>
      <c r="B45" s="1364">
        <f>'预评函-3'!C4</f>
        <v>47741.4</v>
      </c>
    </row>
    <row r="46" spans="1:2" s="1365" customFormat="1">
      <c r="A46" s="1363" t="s">
        <v>1238</v>
      </c>
      <c r="B46" s="1364" t="str">
        <f>'预评函-3'!D2</f>
        <v>出让国有建设用地使用权价值</v>
      </c>
    </row>
    <row r="47" spans="1:2" s="1365" customFormat="1">
      <c r="A47" s="1363" t="s">
        <v>1213</v>
      </c>
      <c r="B47" s="1364">
        <f ca="1">'预评函-3'!D4</f>
        <v>42297</v>
      </c>
    </row>
    <row r="48" spans="1:2" s="1365" customFormat="1">
      <c r="A48" s="1363" t="s">
        <v>1214</v>
      </c>
      <c r="B48" s="1364">
        <f ca="1">'预评函-3'!E4</f>
        <v>3000</v>
      </c>
    </row>
    <row r="49" spans="1:2" s="1365" customFormat="1">
      <c r="A49" s="1363" t="s">
        <v>1215</v>
      </c>
      <c r="B49" s="1364" t="str">
        <f ca="1">'预评函-3'!D5</f>
        <v>肆亿贰仟贰佰玖拾柒万元整</v>
      </c>
    </row>
    <row r="50" spans="1:2" s="1365" customFormat="1">
      <c r="A50" s="1363" t="s">
        <v>1239</v>
      </c>
      <c r="B50" s="1364" t="str">
        <f>'预评函-3'!F2</f>
        <v>在建建筑物价值</v>
      </c>
    </row>
    <row r="51" spans="1:2" s="1365" customFormat="1">
      <c r="A51" s="1363" t="s">
        <v>1216</v>
      </c>
      <c r="B51" s="1364">
        <f ca="1">'预评函-3'!F4</f>
        <v>88248</v>
      </c>
    </row>
    <row r="52" spans="1:2" s="1365" customFormat="1">
      <c r="A52" s="1363" t="s">
        <v>1217</v>
      </c>
      <c r="B52" s="1364">
        <f ca="1">'预评函-3'!G4</f>
        <v>6259</v>
      </c>
    </row>
    <row r="53" spans="1:2" s="1365" customFormat="1">
      <c r="A53" s="1363" t="s">
        <v>1245</v>
      </c>
      <c r="B53" s="1364" t="str">
        <f ca="1">'预评函-3'!F5</f>
        <v>捌亿捌仟贰佰肆拾捌万元整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8" sqref="D1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3320</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9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1"/>
      <c r="B54" s="1739" t="s">
        <v>832</v>
      </c>
      <c r="C54" s="1736" t="s">
        <v>1248</v>
      </c>
    </row>
    <row r="55" spans="1:4">
      <c r="A55" s="3291"/>
      <c r="B55" s="1739" t="s">
        <v>833</v>
      </c>
      <c r="C55" s="1736" t="s">
        <v>1249</v>
      </c>
    </row>
    <row r="56" spans="1:4">
      <c r="A56" s="3291"/>
      <c r="B56" s="1739" t="s">
        <v>834</v>
      </c>
      <c r="C56" s="1736" t="s">
        <v>1253</v>
      </c>
    </row>
    <row r="57" spans="1:4">
      <c r="A57" s="329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5" zoomScaleNormal="100" zoomScaleSheetLayoutView="115" workbookViewId="0">
      <selection activeCell="F22" sqref="F22"/>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300" t="str">
        <f>IF(B10="北京市","北京市",C10)&amp;F10&amp;IF(结果表!G1="在建","出让国有建设用地使用权及在建建筑物",IF(结果表!G1="土地","出让国有建设用地使用权",))&amp;B9&amp;"预评估"</f>
        <v>房地产抵押价值预评估</v>
      </c>
      <c r="C1" s="3301"/>
      <c r="D1" s="3301"/>
      <c r="E1" s="3301"/>
      <c r="F1" s="3301"/>
      <c r="G1" s="3301"/>
      <c r="H1" s="3301"/>
      <c r="I1" s="3302"/>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房地产</v>
      </c>
      <c r="T2" s="1931"/>
      <c r="U2" s="1931"/>
      <c r="V2" s="1931"/>
      <c r="W2" s="1931"/>
      <c r="X2" s="1931"/>
      <c r="Y2" s="1931"/>
      <c r="Z2" s="1931"/>
      <c r="AA2" s="1931"/>
      <c r="AB2" s="1931"/>
    </row>
    <row r="3" spans="1:28">
      <c r="A3" s="308" t="s">
        <v>2915</v>
      </c>
      <c r="B3" s="2597"/>
      <c r="C3" s="2598" t="s">
        <v>2916</v>
      </c>
      <c r="D3" s="2597">
        <v>44411</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3063</v>
      </c>
      <c r="C8" s="2614"/>
      <c r="D8" s="3303" t="s">
        <v>2922</v>
      </c>
      <c r="E8" s="2615" t="s">
        <v>3064</v>
      </c>
      <c r="F8" s="2616"/>
      <c r="G8" s="2890"/>
      <c r="H8" s="2890"/>
      <c r="I8" s="2890"/>
      <c r="J8" s="2665"/>
      <c r="K8" s="2840"/>
      <c r="L8" s="2839"/>
      <c r="M8" s="2839"/>
      <c r="N8" s="2665"/>
      <c r="O8" s="2676"/>
      <c r="P8" s="2665"/>
      <c r="Q8" s="2665"/>
      <c r="R8" s="2665"/>
    </row>
    <row r="9" spans="1:28" ht="13.5" thickBot="1">
      <c r="A9" s="2617" t="s">
        <v>2923</v>
      </c>
      <c r="B9" s="2618" t="s">
        <v>3064</v>
      </c>
      <c r="C9" s="2619"/>
      <c r="D9" s="3304"/>
      <c r="E9" s="2618" t="s">
        <v>1252</v>
      </c>
      <c r="F9" s="2620"/>
      <c r="G9" s="2892"/>
      <c r="H9" s="2892"/>
      <c r="I9" s="2892"/>
      <c r="J9" s="2665"/>
      <c r="K9" s="2842"/>
      <c r="L9" s="2839"/>
      <c r="M9" s="2839"/>
      <c r="N9" s="2665"/>
      <c r="O9" s="2676"/>
      <c r="P9" s="2665"/>
      <c r="Q9" s="2665"/>
      <c r="R9" s="2665"/>
    </row>
    <row r="10" spans="1:28" ht="13.5" thickTop="1">
      <c r="A10" s="2621" t="s">
        <v>2924</v>
      </c>
      <c r="B10" s="2622" t="s">
        <v>3065</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3066</v>
      </c>
      <c r="C11" s="2627"/>
      <c r="D11" s="2628"/>
      <c r="E11" s="2594"/>
      <c r="F11" s="2594"/>
      <c r="G11" s="2594"/>
      <c r="H11" s="2594"/>
      <c r="I11" s="2594"/>
      <c r="J11" s="2665"/>
      <c r="K11" s="2842"/>
      <c r="L11" s="2839"/>
      <c r="M11" s="2839"/>
      <c r="N11" s="2665"/>
      <c r="O11" s="2676"/>
      <c r="P11" s="2665"/>
      <c r="Q11" s="2665"/>
      <c r="R11" s="2665"/>
    </row>
    <row r="12" spans="1:28">
      <c r="A12" s="2629" t="s">
        <v>2927</v>
      </c>
      <c r="B12" s="2626" t="s">
        <v>3067</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v>58130</v>
      </c>
      <c r="F13" s="965"/>
      <c r="G13" s="965"/>
      <c r="H13" s="965"/>
      <c r="I13" s="965"/>
      <c r="J13" s="2665"/>
      <c r="K13" s="2842"/>
      <c r="L13" s="2839"/>
      <c r="M13" s="2839"/>
      <c r="N13" s="2665"/>
      <c r="O13" s="2676"/>
      <c r="P13" s="2665"/>
      <c r="Q13" s="2665"/>
      <c r="R13" s="2665"/>
    </row>
    <row r="14" spans="1:28">
      <c r="A14" s="1241"/>
      <c r="B14" s="2631"/>
      <c r="C14" s="2632" t="s">
        <v>2936</v>
      </c>
      <c r="D14" s="2633"/>
      <c r="E14" s="2633">
        <v>40</v>
      </c>
      <c r="F14" s="2633"/>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37.58</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310"/>
      <c r="C16" s="3311"/>
      <c r="D16" s="3312"/>
      <c r="E16" s="2639" t="s">
        <v>2939</v>
      </c>
      <c r="F16" s="3313"/>
      <c r="G16" s="3314"/>
      <c r="H16" s="3314"/>
      <c r="I16" s="3315"/>
      <c r="J16" s="2665"/>
      <c r="K16" s="2844"/>
      <c r="L16" s="2677"/>
      <c r="M16" s="2677"/>
      <c r="N16" s="2735"/>
      <c r="O16" s="2677"/>
      <c r="P16" s="2735"/>
      <c r="Q16" s="2665"/>
      <c r="R16" s="2665"/>
    </row>
    <row r="17" spans="1:28">
      <c r="A17" s="319" t="s">
        <v>2940</v>
      </c>
      <c r="B17" s="308" t="s">
        <v>2941</v>
      </c>
      <c r="C17" s="11">
        <f>'数据-汇总表'!E3</f>
        <v>140992.71000000002</v>
      </c>
      <c r="D17" s="2545" t="s">
        <v>2942</v>
      </c>
      <c r="E17" s="3316" t="s">
        <v>2943</v>
      </c>
      <c r="F17" s="3317"/>
      <c r="G17" s="3317"/>
      <c r="H17" s="3317"/>
      <c r="I17" s="3318"/>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47741.4</v>
      </c>
      <c r="D18" s="1252" t="s">
        <v>2946</v>
      </c>
      <c r="E18" s="3319" t="s">
        <v>2947</v>
      </c>
      <c r="F18" s="3320"/>
      <c r="G18" s="3320"/>
      <c r="H18" s="3320"/>
      <c r="I18" s="3321"/>
      <c r="J18" s="2665"/>
      <c r="K18" s="2845"/>
      <c r="L18" s="2677"/>
      <c r="M18" s="2677"/>
      <c r="N18" s="2735"/>
      <c r="O18" s="2677"/>
      <c r="P18" s="2735"/>
      <c r="Q18" s="2665"/>
      <c r="R18" s="2665"/>
      <c r="S18" s="2665"/>
      <c r="T18" s="2665"/>
      <c r="U18" s="2665"/>
      <c r="V18" s="2665"/>
    </row>
    <row r="19" spans="1:28" ht="37.5" thickTop="1" thickBot="1">
      <c r="A19" s="333" t="s">
        <v>1741</v>
      </c>
      <c r="B19" s="313" t="s">
        <v>2948</v>
      </c>
      <c r="C19" s="1748" t="s">
        <v>3068</v>
      </c>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306" t="s">
        <v>2951</v>
      </c>
      <c r="C20" s="3307"/>
      <c r="D20" s="3308" t="s">
        <v>2952</v>
      </c>
      <c r="E20" s="3309"/>
      <c r="F20" s="2874" t="s">
        <v>1742</v>
      </c>
      <c r="G20" s="2891"/>
      <c r="H20" s="2891"/>
      <c r="I20" s="2891"/>
      <c r="J20" s="2665"/>
      <c r="K20" s="3305"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3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3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293" t="s">
        <v>2959</v>
      </c>
      <c r="B27" s="326" t="s">
        <v>2960</v>
      </c>
      <c r="C27" s="2642" t="s">
        <v>3069</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293"/>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293"/>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294"/>
      <c r="B30" s="308" t="s">
        <v>2963</v>
      </c>
      <c r="C30" s="3295"/>
      <c r="D30" s="3296"/>
      <c r="E30" s="2891"/>
      <c r="F30" s="2891"/>
      <c r="G30" s="2891"/>
      <c r="H30" s="2891"/>
      <c r="I30" s="2891"/>
      <c r="J30" s="2665"/>
      <c r="K30" s="2842"/>
      <c r="L30" s="2839"/>
      <c r="M30" s="2839"/>
      <c r="N30" s="2665"/>
      <c r="O30" s="2676"/>
      <c r="P30" s="2665"/>
      <c r="Q30" s="2665"/>
      <c r="R30" s="2665"/>
      <c r="S30" s="2665"/>
      <c r="T30" s="2665"/>
      <c r="U30" s="2665"/>
      <c r="V30" s="2665"/>
    </row>
    <row r="31" spans="1:28">
      <c r="A31" s="3297" t="s">
        <v>2964</v>
      </c>
      <c r="B31" s="2648" t="s">
        <v>3070</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298"/>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298"/>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292" t="s">
        <v>2973</v>
      </c>
      <c r="T34" s="2654" t="str">
        <f>NUMBERSTRING(7-K34,1)&amp;"通"</f>
        <v>七通</v>
      </c>
      <c r="U34" s="2665"/>
      <c r="V34" s="2665"/>
    </row>
    <row r="35" spans="1:30">
      <c r="A35" s="2655"/>
      <c r="B35" s="3299" t="s">
        <v>2974</v>
      </c>
      <c r="C35" s="3299"/>
      <c r="D35" s="3299"/>
      <c r="E35" s="3299"/>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2"/>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25471.1+22270.3</f>
        <v>47741.399999999994</v>
      </c>
      <c r="B3" s="14">
        <f>IF(C3="否",G5-AT5,G5)</f>
        <v>140992.71000000002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140992.71000000002</v>
      </c>
      <c r="H5" s="16">
        <f t="shared" ref="H5:AT5" si="0">SUM(H13:H656)</f>
        <v>140992.71000000002</v>
      </c>
      <c r="I5" s="16">
        <f t="shared" si="0"/>
        <v>100347.12000000002</v>
      </c>
      <c r="J5" s="16">
        <f t="shared" si="0"/>
        <v>0</v>
      </c>
      <c r="K5" s="16">
        <f t="shared" si="0"/>
        <v>40645.590000000004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140992.71000000002</v>
      </c>
      <c r="BA5" s="18">
        <f t="shared" si="1"/>
        <v>140992.71000000002</v>
      </c>
      <c r="BB5" s="18">
        <f t="shared" si="1"/>
        <v>100347.12000000002</v>
      </c>
      <c r="BC5" s="18">
        <f t="shared" si="1"/>
        <v>40645.590000000004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47741.4</v>
      </c>
      <c r="F6" s="16" t="s">
        <v>1</v>
      </c>
      <c r="G6" s="16" t="s">
        <v>2</v>
      </c>
      <c r="H6" s="20">
        <f>SUMIF(I$12:AB$12,"总值",I6:AB6)</f>
        <v>47741.4</v>
      </c>
      <c r="I6" s="16">
        <f t="shared" ref="I6:AB6" si="2">ROUND($A$3*I5/$B$3,2)</f>
        <v>33978.44</v>
      </c>
      <c r="J6" s="16">
        <f t="shared" si="2"/>
        <v>0</v>
      </c>
      <c r="K6" s="16">
        <f t="shared" si="2"/>
        <v>13762.96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47741.4</v>
      </c>
      <c r="AZ6" s="16" t="s">
        <v>3</v>
      </c>
      <c r="BA6" s="16">
        <f>ROUND($AY$6*BA5/$AZ$5,2)</f>
        <v>47741.4</v>
      </c>
      <c r="BB6" s="16">
        <f>ROUND($AY$6*BB5/$AZ$5,2)</f>
        <v>33978.44</v>
      </c>
      <c r="BC6" s="16">
        <f t="shared" ref="BC6:BH6" si="4">ROUND($AY$6*BC5/$AZ$5,2)</f>
        <v>13762.96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3071</v>
      </c>
      <c r="J9" s="918"/>
      <c r="K9" s="1788" t="s">
        <v>3072</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3073</v>
      </c>
      <c r="E13" s="16">
        <f>IF($C$3="是",ROUND($A$3*G13/$B$3,2),ROUND($A$3*(G13-AT13)/$B$3,2))</f>
        <v>47741.4</v>
      </c>
      <c r="F13" s="32"/>
      <c r="G13" s="33">
        <f>H13+AC13+AT13</f>
        <v>140992.71000000002</v>
      </c>
      <c r="H13" s="20">
        <f>SUMIF(I$12:AB$12,"总值",I13:AB13)</f>
        <v>140992.71000000002</v>
      </c>
      <c r="I13" s="1811">
        <f>面积明细!R9-面积明细!R3</f>
        <v>100347.12000000002</v>
      </c>
      <c r="J13" s="1811"/>
      <c r="K13" s="1811">
        <f>面积明细!R3</f>
        <v>40645.590000000004</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47741.4</v>
      </c>
      <c r="AZ13" s="16">
        <f>BA13+BL13</f>
        <v>140992.71000000002</v>
      </c>
      <c r="BA13" s="16">
        <f>SUM(BB13:BK13)</f>
        <v>140992.71000000002</v>
      </c>
      <c r="BB13" s="16">
        <f>IF($D13="是",I13-J13,0)</f>
        <v>100347.12000000002</v>
      </c>
      <c r="BC13" s="16">
        <f>IF($D13="是",K13-L13,0)</f>
        <v>40645.590000000004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2" t="s">
        <v>0</v>
      </c>
      <c r="B1" s="3322" t="s">
        <v>4</v>
      </c>
      <c r="C1" s="3322" t="s">
        <v>5</v>
      </c>
      <c r="D1" s="3323" t="s">
        <v>53</v>
      </c>
      <c r="E1" s="3323" t="s">
        <v>54</v>
      </c>
      <c r="F1" s="3323"/>
      <c r="G1" s="3323"/>
      <c r="H1" s="3323"/>
      <c r="I1" s="3323"/>
      <c r="J1" s="3323"/>
      <c r="K1" s="3323"/>
      <c r="L1" s="3323"/>
      <c r="M1" s="3323"/>
    </row>
    <row r="2" spans="1:13" ht="27" customHeight="1">
      <c r="A2" s="3322"/>
      <c r="B2" s="3322"/>
      <c r="C2" s="3322"/>
      <c r="D2" s="3323"/>
      <c r="E2" s="3323" t="s">
        <v>37</v>
      </c>
      <c r="F2" s="3323" t="s">
        <v>38</v>
      </c>
      <c r="G2" s="3323"/>
      <c r="H2" s="3323"/>
      <c r="I2" s="3323"/>
      <c r="J2" s="3323" t="s">
        <v>39</v>
      </c>
      <c r="K2" s="3323"/>
      <c r="L2" s="3323"/>
      <c r="M2" s="3323"/>
    </row>
    <row r="3" spans="1:13" ht="28.5">
      <c r="A3" s="3322"/>
      <c r="B3" s="3322"/>
      <c r="C3" s="3322"/>
      <c r="D3" s="3323"/>
      <c r="E3" s="33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3" t="s">
        <v>55</v>
      </c>
      <c r="B9" s="3323"/>
      <c r="C9" s="33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E40" sqref="E4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333" t="s">
        <v>1817</v>
      </c>
      <c r="B2" s="3333"/>
      <c r="C2" s="3333"/>
      <c r="D2" s="904" t="s">
        <v>1793</v>
      </c>
      <c r="E2" s="1824" t="s">
        <v>1794</v>
      </c>
      <c r="F2" s="2886"/>
      <c r="G2" s="2877"/>
      <c r="H2" s="2878"/>
      <c r="I2" s="2548" t="s">
        <v>1818</v>
      </c>
      <c r="J2" s="2886"/>
      <c r="K2" s="2886"/>
      <c r="L2" s="2886"/>
      <c r="M2" s="2886"/>
      <c r="N2" s="2888"/>
      <c r="O2" s="2886"/>
      <c r="P2" s="2886"/>
    </row>
    <row r="3" spans="1:16" ht="15.75" thickBot="1">
      <c r="A3" s="3334" t="s">
        <v>1791</v>
      </c>
      <c r="B3" s="3334"/>
      <c r="C3" s="3334"/>
      <c r="D3" s="46">
        <f>'数据-基础表'!AY6</f>
        <v>47741.4</v>
      </c>
      <c r="E3" s="46">
        <f>'数据-基础表'!AZ5</f>
        <v>140992.71000000002</v>
      </c>
      <c r="F3" s="2886"/>
      <c r="G3" s="1307"/>
      <c r="H3" s="1157" t="s">
        <v>1792</v>
      </c>
      <c r="I3" s="964">
        <f>ROUND('数据-基础表'!B3/'数据-基础表'!A3,2)</f>
        <v>2.95</v>
      </c>
      <c r="J3" s="2886"/>
      <c r="K3" s="2886"/>
      <c r="L3" s="2886"/>
      <c r="M3" s="2886"/>
      <c r="N3" s="2888"/>
      <c r="O3" s="2886"/>
      <c r="P3" s="2886"/>
    </row>
    <row r="4" spans="1:16" ht="15">
      <c r="A4" s="3335"/>
      <c r="B4" s="3336"/>
      <c r="C4" s="3337"/>
      <c r="D4" s="1826" t="s">
        <v>1793</v>
      </c>
      <c r="E4" s="1827" t="s">
        <v>1794</v>
      </c>
      <c r="F4" s="2886"/>
      <c r="G4" s="2879" t="s">
        <v>1819</v>
      </c>
      <c r="H4" s="1157" t="s">
        <v>1799</v>
      </c>
      <c r="I4" s="964">
        <f>ROUND(SUMIF('数据-基础表'!I9:AS9,"地上",'数据-基础表'!I5:AS5)/'数据-基础表'!A3,2)</f>
        <v>2.1</v>
      </c>
      <c r="J4" s="2886"/>
      <c r="K4" s="2886"/>
      <c r="L4" s="2886"/>
      <c r="M4" s="2886"/>
      <c r="N4" s="2888"/>
      <c r="O4" s="2886"/>
      <c r="P4" s="2886"/>
    </row>
    <row r="5" spans="1:16">
      <c r="A5" s="47" t="s">
        <v>1795</v>
      </c>
      <c r="B5" s="3338" t="s">
        <v>1796</v>
      </c>
      <c r="C5" s="3338"/>
      <c r="D5" s="48">
        <f>ROUND($D$3*E5/$E$3,2)</f>
        <v>0</v>
      </c>
      <c r="E5" s="49">
        <f>SUMIF('数据-基础表'!$11:$11,"住宅",'数据-基础表'!$5:$5)</f>
        <v>0</v>
      </c>
      <c r="F5" s="2886"/>
      <c r="G5" s="1307"/>
      <c r="H5" s="1157" t="s">
        <v>1792</v>
      </c>
      <c r="I5" s="964">
        <f>ROUND(E31/D31,2)</f>
        <v>2.95</v>
      </c>
      <c r="J5" s="2886"/>
      <c r="K5" s="2886"/>
      <c r="L5" s="2886"/>
      <c r="M5" s="2886"/>
      <c r="N5" s="2886"/>
      <c r="O5" s="2886"/>
      <c r="P5" s="2886"/>
    </row>
    <row r="6" spans="1:16" ht="15" thickBot="1">
      <c r="A6" s="1829"/>
      <c r="B6" s="3338" t="s">
        <v>1797</v>
      </c>
      <c r="C6" s="3338"/>
      <c r="D6" s="48">
        <f>ROUND($D$3*E6/$E$3,2)</f>
        <v>47741.4</v>
      </c>
      <c r="E6" s="49">
        <f>E3-E5</f>
        <v>140992.71000000002</v>
      </c>
      <c r="F6" s="2886"/>
      <c r="G6" s="2880" t="s">
        <v>1798</v>
      </c>
      <c r="H6" s="1308" t="s">
        <v>1799</v>
      </c>
      <c r="I6" s="2881">
        <f>ROUND(F31/D31,2)</f>
        <v>2.1</v>
      </c>
      <c r="J6" s="2886"/>
      <c r="K6" s="2886"/>
      <c r="L6" s="2886"/>
      <c r="M6" s="2886"/>
      <c r="N6" s="2886"/>
      <c r="O6" s="2886"/>
      <c r="P6" s="2886"/>
    </row>
    <row r="7" spans="1:16" ht="15.75" thickBot="1">
      <c r="A7" s="3330"/>
      <c r="B7" s="3331"/>
      <c r="C7" s="3332"/>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33978.44</v>
      </c>
      <c r="E8" s="51">
        <f>SUMIF('数据-基础表'!BB10:BK10,"地上",'数据-基础表'!BB5:BK5)</f>
        <v>100347.12000000002</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13762.96</v>
      </c>
      <c r="E10" s="51">
        <f>SUMPRODUCT(('数据-基础表'!BB10:BK10="地下")*('数据-基础表'!BB11:BK11="商业")*('数据-基础表'!BB5:BK5))</f>
        <v>40645.590000000004</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47741.4</v>
      </c>
      <c r="E16" s="53">
        <f>SUM(E8:E15)</f>
        <v>140992.71000000002</v>
      </c>
      <c r="F16" s="2886"/>
      <c r="G16" s="2887"/>
      <c r="H16" s="1833" t="s">
        <v>1821</v>
      </c>
      <c r="I16" s="1834"/>
      <c r="J16" s="1301"/>
      <c r="K16" s="3327" t="s">
        <v>1821</v>
      </c>
      <c r="L16" s="3328"/>
      <c r="M16" s="3328"/>
      <c r="N16" s="3328"/>
      <c r="O16" s="3328"/>
      <c r="P16" s="3329"/>
    </row>
    <row r="17" spans="1:19" ht="15">
      <c r="A17" s="1835" t="s">
        <v>1822</v>
      </c>
      <c r="B17" s="1836" t="s">
        <v>1823</v>
      </c>
      <c r="C17" s="1837" t="s">
        <v>1824</v>
      </c>
      <c r="D17" s="1838" t="s">
        <v>1812</v>
      </c>
      <c r="E17" s="1839" t="s">
        <v>1813</v>
      </c>
      <c r="F17" s="1840"/>
      <c r="G17" s="1841"/>
      <c r="H17" s="1842" t="s">
        <v>1825</v>
      </c>
      <c r="I17" s="1843" t="s">
        <v>1810</v>
      </c>
      <c r="J17" s="1301"/>
      <c r="K17" s="3324" t="s">
        <v>1826</v>
      </c>
      <c r="L17" s="3325"/>
      <c r="M17" s="3326"/>
      <c r="N17" s="3324" t="s">
        <v>1827</v>
      </c>
      <c r="O17" s="3325"/>
      <c r="P17" s="3326"/>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1" t="s">
        <v>3074</v>
      </c>
      <c r="D19" s="48">
        <f>ROUND($D$3*E19/$E$3,2)</f>
        <v>47741.4</v>
      </c>
      <c r="E19" s="56">
        <f t="shared" ref="E19:E26" si="1">SUM(F19:G19)</f>
        <v>140992.71000000002</v>
      </c>
      <c r="F19" s="3026">
        <f>'数据-基础表'!I13</f>
        <v>100347.12000000002</v>
      </c>
      <c r="G19" s="3027">
        <f>'数据-基础表'!K13</f>
        <v>40645.590000000004</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47741.4</v>
      </c>
      <c r="S19" s="1158">
        <f t="shared" si="5"/>
        <v>140992.71000000002</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47741.4</v>
      </c>
      <c r="E27" s="1303">
        <f>IF(SUM(E19:E26)='数据-基础表'!BA5,SUM(E19:E26),IF(F27="地上面积有误","面积有误","地下面积有误"))</f>
        <v>140992.71000000002</v>
      </c>
      <c r="F27" s="1302">
        <f>IF(SUM(F19:F26)=E8,SUM(F19:F26),"地上面积有误")</f>
        <v>100347.12000000002</v>
      </c>
      <c r="G27" s="1304">
        <f>SUM(G19:G26)</f>
        <v>40645.590000000004</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47741.4</v>
      </c>
      <c r="S27" s="1157">
        <f>IF(SUM(S19:S26)=$E$3,SUM(S19:S26),SUM(S19:S26)&amp;"误差"&amp;ROUND(SUM(S19:S26)-E3,2))</f>
        <v>140992.71000000002</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47741.4</v>
      </c>
      <c r="E31" s="685">
        <f>E27+E30</f>
        <v>140992.71000000002</v>
      </c>
      <c r="F31" s="686">
        <f>F27+F30</f>
        <v>100347.12000000002</v>
      </c>
      <c r="G31" s="687">
        <f>G27+G30</f>
        <v>40645.590000000004</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8">
      <c r="D33" s="1864"/>
    </row>
    <row r="35" spans="4:8">
      <c r="F35" s="1823">
        <v>12000</v>
      </c>
      <c r="G35" s="1823">
        <v>5000</v>
      </c>
    </row>
    <row r="36" spans="4:8">
      <c r="F36" s="1823">
        <f>F35*F31/10000</f>
        <v>120416.54400000002</v>
      </c>
      <c r="G36" s="1823">
        <f>G35*G31/10000</f>
        <v>20322.795000000002</v>
      </c>
      <c r="H36" s="1823">
        <f ca="1">结果表!G19</f>
        <v>130545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19" sqref="E1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44411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3075</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58130</v>
      </c>
      <c r="F6" s="68">
        <f>SUMIF(项目基本情况!D$12:I$12,C6,项目基本情况!D$15:I$15)</f>
        <v>37.58</v>
      </c>
      <c r="G6" s="69">
        <f>IF(ISERROR(ROUND(POWER(1+H6,D6-F6)*(POWER(1+H6,F6)-1)/(POWER(1+H6,D6)-1),3)),0,ROUND(POWER(1+H6,D6-F6)*(POWER(1+H6,F6)-1)/(POWER(1+H6,D6)-1),3))</f>
        <v>0.97899999999999998</v>
      </c>
      <c r="H6" s="741">
        <v>0.05</v>
      </c>
      <c r="I6" s="741">
        <v>5.5E-2</v>
      </c>
      <c r="J6" s="70">
        <v>0.08</v>
      </c>
      <c r="K6" s="1161">
        <f>SUMIF('数据-汇总表'!C$19:C$33,A6,'数据-汇总表'!E$19:E$33)</f>
        <v>140992.71000000002</v>
      </c>
      <c r="L6" s="742">
        <v>4000</v>
      </c>
      <c r="M6" s="71">
        <f t="shared" ref="M6:M14" si="0">ROUND(K6*L6/10000,0)</f>
        <v>56397</v>
      </c>
      <c r="N6" s="740">
        <f>ROUND(1-(2021-2020)/60,2)</f>
        <v>0.98</v>
      </c>
      <c r="O6" s="71" t="str">
        <f>IF($N$5="成新度","——",ROUND(M6*N6,0))</f>
        <v>——</v>
      </c>
      <c r="P6" s="72" t="str">
        <f>IF($N$5="成新度","——",M6-O6)</f>
        <v>——</v>
      </c>
      <c r="Q6" s="743">
        <v>0.2</v>
      </c>
      <c r="R6" s="73">
        <f ca="1">SUMIF('数据-汇总表'!C$19:C$33,A6,'数据-汇总表'!R$19:R$27)</f>
        <v>47741.4</v>
      </c>
      <c r="S6" s="54">
        <f>IF('数据-汇总表'!$I$17="按面积比例",SUMIF('数据-汇总表'!C$19:C$33,A6,'数据-汇总表'!K$19:K$33),SUMIF('数据-汇总表'!C$19:C$33,A6,'数据-汇总表'!N$19:N$33))</f>
        <v>0</v>
      </c>
      <c r="T6" s="1334">
        <f>ROUND($L$14*S6/10000,0)</f>
        <v>0</v>
      </c>
      <c r="U6" s="74">
        <v>2.8</v>
      </c>
      <c r="V6" s="75">
        <v>0.03</v>
      </c>
      <c r="W6" s="75">
        <v>0.1</v>
      </c>
      <c r="X6" s="1171"/>
      <c r="Y6" s="76">
        <f>N6</f>
        <v>0.98</v>
      </c>
      <c r="Z6" s="77"/>
      <c r="AA6" s="70"/>
      <c r="AB6" s="70"/>
      <c r="AC6" s="1171"/>
      <c r="AD6" s="78"/>
      <c r="AE6" s="1172">
        <f ca="1">IF(AN6="",0,SUMIF(INDIRECT("'"&amp;AN6&amp;"'"&amp;"!E:E"),$AE$5,INDIRECT("'"&amp;AN6&amp;"'"&amp;"!F:F")))</f>
        <v>37.58</v>
      </c>
      <c r="AF6" s="1532"/>
      <c r="AG6" s="143">
        <f>IF(AF6="",0,AE6-AF6)</f>
        <v>0</v>
      </c>
      <c r="AH6" s="79"/>
      <c r="AI6" s="81">
        <v>365</v>
      </c>
      <c r="AJ6" s="82"/>
      <c r="AK6" s="83">
        <v>1.4999999999999999E-2</v>
      </c>
      <c r="AL6" s="84">
        <v>1.5E-3</v>
      </c>
      <c r="AM6" s="85">
        <v>0.02</v>
      </c>
      <c r="AN6" s="1901" t="s">
        <v>3076</v>
      </c>
      <c r="AO6" s="55">
        <f ca="1">SUMIF(INDIRECT("'"&amp;AN6&amp;"'"&amp;"!A:A"),"总价",INDIRECT("'"&amp;AN6&amp;"'"&amp;"!B:B"))</f>
        <v>217990</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0.97899999999999998</v>
      </c>
      <c r="H16" s="95">
        <f>ROUND(SUMPRODUCT(H6:H13,K6:K13)/SUMPRODUCT((H6:H13&gt;0)*(K6:K13)),3)</f>
        <v>0.05</v>
      </c>
      <c r="I16" s="96"/>
      <c r="J16" s="96"/>
      <c r="K16" s="97">
        <f>SUM(K6:K15)</f>
        <v>140992.71000000002</v>
      </c>
      <c r="L16" s="98">
        <f>ROUND(M16*10000/SUM(K6:K14),0)</f>
        <v>4000</v>
      </c>
      <c r="M16" s="98">
        <f>SUM(M6:M14)</f>
        <v>56397</v>
      </c>
      <c r="N16" s="99">
        <f>ROUND(SUMPRODUCT(M6:M14,N6:N14)/M16,3)</f>
        <v>0.98</v>
      </c>
      <c r="O16" s="98">
        <f>SUM(O6:O14)</f>
        <v>0</v>
      </c>
      <c r="P16" s="98">
        <f>SUM(P6:P14)</f>
        <v>0</v>
      </c>
      <c r="Q16" s="100">
        <f>ROUND(SUMPRODUCT(Q6:Q13,K6:K13)/SUMPRODUCT((Q6:Q13&gt;0)*(K6:K13)),2)</f>
        <v>0.2</v>
      </c>
      <c r="R16" s="1165">
        <f ca="1">SUM(R6:R13)</f>
        <v>47741.4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83.25">
      <c r="A19" s="1908" t="s">
        <v>1897</v>
      </c>
      <c r="B19" s="108">
        <v>0</v>
      </c>
      <c r="C19" s="3030" t="s">
        <v>3050</v>
      </c>
      <c r="D19" s="2905"/>
      <c r="E19" s="3062" t="s">
        <v>3342</v>
      </c>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105</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105</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1480</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9</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442</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v>9</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5"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339" t="s">
        <v>3031</v>
      </c>
      <c r="B1" s="3340"/>
      <c r="C1" s="3340"/>
      <c r="D1" s="3340"/>
      <c r="E1" s="3340"/>
      <c r="F1" s="3340"/>
      <c r="G1" s="334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140992.71000000002</v>
      </c>
      <c r="C1" s="2915"/>
      <c r="D1" s="2915"/>
      <c r="E1" s="2915"/>
      <c r="F1" s="2915"/>
      <c r="G1" s="2916"/>
      <c r="H1" s="2917"/>
      <c r="I1" s="2917"/>
      <c r="J1" s="2917"/>
      <c r="K1" s="2917"/>
    </row>
    <row r="2" spans="1:11" ht="16.5">
      <c r="A2" s="2738" t="s">
        <v>1319</v>
      </c>
      <c r="B2" s="2738">
        <f>SUM(C14:C23)</f>
        <v>47741.4</v>
      </c>
      <c r="C2" s="2915"/>
      <c r="D2" s="2915"/>
      <c r="E2" s="2915"/>
      <c r="F2" s="2915"/>
      <c r="G2" s="2916"/>
      <c r="H2" s="2917"/>
      <c r="I2" s="2917"/>
      <c r="J2" s="2917"/>
      <c r="K2" s="2917"/>
    </row>
    <row r="3" spans="1:11" ht="16.5">
      <c r="A3" s="2738" t="s">
        <v>1328</v>
      </c>
      <c r="B3" s="2740">
        <f>项目基本情况!D3</f>
        <v>44411</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130545</v>
      </c>
      <c r="C5" s="2738">
        <f ca="1">ROUND(B5*10000/$B$1,0)</f>
        <v>9259</v>
      </c>
      <c r="D5" s="2738">
        <f ca="1">ROUND(B5*10000/$B$2,0)</f>
        <v>27344</v>
      </c>
      <c r="E5" s="2915"/>
      <c r="F5" s="2916"/>
      <c r="G5" s="2916"/>
      <c r="H5" s="2917"/>
      <c r="I5" s="2917"/>
      <c r="J5" s="2917"/>
      <c r="K5" s="2917"/>
    </row>
    <row r="6" spans="1:11" ht="16.5">
      <c r="A6" s="2738" t="s">
        <v>1322</v>
      </c>
      <c r="B6" s="2738">
        <f ca="1">SUM(G14:G23)</f>
        <v>130545</v>
      </c>
      <c r="C6" s="2738">
        <f ca="1">ROUND(B6*10000/$B$1,0)</f>
        <v>9259</v>
      </c>
      <c r="D6" s="2738">
        <f ca="1">ROUND(B6*10000/$B$2,0)</f>
        <v>27344</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 ca="1">SUM(I14:I23)</f>
        <v>117693</v>
      </c>
      <c r="C8" s="2738">
        <f ca="1">ROUND(B8*10000/$B$1,0)</f>
        <v>8347</v>
      </c>
      <c r="D8" s="2738">
        <f ca="1">ROUND(B8*10000/$B$2,0)</f>
        <v>24652</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140992.71000000002</v>
      </c>
      <c r="C14" s="2744">
        <f>结果表!C118</f>
        <v>47741.4</v>
      </c>
      <c r="D14" s="2744">
        <f ca="1">结果表!H118</f>
        <v>130545</v>
      </c>
      <c r="E14" s="2744">
        <f ca="1">ROUND(D14*10000/B14,0)</f>
        <v>9259</v>
      </c>
      <c r="F14" s="2744">
        <f ca="1">ROUND(D14*10000/C14,0)</f>
        <v>27344</v>
      </c>
      <c r="G14" s="2744">
        <f ca="1">结果表!D122</f>
        <v>130545</v>
      </c>
      <c r="H14" s="2744" t="str">
        <f>结果表!D124</f>
        <v>——</v>
      </c>
      <c r="I14" s="2744">
        <f ca="1">结果表!D126</f>
        <v>117693</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94" sqref="K9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375" t="str">
        <f>项目基本情况!S2</f>
        <v>房地产</v>
      </c>
      <c r="B2" s="3376"/>
      <c r="C2" s="3376"/>
      <c r="D2" s="3376"/>
      <c r="E2" s="3376"/>
      <c r="F2" s="3376"/>
      <c r="G2" s="3376"/>
      <c r="H2" s="3376"/>
      <c r="I2" s="3377"/>
    </row>
    <row r="3" spans="1:12" ht="12.75">
      <c r="A3" s="3379" t="s">
        <v>1950</v>
      </c>
      <c r="B3" s="3380"/>
      <c r="C3" s="3380"/>
      <c r="D3" s="3380"/>
      <c r="E3" s="3380"/>
      <c r="F3" s="3380"/>
      <c r="G3" s="3380"/>
      <c r="H3" s="3380"/>
      <c r="I3" s="3380"/>
    </row>
    <row r="4" spans="1:12" ht="14.25">
      <c r="A4" s="1940" t="s">
        <v>1951</v>
      </c>
      <c r="B4" s="1941" t="s">
        <v>1952</v>
      </c>
      <c r="C4" s="1942" t="s">
        <v>3163</v>
      </c>
      <c r="D4" s="1942" t="s">
        <v>3319</v>
      </c>
      <c r="E4" s="3381" t="s">
        <v>1953</v>
      </c>
      <c r="F4" s="3382"/>
      <c r="G4" s="3382"/>
      <c r="H4" s="3382"/>
      <c r="I4" s="338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5" t="s">
        <v>1954</v>
      </c>
      <c r="B5" s="3342">
        <v>25</v>
      </c>
      <c r="C5" s="3358"/>
      <c r="D5" s="3378"/>
      <c r="E5" s="136" t="s">
        <v>1955</v>
      </c>
      <c r="F5" s="1943"/>
      <c r="G5" s="1943"/>
      <c r="H5" s="1943"/>
      <c r="I5" s="1557"/>
    </row>
    <row r="6" spans="1:12" ht="12.75">
      <c r="A6" s="3355"/>
      <c r="B6" s="3342"/>
      <c r="C6" s="3359"/>
      <c r="D6" s="3378"/>
      <c r="E6" s="136" t="s">
        <v>1956</v>
      </c>
      <c r="F6" s="1943"/>
      <c r="G6" s="1943"/>
      <c r="H6" s="1943"/>
      <c r="I6" s="1557"/>
    </row>
    <row r="7" spans="1:12" ht="12.75">
      <c r="A7" s="3355"/>
      <c r="B7" s="3342"/>
      <c r="C7" s="3360"/>
      <c r="D7" s="3378"/>
      <c r="E7" s="136" t="s">
        <v>1957</v>
      </c>
      <c r="F7" s="1943"/>
      <c r="G7" s="1943"/>
      <c r="H7" s="1943"/>
      <c r="I7" s="1557"/>
    </row>
    <row r="8" spans="1:12" ht="12.75">
      <c r="A8" s="3355" t="s">
        <v>1958</v>
      </c>
      <c r="B8" s="3342">
        <v>15</v>
      </c>
      <c r="C8" s="3358"/>
      <c r="D8" s="3378"/>
      <c r="E8" s="136" t="s">
        <v>1959</v>
      </c>
      <c r="F8" s="1943"/>
      <c r="G8" s="1943"/>
      <c r="H8" s="1943"/>
      <c r="I8" s="1557"/>
    </row>
    <row r="9" spans="1:12" ht="12.75">
      <c r="A9" s="3355"/>
      <c r="B9" s="3342"/>
      <c r="C9" s="3360"/>
      <c r="D9" s="3378"/>
      <c r="E9" s="136" t="s">
        <v>1960</v>
      </c>
      <c r="F9" s="1943"/>
      <c r="G9" s="1943"/>
      <c r="H9" s="1943"/>
      <c r="I9" s="1557"/>
    </row>
    <row r="10" spans="1:12" ht="12.75">
      <c r="A10" s="3355" t="s">
        <v>1961</v>
      </c>
      <c r="B10" s="3342">
        <v>15</v>
      </c>
      <c r="C10" s="3358"/>
      <c r="D10" s="3378"/>
      <c r="E10" s="136" t="s">
        <v>1962</v>
      </c>
      <c r="F10" s="1943"/>
      <c r="G10" s="1943"/>
      <c r="H10" s="1943"/>
      <c r="I10" s="1557"/>
    </row>
    <row r="11" spans="1:12" ht="12.75">
      <c r="A11" s="3355"/>
      <c r="B11" s="3342"/>
      <c r="C11" s="3360"/>
      <c r="D11" s="3378"/>
      <c r="E11" s="136" t="s">
        <v>1963</v>
      </c>
      <c r="F11" s="1943"/>
      <c r="G11" s="1943"/>
      <c r="H11" s="1943"/>
      <c r="I11" s="1557"/>
    </row>
    <row r="12" spans="1:12" ht="12.75">
      <c r="A12" s="3355" t="s">
        <v>1964</v>
      </c>
      <c r="B12" s="3342">
        <v>15</v>
      </c>
      <c r="C12" s="3358"/>
      <c r="D12" s="3378"/>
      <c r="E12" s="136" t="s">
        <v>1965</v>
      </c>
      <c r="F12" s="1943"/>
      <c r="G12" s="1943"/>
      <c r="H12" s="1943"/>
      <c r="I12" s="1557"/>
    </row>
    <row r="13" spans="1:12" ht="12.75">
      <c r="A13" s="3355"/>
      <c r="B13" s="3342"/>
      <c r="C13" s="3360"/>
      <c r="D13" s="3378"/>
      <c r="E13" s="136" t="s">
        <v>1966</v>
      </c>
      <c r="F13" s="1943"/>
      <c r="G13" s="1943"/>
      <c r="H13" s="1943"/>
      <c r="I13" s="1557"/>
    </row>
    <row r="14" spans="1:12" ht="12.75">
      <c r="A14" s="3355" t="s">
        <v>1967</v>
      </c>
      <c r="B14" s="3342">
        <v>30</v>
      </c>
      <c r="C14" s="3358">
        <v>5</v>
      </c>
      <c r="D14" s="3378">
        <v>5</v>
      </c>
      <c r="E14" s="136" t="s">
        <v>1968</v>
      </c>
      <c r="F14" s="1943"/>
      <c r="G14" s="1943"/>
      <c r="H14" s="1943"/>
      <c r="I14" s="1557"/>
    </row>
    <row r="15" spans="1:12" ht="12.75">
      <c r="A15" s="3355"/>
      <c r="B15" s="3342"/>
      <c r="C15" s="3359"/>
      <c r="D15" s="3378"/>
      <c r="E15" s="136" t="s">
        <v>1969</v>
      </c>
      <c r="F15" s="1943"/>
      <c r="G15" s="1943"/>
      <c r="H15" s="1943"/>
      <c r="I15" s="1557"/>
    </row>
    <row r="16" spans="1:12" ht="12.75">
      <c r="A16" s="3355"/>
      <c r="B16" s="3342"/>
      <c r="C16" s="3360"/>
      <c r="D16" s="3378"/>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365" t="s">
        <v>2872</v>
      </c>
      <c r="F18" s="3366"/>
      <c r="G18" s="3366"/>
      <c r="H18" s="3366"/>
      <c r="I18" s="3366"/>
      <c r="K18" s="308" t="s">
        <v>1975</v>
      </c>
      <c r="L18" s="308">
        <f>IF(C1="",'数据-汇总表'!E3,SUMIF(项目类型,C1,'数据-汇总表'!E17:E26)+SUMIF(项目类型,C1,'数据-汇总表'!I17:I26))</f>
        <v>140992.71000000002</v>
      </c>
      <c r="M18" s="308">
        <f>IF(C1="",'数据-汇总表'!E3,SUMIF(项目类型,C1,'数据-汇总表'!E17:E26))</f>
        <v>140992.71000000002</v>
      </c>
    </row>
    <row r="19" spans="1:36" ht="15">
      <c r="A19" s="1947" t="s">
        <v>1976</v>
      </c>
      <c r="B19" s="1948" t="s">
        <v>1977</v>
      </c>
      <c r="C19" s="139">
        <f ca="1">SUMIF(INDIRECT("'"&amp;C4&amp;"'"&amp;"!A:A"),结果表!B19,INDIRECT("'"&amp;C4&amp;"'"&amp;"!B:B"))</f>
        <v>123199</v>
      </c>
      <c r="D19" s="140">
        <f ca="1">SUMIF(INDIRECT("'"&amp;D4&amp;"'"&amp;"!A:A"),结果表!B19,INDIRECT("'"&amp;D4&amp;"'"&amp;"!B:B"))</f>
        <v>137890</v>
      </c>
      <c r="E19" s="1947" t="s">
        <v>1978</v>
      </c>
      <c r="F19" s="1948" t="s">
        <v>1977</v>
      </c>
      <c r="G19" s="141">
        <f ca="1">ROUND(C19*$C$18+D19*$D$18,0)</f>
        <v>130545</v>
      </c>
      <c r="H19" s="1949" t="s">
        <v>1979</v>
      </c>
      <c r="I19" s="134"/>
      <c r="K19" s="308" t="s">
        <v>1980</v>
      </c>
      <c r="L19" s="308">
        <f>IF(C1="",'数据-汇总表'!D3,SUMIF(项目类型,C1,'数据-汇总表'!D17:D26)+SUMIF(项目类型,C1,'数据-汇总表'!H17:H27))</f>
        <v>47741.4</v>
      </c>
      <c r="M19" s="308">
        <f>IF(C1="",'数据-汇总表'!D3,SUMIF(项目类型,C1,'数据-汇总表'!D17:D26))</f>
        <v>47741.4</v>
      </c>
    </row>
    <row r="20" spans="1:36" ht="15">
      <c r="A20" s="1950"/>
      <c r="B20" s="1157" t="s">
        <v>1981</v>
      </c>
      <c r="C20" s="142">
        <f ca="1">SUMIF(INDIRECT("'"&amp;C4&amp;"'"&amp;"!A:A"),结果表!B20,INDIRECT("'"&amp;C4&amp;"'"&amp;"!B:B"))</f>
        <v>8738</v>
      </c>
      <c r="D20" s="143">
        <f ca="1">SUMIF(INDIRECT("'"&amp;D4&amp;"'"&amp;"!A:A"),结果表!B20,INDIRECT("'"&amp;D4&amp;"'"&amp;"!B:B"))</f>
        <v>9780</v>
      </c>
      <c r="E20" s="1950"/>
      <c r="F20" s="1157" t="s">
        <v>1981</v>
      </c>
      <c r="G20" s="144">
        <f ca="1">ROUND(C20*$C$18+D20*$D$18,0)</f>
        <v>9259</v>
      </c>
      <c r="H20" s="917" t="s">
        <v>1982</v>
      </c>
      <c r="I20" s="134"/>
    </row>
    <row r="21" spans="1:36" ht="15" customHeight="1" thickBot="1">
      <c r="A21" s="937"/>
      <c r="B21" s="1951" t="s">
        <v>1983</v>
      </c>
      <c r="C21" s="728">
        <f ca="1">ROUND(C19*10000/L19,0)</f>
        <v>25805</v>
      </c>
      <c r="D21" s="729">
        <f ca="1">ROUND(D19*10000/L19,0)</f>
        <v>28883</v>
      </c>
      <c r="E21" s="937"/>
      <c r="F21" s="1951" t="s">
        <v>1983</v>
      </c>
      <c r="G21" s="145">
        <f ca="1">ROUND(G19*10000/L19,0)</f>
        <v>27344</v>
      </c>
      <c r="H21" s="1952" t="s">
        <v>1982</v>
      </c>
      <c r="I21" s="134"/>
    </row>
    <row r="22" spans="1:36" ht="15" thickBot="1">
      <c r="A22" s="1874" t="s">
        <v>1984</v>
      </c>
      <c r="B22" s="1953"/>
      <c r="C22" s="1954"/>
      <c r="D22" s="730">
        <f ca="1">IF(C19&lt;D19,D19/C19-1,C19/D19-1)</f>
        <v>0.11924609777676776</v>
      </c>
      <c r="E22" s="134"/>
      <c r="F22" s="134"/>
      <c r="G22" s="134"/>
      <c r="H22" s="134"/>
      <c r="I22" s="134"/>
    </row>
    <row r="23" spans="1:36" ht="13.5" thickBot="1">
      <c r="A23" s="1933"/>
      <c r="B23" s="1933"/>
      <c r="C23" s="1933"/>
      <c r="D23" s="1933"/>
      <c r="E23" s="134"/>
      <c r="F23" s="134"/>
      <c r="G23" s="134"/>
      <c r="H23" s="134"/>
      <c r="I23" s="134"/>
    </row>
    <row r="24" spans="1:36" ht="14.25">
      <c r="A24" s="3349" t="s">
        <v>1985</v>
      </c>
      <c r="B24" s="1948" t="s">
        <v>1977</v>
      </c>
      <c r="C24" s="141">
        <f>IF(B30=0,0,D30)</f>
        <v>0</v>
      </c>
      <c r="D24" s="1955"/>
      <c r="E24" s="134"/>
      <c r="F24" s="134"/>
      <c r="G24" s="134"/>
      <c r="H24" s="134"/>
      <c r="I24" s="134"/>
    </row>
    <row r="25" spans="1:36" ht="14.25">
      <c r="A25" s="3350"/>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130545</v>
      </c>
      <c r="D32" s="1961" t="s">
        <v>3164</v>
      </c>
      <c r="E32" s="134"/>
      <c r="F32" s="134"/>
      <c r="G32" s="134"/>
      <c r="H32" s="134"/>
      <c r="I32" s="134"/>
    </row>
    <row r="33" spans="1:15" ht="15">
      <c r="A33" s="894" t="s">
        <v>1992</v>
      </c>
      <c r="B33" s="1962"/>
      <c r="C33" s="1963" t="s">
        <v>3165</v>
      </c>
      <c r="D33" s="1964" t="s">
        <v>3163</v>
      </c>
      <c r="E33" s="1965" t="s">
        <v>1993</v>
      </c>
      <c r="F33" s="1966" t="str">
        <f>IF(D32="楼面单价","取值（单价）","取值（总价）")</f>
        <v>取值（总价）</v>
      </c>
      <c r="G33" s="134"/>
      <c r="H33" s="134"/>
      <c r="I33" s="134"/>
    </row>
    <row r="34" spans="1:15" ht="15">
      <c r="A34" s="1967"/>
      <c r="B34" s="1968" t="s">
        <v>1994</v>
      </c>
      <c r="C34" s="153">
        <f ca="1">IF(C33="自定义",F34,C32-C35)</f>
        <v>42297</v>
      </c>
      <c r="D34" s="970">
        <f ca="1">IF(C33="自定义",ROUND(C34/C32,3),IF(C33="收益比率",SUMIF(INDIRECT("'"&amp;D33&amp;"'"&amp;"!b:b"),"土地收益比率",INDIRECT("'"&amp;D33&amp;"'"&amp;"!c:c")),SUMIF(INDIRECT("'"&amp;D33&amp;"'"&amp;"!b:b"),"土地成本比率",INDIRECT("'"&amp;D33&amp;"'"&amp;"!c:c"))))</f>
        <v>0.32399999999999995</v>
      </c>
      <c r="E34" s="1969" t="s">
        <v>1995</v>
      </c>
      <c r="F34" s="1498"/>
      <c r="G34" s="134"/>
      <c r="H34" s="134"/>
      <c r="I34" s="134"/>
    </row>
    <row r="35" spans="1:15" ht="15.75" thickBot="1">
      <c r="A35" s="1970"/>
      <c r="B35" s="1971" t="s">
        <v>1996</v>
      </c>
      <c r="C35" s="1332">
        <f ca="1">IF(C33="自定义",F35,ROUND(C32*D35,0))</f>
        <v>88248</v>
      </c>
      <c r="D35" s="1333">
        <f ca="1">IF(C33="自定义",ROUND(C35/C32,3),IF(C33="收益比率",SUMIF(INDIRECT("'"&amp;D33&amp;"'"&amp;"!b:b"),"建筑物收益比率",INDIRECT("'"&amp;D33&amp;"'"&amp;"!c:c")),SUMIF(INDIRECT("'"&amp;D33&amp;"'"&amp;"!b:b"),"建筑物成本比率",INDIRECT("'"&amp;D33&amp;"'"&amp;"!c:c"))))</f>
        <v>0.67600000000000005</v>
      </c>
      <c r="E35" s="1972" t="s">
        <v>1997</v>
      </c>
      <c r="F35" s="159"/>
      <c r="G35" s="134"/>
      <c r="H35" s="134"/>
      <c r="I35" s="134"/>
    </row>
    <row r="36" spans="1:15" ht="15.75" thickBot="1">
      <c r="A36" s="3369" t="s">
        <v>1998</v>
      </c>
      <c r="B36" s="1973" t="s">
        <v>1999</v>
      </c>
      <c r="C36" s="150"/>
      <c r="D36" s="1974"/>
      <c r="E36" s="1975"/>
      <c r="F36" s="1976"/>
      <c r="G36" s="134"/>
      <c r="H36" s="134"/>
      <c r="I36" s="134"/>
    </row>
    <row r="37" spans="1:15" ht="15.75" thickBot="1">
      <c r="A37" s="3370"/>
      <c r="B37" s="1860" t="s">
        <v>2000</v>
      </c>
      <c r="C37" s="152"/>
      <c r="D37" s="1301"/>
      <c r="E37" s="1301"/>
      <c r="F37" s="1976"/>
      <c r="G37" s="134"/>
      <c r="H37" s="134"/>
      <c r="I37" s="134"/>
    </row>
    <row r="38" spans="1:15" ht="15.75" thickBot="1">
      <c r="A38" s="3371"/>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346" t="s">
        <v>2012</v>
      </c>
      <c r="B45" s="3347"/>
      <c r="C45" s="3348"/>
      <c r="D45" s="160">
        <f ca="1">ROUND(H101*F45,0)</f>
        <v>130545</v>
      </c>
      <c r="E45" s="161" t="s">
        <v>2013</v>
      </c>
      <c r="F45" s="162">
        <v>1</v>
      </c>
      <c r="G45" s="163" t="s">
        <v>2014</v>
      </c>
      <c r="H45" s="134"/>
      <c r="I45" s="134"/>
      <c r="J45" s="3427" t="s">
        <v>2015</v>
      </c>
      <c r="K45" s="3427"/>
      <c r="L45" s="3427"/>
      <c r="M45" s="3427"/>
      <c r="N45" s="3427"/>
      <c r="O45" s="3427"/>
    </row>
    <row r="46" spans="1:15" ht="14.25" customHeight="1">
      <c r="A46" s="3343" t="s">
        <v>2016</v>
      </c>
      <c r="B46" s="3344"/>
      <c r="C46" s="3344"/>
      <c r="D46" s="3344"/>
      <c r="E46" s="3344"/>
      <c r="F46" s="3344"/>
      <c r="G46" s="3345"/>
      <c r="H46" s="1992"/>
      <c r="I46" s="164"/>
      <c r="J46" s="2749">
        <v>1</v>
      </c>
      <c r="K46" s="3408" t="s">
        <v>2017</v>
      </c>
      <c r="L46" s="3408"/>
      <c r="M46" s="3428"/>
      <c r="N46" s="3428"/>
      <c r="O46" s="3428"/>
    </row>
    <row r="47" spans="1:15" ht="12" customHeight="1">
      <c r="A47" s="165" t="s">
        <v>2018</v>
      </c>
      <c r="B47" s="166"/>
      <c r="C47" s="167"/>
      <c r="D47" s="1247" t="s">
        <v>2019</v>
      </c>
      <c r="E47" s="308" t="s">
        <v>2020</v>
      </c>
      <c r="F47" s="168" t="s">
        <v>2021</v>
      </c>
      <c r="G47" s="2772" t="s">
        <v>2022</v>
      </c>
      <c r="H47" s="2773"/>
      <c r="I47" s="164"/>
      <c r="J47" s="2749">
        <v>2</v>
      </c>
      <c r="K47" s="3408" t="s">
        <v>2023</v>
      </c>
      <c r="L47" s="3408"/>
      <c r="M47" s="3429">
        <f>'数据-取费表'!B2</f>
        <v>44411</v>
      </c>
      <c r="N47" s="3429"/>
      <c r="O47" s="3429"/>
    </row>
    <row r="48" spans="1:15" ht="25.5">
      <c r="A48" s="3374" t="s">
        <v>2024</v>
      </c>
      <c r="B48" s="3357"/>
      <c r="C48" s="3357"/>
      <c r="D48" s="2547">
        <f ca="1">IF(H48="情况1",0,IF(H48="情况2",D52,IF(H48="情况3",D53,IF(H48="情况4",D54))))</f>
        <v>6962</v>
      </c>
      <c r="E48" s="2557" t="str">
        <f>IF(H48="情况4","(销售额-原购置价)×税（费）率","销售额×税（费）率")</f>
        <v>销售额×税（费）率</v>
      </c>
      <c r="F48" s="2774">
        <f>IF(H48="情况1","免征",'数据-取费表'!B41)</f>
        <v>5.6000000000000001E-2</v>
      </c>
      <c r="G48" s="2775" t="s">
        <v>2025</v>
      </c>
      <c r="H48" s="2776" t="s">
        <v>3166</v>
      </c>
      <c r="I48" s="1992"/>
      <c r="J48" s="2749">
        <v>3</v>
      </c>
      <c r="K48" s="3408" t="s">
        <v>2026</v>
      </c>
      <c r="L48" s="3408"/>
      <c r="M48" s="3430">
        <f ca="1">H101</f>
        <v>130545</v>
      </c>
      <c r="N48" s="3430"/>
      <c r="O48" s="3430"/>
    </row>
    <row r="49" spans="1:35" ht="25.5" customHeight="1">
      <c r="A49" s="2556" t="s">
        <v>2027</v>
      </c>
      <c r="B49" s="3341" t="s">
        <v>2028</v>
      </c>
      <c r="C49" s="3341"/>
      <c r="D49" s="1775">
        <v>0</v>
      </c>
      <c r="E49" s="330" t="s">
        <v>2029</v>
      </c>
      <c r="F49" s="2650" t="s">
        <v>34</v>
      </c>
      <c r="G49" s="3414"/>
      <c r="H49" s="2528" t="s">
        <v>2875</v>
      </c>
      <c r="I49" s="2529"/>
      <c r="J49" s="2749">
        <v>4</v>
      </c>
      <c r="K49" s="3408" t="str">
        <f>IF(项目基本情况!E8="房地产抵押价值","房地产抵押价值","抵押担保权已注销时的房地产抵押价值")</f>
        <v>房地产抵押价值</v>
      </c>
      <c r="L49" s="3408"/>
      <c r="M49" s="3430">
        <f ca="1">IF(项目基本情况!E8="房地产抵押价值",H107,H109)</f>
        <v>130545</v>
      </c>
      <c r="N49" s="3430"/>
      <c r="O49" s="3430"/>
    </row>
    <row r="50" spans="1:35" ht="25.5" customHeight="1">
      <c r="A50" s="2777"/>
      <c r="B50" s="3341" t="s">
        <v>2030</v>
      </c>
      <c r="C50" s="3341"/>
      <c r="D50" s="2778"/>
      <c r="E50" s="338"/>
      <c r="F50" s="2650"/>
      <c r="G50" s="3415"/>
      <c r="H50" s="2530" t="s">
        <v>2876</v>
      </c>
      <c r="I50" s="2529"/>
      <c r="J50" s="3427" t="s">
        <v>2031</v>
      </c>
      <c r="K50" s="3427"/>
      <c r="L50" s="3427"/>
      <c r="M50" s="3427"/>
      <c r="N50" s="3427"/>
      <c r="O50" s="3427"/>
    </row>
    <row r="51" spans="1:35" ht="20.45" customHeight="1">
      <c r="A51" s="2779"/>
      <c r="B51" s="3341" t="s">
        <v>2032</v>
      </c>
      <c r="C51" s="3341"/>
      <c r="D51" s="1247"/>
      <c r="E51" s="333"/>
      <c r="F51" s="2650"/>
      <c r="G51" s="3416"/>
      <c r="H51" s="2530" t="s">
        <v>2877</v>
      </c>
      <c r="I51" s="2529"/>
      <c r="J51" s="2750" t="s">
        <v>2033</v>
      </c>
      <c r="K51" s="3408" t="s">
        <v>2034</v>
      </c>
      <c r="L51" s="3408"/>
      <c r="M51" s="2750" t="s">
        <v>2035</v>
      </c>
      <c r="N51" s="2750" t="s">
        <v>2036</v>
      </c>
      <c r="O51" s="2750" t="s">
        <v>2037</v>
      </c>
    </row>
    <row r="52" spans="1:35" ht="24" customHeight="1">
      <c r="A52" s="2558" t="s">
        <v>2038</v>
      </c>
      <c r="B52" s="3341" t="s">
        <v>2039</v>
      </c>
      <c r="C52" s="3341"/>
      <c r="D52" s="1247">
        <f ca="1">ROUND(D45*'数据-取费表'!B41/(1+'数据-取费表'!C42),0)</f>
        <v>6962</v>
      </c>
      <c r="E52" s="2557" t="s">
        <v>2040</v>
      </c>
      <c r="F52" s="2780">
        <f>'数据-取费表'!B41</f>
        <v>5.6000000000000001E-2</v>
      </c>
      <c r="G52" s="2781"/>
      <c r="H52" s="2770"/>
      <c r="I52" s="1993"/>
      <c r="J52" s="2749">
        <v>1</v>
      </c>
      <c r="K52" s="3409" t="s">
        <v>2041</v>
      </c>
      <c r="L52" s="3409"/>
      <c r="M52" s="2751">
        <f ca="1">D48</f>
        <v>6962</v>
      </c>
      <c r="N52" s="2749" t="str">
        <f>E48</f>
        <v>销售额×税（费）率</v>
      </c>
      <c r="O52" s="2752">
        <f>F48</f>
        <v>5.6000000000000001E-2</v>
      </c>
    </row>
    <row r="53" spans="1:35" ht="12" customHeight="1">
      <c r="A53" s="2558" t="s">
        <v>2042</v>
      </c>
      <c r="B53" s="3367" t="s">
        <v>3036</v>
      </c>
      <c r="C53" s="3368"/>
      <c r="D53" s="1247">
        <f ca="1">ROUND(D45*'数据-取费表'!B41/(1+'数据-取费表'!C42),0)</f>
        <v>6962</v>
      </c>
      <c r="E53" s="2557" t="s">
        <v>2040</v>
      </c>
      <c r="F53" s="2780">
        <f>'数据-取费表'!B41</f>
        <v>5.6000000000000001E-2</v>
      </c>
      <c r="G53" s="2781"/>
      <c r="H53" s="2770"/>
      <c r="I53" s="1993"/>
      <c r="J53" s="2749">
        <v>2</v>
      </c>
      <c r="K53" s="3409" t="s">
        <v>2043</v>
      </c>
      <c r="L53" s="3409"/>
      <c r="M53" s="2751">
        <f t="shared" ref="M53:O54" ca="1" si="0">D55</f>
        <v>65</v>
      </c>
      <c r="N53" s="2749" t="str">
        <f t="shared" si="0"/>
        <v>销售额×税（费）率</v>
      </c>
      <c r="O53" s="2752">
        <f t="shared" si="0"/>
        <v>5.0000000000000001E-4</v>
      </c>
    </row>
    <row r="54" spans="1:35" ht="12" customHeight="1">
      <c r="A54" s="2558" t="s">
        <v>2044</v>
      </c>
      <c r="B54" s="3367" t="s">
        <v>3037</v>
      </c>
      <c r="C54" s="3368"/>
      <c r="D54" s="1247">
        <f ca="1">C68</f>
        <v>6962</v>
      </c>
      <c r="E54" s="333" t="s">
        <v>2045</v>
      </c>
      <c r="F54" s="2780">
        <f>'数据-取费表'!B41</f>
        <v>5.6000000000000001E-2</v>
      </c>
      <c r="G54" s="2781"/>
      <c r="H54" s="2782"/>
      <c r="I54" s="1993"/>
      <c r="J54" s="2749">
        <v>3</v>
      </c>
      <c r="K54" s="3409" t="s">
        <v>2046</v>
      </c>
      <c r="L54" s="3409"/>
      <c r="M54" s="2751">
        <f t="shared" ca="1" si="0"/>
        <v>5825</v>
      </c>
      <c r="N54" s="2749" t="str">
        <f t="shared" si="0"/>
        <v>增值额×税（费）率</v>
      </c>
      <c r="O54" s="2753" t="str">
        <f t="shared" si="0"/>
        <v>——</v>
      </c>
    </row>
    <row r="55" spans="1:35" ht="24" customHeight="1">
      <c r="A55" s="3356" t="s">
        <v>2047</v>
      </c>
      <c r="B55" s="3357"/>
      <c r="C55" s="3357"/>
      <c r="D55" s="2547">
        <f ca="1">IF(H55="个人住宅",0,ROUND(D45*I55,0))</f>
        <v>65</v>
      </c>
      <c r="E55" s="2557" t="s">
        <v>2048</v>
      </c>
      <c r="F55" s="2780">
        <f>IF(H55="正常",I55,"免征")</f>
        <v>5.0000000000000001E-4</v>
      </c>
      <c r="G55" s="2781"/>
      <c r="H55" s="2776" t="s">
        <v>3150</v>
      </c>
      <c r="I55" s="170">
        <f>'数据-取费表'!B49</f>
        <v>5.0000000000000001E-4</v>
      </c>
      <c r="J55" s="2749" t="str">
        <f>IF(H59="非个人房产","",4)</f>
        <v/>
      </c>
      <c r="K55" s="3409" t="str">
        <f>IF(H59="非个人房产","——","个人所得税")</f>
        <v>——</v>
      </c>
      <c r="L55" s="3409"/>
      <c r="M55" s="2754" t="str">
        <f>D59</f>
        <v>——</v>
      </c>
      <c r="N55" s="2228" t="str">
        <f>E59</f>
        <v>——</v>
      </c>
      <c r="O55" s="2755" t="str">
        <f>F59</f>
        <v>——</v>
      </c>
    </row>
    <row r="56" spans="1:35" ht="24.75">
      <c r="A56" s="3356" t="s">
        <v>2049</v>
      </c>
      <c r="B56" s="3357"/>
      <c r="C56" s="3357"/>
      <c r="D56" s="2547">
        <f ca="1">IF(H56="个人住宅",D57,D58)</f>
        <v>5825</v>
      </c>
      <c r="E56" s="2557" t="s">
        <v>2050</v>
      </c>
      <c r="F56" s="2780" t="str">
        <f>IF(H56="正常",F58,"免征")</f>
        <v>——</v>
      </c>
      <c r="G56" s="2783" t="s">
        <v>2051</v>
      </c>
      <c r="H56" s="2784" t="s">
        <v>3150</v>
      </c>
      <c r="I56" s="1994"/>
      <c r="J56" s="2749" t="str">
        <f>IF(项目基本情况!K6="上海银行",IF(J55="",4,J55+1),"")</f>
        <v/>
      </c>
      <c r="K56" s="3432" t="str">
        <f>IF(项目基本情况!K6="上海银行","其他处置费用","")</f>
        <v/>
      </c>
      <c r="L56" s="3433"/>
      <c r="M56" s="2751" t="str">
        <f>IF(项目基本情况!K6="上海银行",M69,"")</f>
        <v/>
      </c>
      <c r="N56" s="3432" t="str">
        <f>IF(项目基本情况!K6="上海银行","包含处置中涉及的律师、诉讼、拍卖、评估等费用","")</f>
        <v/>
      </c>
      <c r="O56" s="3435"/>
    </row>
    <row r="57" spans="1:35" ht="12.75">
      <c r="A57" s="2558" t="s">
        <v>2027</v>
      </c>
      <c r="B57" s="3367" t="s">
        <v>2052</v>
      </c>
      <c r="C57" s="3368"/>
      <c r="D57" s="1775">
        <v>0</v>
      </c>
      <c r="E57" s="330" t="s">
        <v>2029</v>
      </c>
      <c r="F57" s="308"/>
      <c r="G57" s="2781"/>
      <c r="H57" s="2785"/>
      <c r="I57" s="1994"/>
      <c r="J57" s="3409">
        <f>IF(AND(J55="",J56=""),4,IF(项目基本情况!K6="上海银行",结果表!J56+1,结果表!J55+1))</f>
        <v>4</v>
      </c>
      <c r="K57" s="3409" t="s">
        <v>2053</v>
      </c>
      <c r="L57" s="2756" t="s">
        <v>2054</v>
      </c>
      <c r="M57" s="2757"/>
      <c r="N57" s="2758">
        <f ca="1">SUMIF(M52:M56,"&lt;9e307")</f>
        <v>12852</v>
      </c>
      <c r="O57" s="2759"/>
      <c r="P57" s="2919">
        <f ca="1">N57/M49</f>
        <v>9.8448810754912103E-2</v>
      </c>
    </row>
    <row r="58" spans="1:35" ht="24.75">
      <c r="A58" s="2558" t="s">
        <v>2038</v>
      </c>
      <c r="B58" s="3367" t="s">
        <v>2055</v>
      </c>
      <c r="C58" s="3341"/>
      <c r="D58" s="2547">
        <f ca="1">IF(H58="转让取得",C81,C97)</f>
        <v>5825</v>
      </c>
      <c r="E58" s="2557" t="s">
        <v>2050</v>
      </c>
      <c r="F58" s="308" t="s">
        <v>34</v>
      </c>
      <c r="G58" s="2781"/>
      <c r="H58" s="2784" t="s">
        <v>3167</v>
      </c>
      <c r="I58" s="1994"/>
      <c r="J58" s="3409"/>
      <c r="K58" s="3409"/>
      <c r="L58" s="2756" t="s">
        <v>2056</v>
      </c>
      <c r="M58" s="2760"/>
      <c r="N58" s="2761" t="str">
        <f ca="1">NUMBERSTRING(INT(N57*10000),2)&amp;"元整"</f>
        <v>壹亿贰仟捌佰伍拾贰万元整</v>
      </c>
      <c r="O58" s="2762"/>
    </row>
    <row r="59" spans="1:35" ht="24.75" thickBot="1">
      <c r="A59" s="3412" t="s">
        <v>2057</v>
      </c>
      <c r="B59" s="3413"/>
      <c r="C59" s="3413"/>
      <c r="D59" s="2786" t="str">
        <f>IF(H59="非个人房产","——",IF(H59="个人住宅（满五唯一有凭证）",0,IF(H59="个人其他（无凭证）",ROUND(D45*F59,0),ROUND(C67*F59,0))))</f>
        <v>——</v>
      </c>
      <c r="E59" s="2787" t="str">
        <f>IF(H59="非个人房产","——",IF(H59="个人其他（无凭证）","销售额×税（费）率",IF(H59="个人住宅（满五唯一有凭证）","免征","差额计税")))</f>
        <v>——</v>
      </c>
      <c r="F59" s="2788" t="str">
        <f>IF(OR(H59="非个人房产",H59="个人住宅（满五唯一有凭证）"),"——",IF(H59="个人其他（有凭证）",20%,1%))</f>
        <v>——</v>
      </c>
      <c r="G59" s="2789" t="s">
        <v>2051</v>
      </c>
      <c r="H59" s="2532" t="s">
        <v>3168</v>
      </c>
      <c r="I59" s="2531" t="s">
        <v>2878</v>
      </c>
      <c r="J59" s="3410">
        <f>J57+1</f>
        <v>5</v>
      </c>
      <c r="K59" s="3409" t="s">
        <v>2058</v>
      </c>
      <c r="L59" s="2749" t="s">
        <v>2054</v>
      </c>
      <c r="M59" s="2763"/>
      <c r="N59" s="2764">
        <f ca="1">M49-N57</f>
        <v>117693</v>
      </c>
      <c r="O59" s="2765"/>
    </row>
    <row r="60" spans="1:35" ht="12" customHeight="1">
      <c r="A60" s="1995"/>
      <c r="B60" s="1933"/>
      <c r="C60" s="1933"/>
      <c r="D60" s="1933"/>
      <c r="E60" s="1763"/>
      <c r="F60" s="1994"/>
      <c r="G60" s="1994"/>
      <c r="H60" s="1996"/>
      <c r="I60" s="134"/>
      <c r="J60" s="3411"/>
      <c r="K60" s="3409"/>
      <c r="L60" s="2756" t="s">
        <v>2056</v>
      </c>
      <c r="M60" s="2760"/>
      <c r="N60" s="2761" t="str">
        <f ca="1">NUMBERSTRING(INT(N59*10000),2)&amp;"元整"</f>
        <v>壹拾壹亿柒仟陆佰玖拾叁万元整</v>
      </c>
      <c r="O60" s="2762"/>
    </row>
    <row r="61" spans="1:35" ht="13.5" thickBot="1">
      <c r="A61" s="3354" t="s">
        <v>2059</v>
      </c>
      <c r="B61" s="3354"/>
      <c r="C61" s="3354"/>
      <c r="D61" s="3354"/>
      <c r="E61" s="3354"/>
      <c r="F61" s="1994"/>
      <c r="G61" s="1994"/>
      <c r="H61" s="1996"/>
      <c r="I61" s="134"/>
      <c r="J61" s="2749">
        <f>J59+1</f>
        <v>6</v>
      </c>
      <c r="K61" s="3409" t="s">
        <v>2060</v>
      </c>
      <c r="L61" s="3409"/>
      <c r="M61" s="2766"/>
      <c r="N61" s="2767">
        <f ca="1">ROUND(N59*10000/'数据-汇总表'!E3,0)</f>
        <v>8347</v>
      </c>
      <c r="O61" s="2768"/>
    </row>
    <row r="62" spans="1:35" ht="12.75" hidden="1">
      <c r="A62" s="3372" t="s">
        <v>2061</v>
      </c>
      <c r="B62" s="3373"/>
      <c r="C62" s="2209"/>
      <c r="D62" s="2209" t="s">
        <v>2062</v>
      </c>
      <c r="E62" s="171" t="s">
        <v>2063</v>
      </c>
      <c r="F62" s="1994"/>
      <c r="G62" s="1994"/>
      <c r="H62" s="1996"/>
      <c r="I62" s="134"/>
    </row>
    <row r="63" spans="1:35" ht="12.75" hidden="1">
      <c r="A63" s="178" t="s">
        <v>775</v>
      </c>
      <c r="B63" s="172" t="s">
        <v>2064</v>
      </c>
      <c r="C63" s="2790">
        <f ca="1">ROUND((C64+C65)/(1+'数据-取费表'!C42),0)</f>
        <v>124329</v>
      </c>
      <c r="D63" s="172"/>
      <c r="E63" s="173"/>
      <c r="F63" s="1994"/>
      <c r="G63" s="1994"/>
      <c r="H63" s="1996"/>
      <c r="I63" s="134"/>
      <c r="J63" s="3434" t="s">
        <v>2065</v>
      </c>
      <c r="K63" s="1501" t="s">
        <v>2066</v>
      </c>
      <c r="L63" s="1501">
        <f ca="1">IF(M49&gt;10000,M49*0.5%,IF(AND(M49&gt;1000,M49&lt;=10000),M49*1%,IF(AND(M49&gt;100,M49&lt;=1000),M49*3%,IF(AND(M49&gt;10,M49&lt;=100),M49*5%,M49*8%))))</f>
        <v>652.72500000000002</v>
      </c>
      <c r="M63" s="308">
        <f ca="1">ROUND(L63,1)</f>
        <v>652.70000000000005</v>
      </c>
      <c r="N63" s="2769"/>
      <c r="Z63" s="1938"/>
      <c r="AI63" s="1939"/>
    </row>
    <row r="64" spans="1:35" ht="14.25" hidden="1" customHeight="1">
      <c r="A64" s="174" t="s">
        <v>770</v>
      </c>
      <c r="B64" s="175" t="s">
        <v>2067</v>
      </c>
      <c r="C64" s="2791">
        <f ca="1">D45</f>
        <v>130545</v>
      </c>
      <c r="D64" s="175" t="s">
        <v>32</v>
      </c>
      <c r="E64" s="177"/>
      <c r="F64" s="1994"/>
      <c r="G64" s="1994"/>
      <c r="H64" s="1996"/>
      <c r="I64" s="134"/>
      <c r="J64" s="3434"/>
      <c r="K64" s="1501" t="s">
        <v>2068</v>
      </c>
      <c r="L64" s="1501">
        <f ca="1">IF(M49&gt;2000,M49*0.5%,IF(AND(M49&gt;1000,M49&lt;=2000),M49*0.6%,IF(AND(M49&gt;500,M49&lt;=1000),M49*0.7%,IF(AND(M49&gt;200,M49&lt;=500),M49*0.8%,IF(AND(M49&gt;100,M49&lt;=200),M49*0.9%,IF(AND(M49&gt;50,M49&lt;=100),M49*1%,IF(AND(M49&gt;20,M49&lt;=50),M49*1.5%,IF(AND(M49&gt;10,M49&lt;=20),M49*2%,IF(AND(M49&gt;1,M49&lt;=10),M49*2.5%)))))))))</f>
        <v>652.72500000000002</v>
      </c>
      <c r="M64" s="308">
        <f t="shared" ref="M64:M65" ca="1" si="1">ROUND(L64,1)</f>
        <v>652.70000000000005</v>
      </c>
      <c r="N64" s="2770" t="s">
        <v>2069</v>
      </c>
      <c r="Z64" s="1938"/>
      <c r="AI64" s="1939"/>
    </row>
    <row r="65" spans="1:35" ht="14.25" hidden="1" customHeight="1">
      <c r="A65" s="174" t="s">
        <v>771</v>
      </c>
      <c r="B65" s="175" t="s">
        <v>2070</v>
      </c>
      <c r="C65" s="2792"/>
      <c r="D65" s="175"/>
      <c r="E65" s="177"/>
      <c r="F65" s="1994"/>
      <c r="G65" s="1994"/>
      <c r="H65" s="1996"/>
      <c r="I65" s="134"/>
      <c r="J65" s="3434"/>
      <c r="K65" s="1501" t="s">
        <v>2071</v>
      </c>
      <c r="L65" s="1501">
        <f ca="1">IF(M49&gt;1000,M49*0.1%,IF(AND(M49&gt;500,M49&lt;=1000),M49*0.5%,IF(AND(M49&gt;50,M49&lt;=500),M49*1%,IF(AND(M49&gt;1,M49&lt;=50),M49*1.5%))))</f>
        <v>130.54500000000002</v>
      </c>
      <c r="M65" s="308">
        <f t="shared" ca="1" si="1"/>
        <v>130.5</v>
      </c>
      <c r="N65" s="2770" t="s">
        <v>2069</v>
      </c>
      <c r="Z65" s="1938"/>
      <c r="AI65" s="1939"/>
    </row>
    <row r="66" spans="1:35" ht="14.25" hidden="1" customHeight="1">
      <c r="A66" s="178" t="s">
        <v>772</v>
      </c>
      <c r="B66" s="179" t="s">
        <v>2072</v>
      </c>
      <c r="C66" s="2793"/>
      <c r="D66" s="179" t="s">
        <v>32</v>
      </c>
      <c r="E66" s="1509" t="s">
        <v>1337</v>
      </c>
      <c r="F66" s="1994"/>
      <c r="G66" s="1994"/>
      <c r="H66" s="1996"/>
      <c r="I66" s="134"/>
      <c r="J66" s="3434"/>
      <c r="K66" s="1501" t="s">
        <v>2073</v>
      </c>
      <c r="L66" s="1501">
        <f ca="1">M49*0.5%</f>
        <v>652.72500000000002</v>
      </c>
      <c r="M66" s="308">
        <f ca="1">IF(L66&gt;0.5,0.5,ROUND(L66,0))</f>
        <v>0.5</v>
      </c>
      <c r="N66" s="2770" t="s">
        <v>2074</v>
      </c>
      <c r="Z66" s="1938"/>
      <c r="AI66" s="1939"/>
    </row>
    <row r="67" spans="1:35" ht="14.25" hidden="1" customHeight="1">
      <c r="A67" s="178" t="s">
        <v>773</v>
      </c>
      <c r="B67" s="179" t="s">
        <v>2075</v>
      </c>
      <c r="C67" s="2794">
        <f ca="1">C63-C66</f>
        <v>124329</v>
      </c>
      <c r="D67" s="175" t="s">
        <v>32</v>
      </c>
      <c r="E67" s="177"/>
      <c r="F67" s="1994"/>
      <c r="G67" s="1994"/>
      <c r="H67" s="1996"/>
      <c r="I67" s="134"/>
      <c r="J67" s="3434"/>
      <c r="K67" s="1501" t="s">
        <v>2076</v>
      </c>
      <c r="L67" s="1501">
        <f ca="1">IF(M49&gt;=10000,(8.25+(M49-10000)*0.01%),IF(AND(M49&gt;=8000,M49&lt;10000),(7.85+(M49-8000)*0.02%),IF(AND(M49&gt;=5000,M49&lt;8000),(6.65+(M49-5000)*0.04%),IF(AND(M49&gt;=2000,M49&lt;5000),(4.25+(PM49-2000)*0.08%),IF(AND(M49&gt;=1000,M49&lt;2000),(2.75+(M49-1000)*0.15%),IF(AND(M49&gt;=100,M49&lt;1000),(0.5+(M49-100)*0.25%),IF(AND(M49&gt;0,M49&lt;100),M49*0.5%)))))))</f>
        <v>20.304500000000001</v>
      </c>
      <c r="M67" s="308">
        <f ca="1">ROUND(L67*0.9,1)</f>
        <v>18.3</v>
      </c>
      <c r="N67" s="2769"/>
      <c r="Z67" s="1938"/>
      <c r="AI67" s="1939"/>
    </row>
    <row r="68" spans="1:35" ht="14.25" hidden="1" customHeight="1" thickBot="1">
      <c r="A68" s="181" t="s">
        <v>774</v>
      </c>
      <c r="B68" s="182" t="s">
        <v>2077</v>
      </c>
      <c r="C68" s="2795">
        <f ca="1">IF(C67&lt;=0,0,ROUND(C67*D68,0))</f>
        <v>6962</v>
      </c>
      <c r="D68" s="2796">
        <f>'数据-取费表'!B41</f>
        <v>5.6000000000000001E-2</v>
      </c>
      <c r="E68" s="184"/>
      <c r="F68" s="1994"/>
      <c r="G68" s="1994"/>
      <c r="H68" s="1996"/>
      <c r="I68" s="134"/>
      <c r="J68" s="3434"/>
      <c r="K68" s="1501" t="s">
        <v>2078</v>
      </c>
      <c r="L68" s="1501">
        <f ca="1">IF(M49&gt;10000,M49*0.5%,IF(AND(M49&gt;5000,M49&lt;=10000),M49*1%,IF(AND(M49&gt;1000,M49&lt;=5000),M49*2%,IF(AND(M49&gt;200,M49&lt;=1000),M49*3%,M49*5%))))</f>
        <v>652.72500000000002</v>
      </c>
      <c r="M68" s="308">
        <f ca="1">ROUND(L68,1)</f>
        <v>652.70000000000005</v>
      </c>
      <c r="N68" s="2769"/>
      <c r="Z68" s="1938"/>
      <c r="AI68" s="1939"/>
    </row>
    <row r="69" spans="1:35" s="1958" customFormat="1" ht="16.5" hidden="1" customHeight="1">
      <c r="A69" s="1997"/>
      <c r="B69" s="1998"/>
      <c r="C69" s="1999"/>
      <c r="D69" s="2000"/>
      <c r="E69" s="2001"/>
      <c r="F69" s="1763"/>
      <c r="G69" s="1763"/>
      <c r="H69" s="1762"/>
      <c r="I69" s="1933"/>
      <c r="J69" s="3434"/>
      <c r="K69" s="1501" t="s">
        <v>2079</v>
      </c>
      <c r="L69" s="1501"/>
      <c r="M69" s="308">
        <f ca="1">ROUND(SUM(M63:M68),0)</f>
        <v>2107</v>
      </c>
      <c r="N69" s="2771">
        <f ca="1">M69/M49</f>
        <v>1.6140028342717071E-2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hidden="1" thickBot="1">
      <c r="A70" s="3393" t="s">
        <v>2080</v>
      </c>
      <c r="B70" s="3394"/>
      <c r="C70" s="3394"/>
      <c r="D70" s="3394"/>
      <c r="E70" s="3394"/>
      <c r="F70" s="3394"/>
      <c r="G70" s="3394"/>
      <c r="H70" s="3394"/>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hidden="1">
      <c r="A71" s="3372" t="s">
        <v>2061</v>
      </c>
      <c r="B71" s="3373"/>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hidden="1">
      <c r="A72" s="178" t="s">
        <v>775</v>
      </c>
      <c r="B72" s="179" t="s">
        <v>2081</v>
      </c>
      <c r="C72" s="2794">
        <f ca="1">ROUND(D45/(1+'数据-取费表'!C42),0)</f>
        <v>124329</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hidden="1">
      <c r="A73" s="178" t="s">
        <v>772</v>
      </c>
      <c r="B73" s="168" t="s">
        <v>2082</v>
      </c>
      <c r="C73" s="2794">
        <f ca="1">C74+C78</f>
        <v>746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hidden="1">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hidden="1">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hidden="1" customHeight="1">
      <c r="A76" s="174" t="s">
        <v>777</v>
      </c>
      <c r="B76" s="191" t="s">
        <v>2087</v>
      </c>
      <c r="C76" s="175">
        <f>IF(F75="购房发票",ROUND(C75*H75*D76,0),0)</f>
        <v>0</v>
      </c>
      <c r="D76" s="2800">
        <v>0.05</v>
      </c>
      <c r="E76" s="3367" t="s">
        <v>2088</v>
      </c>
      <c r="F76" s="3341"/>
      <c r="G76" s="3341"/>
      <c r="H76" s="3392"/>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hidden="1"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hidden="1" customHeight="1">
      <c r="A78" s="174" t="s">
        <v>771</v>
      </c>
      <c r="B78" s="175" t="s">
        <v>2091</v>
      </c>
      <c r="C78" s="2802">
        <f ca="1">ROUND(D45*D78/(1+'数据-取费表'!C42),0)</f>
        <v>746</v>
      </c>
      <c r="D78" s="2803">
        <f>'数据-取费表'!B43</f>
        <v>6.000000000000001E-3</v>
      </c>
      <c r="E78" s="3351" t="s">
        <v>2092</v>
      </c>
      <c r="F78" s="3352"/>
      <c r="G78" s="3352"/>
      <c r="H78" s="336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hidden="1">
      <c r="A79" s="178" t="s">
        <v>779</v>
      </c>
      <c r="B79" s="179" t="s">
        <v>2093</v>
      </c>
      <c r="C79" s="2794">
        <f ca="1">C72-C73</f>
        <v>123583</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hidden="1">
      <c r="A80" s="178" t="s">
        <v>780</v>
      </c>
      <c r="B80" s="179" t="s">
        <v>2094</v>
      </c>
      <c r="C80" s="2804">
        <f ca="1">IF(C79&lt;=0,0,C79/C73)</f>
        <v>165.66085790884719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hidden="1" thickBot="1">
      <c r="A81" s="181" t="s">
        <v>781</v>
      </c>
      <c r="B81" s="182" t="s">
        <v>2095</v>
      </c>
      <c r="C81" s="2805">
        <f ca="1">ROUND(IF(C79&lt;=0,0,IF(C80&gt;=200%,C79*60%-C73*35%,IF(C80&gt;=100%,C79*50%-C73*15%,IF(C80&gt;=50%,C79*40%-C73*5%,IF(C80&lt;50%,C79*30%,0))))),0)</f>
        <v>73889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hidden="1"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393" t="s">
        <v>2096</v>
      </c>
      <c r="B83" s="3394"/>
      <c r="C83" s="3394"/>
      <c r="D83" s="3394"/>
      <c r="E83" s="3394"/>
      <c r="F83" s="3394"/>
      <c r="G83" s="3394"/>
      <c r="H83" s="3394"/>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372" t="s">
        <v>2061</v>
      </c>
      <c r="B84" s="337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124329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104911</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23624</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v>22925</v>
      </c>
      <c r="D88" s="2803"/>
      <c r="E88" s="199" t="s">
        <v>2099</v>
      </c>
      <c r="F88" s="2550"/>
      <c r="G88" s="200" t="s">
        <v>2100</v>
      </c>
      <c r="H88" s="2010" t="s">
        <v>3169</v>
      </c>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699</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436" t="s">
        <v>2870</v>
      </c>
      <c r="H90" s="3437"/>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56503</v>
      </c>
      <c r="D91" s="2803"/>
      <c r="E91" s="3351" t="s">
        <v>2105</v>
      </c>
      <c r="F91" s="3352"/>
      <c r="G91" s="3352"/>
      <c r="H91" s="2011" t="s">
        <v>3332</v>
      </c>
      <c r="I91" s="2012">
        <v>56503</v>
      </c>
      <c r="J91" s="3610" t="s">
        <v>3344</v>
      </c>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8013</v>
      </c>
      <c r="D92" s="2809">
        <v>0.1</v>
      </c>
      <c r="E92" s="3351" t="s">
        <v>2108</v>
      </c>
      <c r="F92" s="3352"/>
      <c r="G92" s="3352"/>
      <c r="H92" s="3361"/>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746</v>
      </c>
      <c r="D93" s="2803">
        <f>'数据-取费表'!B43</f>
        <v>6.000000000000001E-3</v>
      </c>
      <c r="E93" s="3351" t="s">
        <v>2092</v>
      </c>
      <c r="F93" s="3352"/>
      <c r="G93" s="3352"/>
      <c r="H93" s="336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16025</v>
      </c>
      <c r="D94" s="2803">
        <v>0.2</v>
      </c>
      <c r="E94" s="3362" t="s">
        <v>2112</v>
      </c>
      <c r="F94" s="3363"/>
      <c r="G94" s="3363"/>
      <c r="H94" s="336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19418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0.18509021932876438</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5825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335" t="s">
        <v>2114</v>
      </c>
      <c r="B100" s="3336"/>
      <c r="C100" s="3336"/>
      <c r="D100" s="3353"/>
      <c r="E100" s="3336" t="s">
        <v>2115</v>
      </c>
      <c r="F100" s="3336"/>
      <c r="G100" s="3336"/>
      <c r="H100" s="3353"/>
      <c r="I100" s="134"/>
    </row>
    <row r="101" spans="1:35" ht="18.75" customHeight="1">
      <c r="A101" s="3417" t="s">
        <v>2116</v>
      </c>
      <c r="B101" s="3418"/>
      <c r="C101" s="2811" t="str">
        <f>C4</f>
        <v>成本法</v>
      </c>
      <c r="D101" s="2812" t="str">
        <f>D4</f>
        <v>收益法-经营</v>
      </c>
      <c r="E101" s="3431" t="s">
        <v>2117</v>
      </c>
      <c r="F101" s="3385"/>
      <c r="G101" s="2013" t="s">
        <v>2118</v>
      </c>
      <c r="H101" s="2821">
        <f ca="1">H118</f>
        <v>130545</v>
      </c>
      <c r="I101" s="134"/>
    </row>
    <row r="102" spans="1:35" ht="18.75" customHeight="1">
      <c r="A102" s="3387" t="s">
        <v>2119</v>
      </c>
      <c r="B102" s="2810" t="s">
        <v>2118</v>
      </c>
      <c r="C102" s="2811">
        <f ca="1">C19</f>
        <v>123199</v>
      </c>
      <c r="D102" s="2812">
        <f ca="1">D19</f>
        <v>137890</v>
      </c>
      <c r="E102" s="3431"/>
      <c r="F102" s="3385"/>
      <c r="G102" s="2013" t="s">
        <v>2120</v>
      </c>
      <c r="H102" s="2781">
        <f ca="1">I118</f>
        <v>9259</v>
      </c>
      <c r="I102" s="134"/>
    </row>
    <row r="103" spans="1:35" ht="42.75" customHeight="1">
      <c r="A103" s="3387"/>
      <c r="B103" s="2810" t="s">
        <v>2120</v>
      </c>
      <c r="C103" s="2813">
        <f ca="1">C20</f>
        <v>8738</v>
      </c>
      <c r="D103" s="2814">
        <f ca="1">D20</f>
        <v>9780</v>
      </c>
      <c r="E103" s="3425" t="s">
        <v>2121</v>
      </c>
      <c r="F103" s="3426"/>
      <c r="G103" s="2014" t="s">
        <v>2122</v>
      </c>
      <c r="H103" s="2821">
        <f>IF(D36="正常操作",H104+H105+H106,H105+H106)</f>
        <v>0</v>
      </c>
      <c r="I103" s="134"/>
    </row>
    <row r="104" spans="1:35" ht="18.75" customHeight="1">
      <c r="A104" s="3387" t="s">
        <v>2123</v>
      </c>
      <c r="B104" s="2815" t="s">
        <v>2118</v>
      </c>
      <c r="C104" s="2816">
        <f ca="1">H118</f>
        <v>130545</v>
      </c>
      <c r="D104" s="2817"/>
      <c r="E104" s="1860" t="s">
        <v>2124</v>
      </c>
      <c r="F104" s="1851"/>
      <c r="G104" s="2014" t="s">
        <v>2122</v>
      </c>
      <c r="H104" s="2822">
        <f>IF(D36="同一抵押权人同一抵押物续贷",C36&amp;"（续贷，未扣减，详见特别提示）",C36)</f>
        <v>0</v>
      </c>
      <c r="I104" s="134"/>
    </row>
    <row r="105" spans="1:35" ht="18.75" customHeight="1" thickBot="1">
      <c r="A105" s="3388"/>
      <c r="B105" s="2818" t="s">
        <v>2120</v>
      </c>
      <c r="C105" s="2819">
        <f ca="1">I118</f>
        <v>9259</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384" t="str">
        <f>IF(项目基本情况!E8="已注销","——","3.房地产抵押价值")</f>
        <v>3.房地产抵押价值</v>
      </c>
      <c r="F107" s="3385"/>
      <c r="G107" s="2013" t="s">
        <v>2118</v>
      </c>
      <c r="H107" s="2821">
        <f ca="1">IF(E107="——","——",H101-H103)</f>
        <v>130545</v>
      </c>
      <c r="I107" s="134"/>
    </row>
    <row r="108" spans="1:35" ht="18.75" customHeight="1">
      <c r="A108" s="134"/>
      <c r="B108" s="134"/>
      <c r="C108" s="134"/>
      <c r="D108" s="134"/>
      <c r="E108" s="3384"/>
      <c r="F108" s="3385"/>
      <c r="G108" s="2013" t="s">
        <v>2120</v>
      </c>
      <c r="H108" s="2781">
        <f ca="1">ROUND(H107*10000/'数据-汇总表'!E3,0)</f>
        <v>9259</v>
      </c>
      <c r="I108" s="134"/>
    </row>
    <row r="109" spans="1:35" ht="18.75" customHeight="1">
      <c r="A109" s="134"/>
      <c r="B109" s="134"/>
      <c r="C109" s="134"/>
      <c r="D109" s="134"/>
      <c r="E109" s="3384" t="str">
        <f>IF(项目基本情况!E8="已注销及未注销","4.抵押担保权已注销时的房地产抵押价值",IF(项目基本情况!E8="已注销","3.抵押担保权已注销时的房地产抵押价值","——"))</f>
        <v>——</v>
      </c>
      <c r="F109" s="3385"/>
      <c r="G109" s="2013" t="s">
        <v>2118</v>
      </c>
      <c r="H109" s="2824" t="str">
        <f>IF(E109="——","——",H101-H105-H106)</f>
        <v>——</v>
      </c>
      <c r="I109" s="134"/>
    </row>
    <row r="110" spans="1:35" ht="18.75" customHeight="1">
      <c r="A110" s="134"/>
      <c r="B110" s="134"/>
      <c r="C110" s="134"/>
      <c r="D110" s="134"/>
      <c r="E110" s="3384"/>
      <c r="F110" s="3385"/>
      <c r="G110" s="2013" t="s">
        <v>2120</v>
      </c>
      <c r="H110" s="2781" t="str">
        <f>IF(H109="——","——",ROUND(H109*10000/'数据-汇总表'!E3,0))</f>
        <v>——</v>
      </c>
      <c r="I110" s="134"/>
    </row>
    <row r="111" spans="1:35" ht="18.75" customHeight="1">
      <c r="A111" s="134"/>
      <c r="B111" s="134"/>
      <c r="C111" s="134"/>
      <c r="D111" s="134"/>
      <c r="E111" s="3419" t="str">
        <f>IF(项目基本情况!E9="抵押净值",IF(OR(项目基本情况!E8="已注销",项目基本情况!E8="房地产抵押价值"),"4.抵押净值","5.抵押净值"),"——")</f>
        <v>4.抵押净值</v>
      </c>
      <c r="F111" s="3386"/>
      <c r="G111" s="2013" t="s">
        <v>2118</v>
      </c>
      <c r="H111" s="2821">
        <f ca="1">IF(E111="——","——",N59)</f>
        <v>117693</v>
      </c>
      <c r="I111" s="134"/>
    </row>
    <row r="112" spans="1:35" ht="18.75" customHeight="1" thickBot="1">
      <c r="A112" s="134"/>
      <c r="B112" s="134"/>
      <c r="C112" s="134"/>
      <c r="D112" s="134"/>
      <c r="E112" s="3420"/>
      <c r="F112" s="3421"/>
      <c r="G112" s="2016" t="s">
        <v>2120</v>
      </c>
      <c r="H112" s="2825">
        <f ca="1">IF(E111="——","——",N61)</f>
        <v>8347</v>
      </c>
      <c r="I112" s="134"/>
    </row>
    <row r="113" spans="1:27" ht="18.75" customHeight="1">
      <c r="A113" s="134"/>
      <c r="B113" s="134"/>
      <c r="C113" s="134"/>
      <c r="D113" s="134"/>
      <c r="E113" s="3389" t="s">
        <v>2126</v>
      </c>
      <c r="F113" s="3389"/>
      <c r="G113" s="3389"/>
      <c r="H113" s="3389"/>
      <c r="I113" s="134"/>
    </row>
    <row r="114" spans="1:27" ht="3.75" customHeight="1">
      <c r="A114" s="1933"/>
      <c r="B114" s="1933"/>
      <c r="C114" s="1933"/>
      <c r="D114" s="1933"/>
      <c r="E114" s="1995"/>
      <c r="F114" s="1995"/>
      <c r="G114" s="1995"/>
      <c r="H114" s="1995"/>
      <c r="I114" s="1933"/>
    </row>
    <row r="115" spans="1:27" ht="18.75" customHeight="1">
      <c r="A115" s="3402" t="s">
        <v>2128</v>
      </c>
      <c r="B115" s="3403"/>
      <c r="C115" s="3403"/>
      <c r="D115" s="3403"/>
      <c r="E115" s="3403"/>
      <c r="F115" s="3403"/>
      <c r="G115" s="3403"/>
      <c r="H115" s="3403"/>
      <c r="I115" s="3404"/>
    </row>
    <row r="116" spans="1:27" ht="27" customHeight="1">
      <c r="A116" s="3355" t="s">
        <v>2129</v>
      </c>
      <c r="B116" s="3390" t="s">
        <v>2130</v>
      </c>
      <c r="C116" s="3390" t="s">
        <v>2131</v>
      </c>
      <c r="D116" s="3406" t="s">
        <v>2132</v>
      </c>
      <c r="E116" s="3407"/>
      <c r="F116" s="3398" t="s">
        <v>2133</v>
      </c>
      <c r="G116" s="3398"/>
      <c r="H116" s="3355" t="s">
        <v>2134</v>
      </c>
      <c r="I116" s="3355"/>
    </row>
    <row r="117" spans="1:27" ht="18.75" customHeight="1">
      <c r="A117" s="3355"/>
      <c r="B117" s="3391"/>
      <c r="C117" s="3391"/>
      <c r="D117" s="2552" t="s">
        <v>2135</v>
      </c>
      <c r="E117" s="2552" t="s">
        <v>2136</v>
      </c>
      <c r="F117" s="2552" t="s">
        <v>2135</v>
      </c>
      <c r="G117" s="2552" t="s">
        <v>2137</v>
      </c>
      <c r="H117" s="2552" t="s">
        <v>2135</v>
      </c>
      <c r="I117" s="2552" t="s">
        <v>2137</v>
      </c>
    </row>
    <row r="118" spans="1:27" ht="24.75" customHeight="1">
      <c r="A118" s="2826" t="str">
        <f>项目基本情况!S2</f>
        <v>房地产</v>
      </c>
      <c r="B118" s="2552">
        <f>M18</f>
        <v>140992.71000000002</v>
      </c>
      <c r="C118" s="2552">
        <f>M19</f>
        <v>47741.4</v>
      </c>
      <c r="D118" s="2552">
        <f ca="1">ROUND(IF(D32="总价",C34,E118*B118/10000),0)</f>
        <v>42297</v>
      </c>
      <c r="E118" s="2552">
        <f ca="1">ROUND(IF(C33="自定义",IF(D32="楼面单价",C34,D118*10000/B118),I118-G118),0)</f>
        <v>3000</v>
      </c>
      <c r="F118" s="2552">
        <f ca="1">ROUND(IF(D32="总价",C35,G118*B118/10000),0)</f>
        <v>88248</v>
      </c>
      <c r="G118" s="2552">
        <f ca="1">ROUND(IF(D32="楼面单价",C35,F118*10000/B118),0)</f>
        <v>6259</v>
      </c>
      <c r="H118" s="2552">
        <f ca="1">ROUND(IF(D32="总价",C32,I118*B118/10000),0)</f>
        <v>130545</v>
      </c>
      <c r="I118" s="2552">
        <f ca="1">ROUND(IF(D32="楼面单价",C32,H118*10000/B118),0)</f>
        <v>9259</v>
      </c>
    </row>
    <row r="119" spans="1:27" ht="18.75" customHeight="1">
      <c r="A119" s="3355" t="s">
        <v>2138</v>
      </c>
      <c r="B119" s="3355"/>
      <c r="C119" s="3355"/>
      <c r="D119" s="3395" t="str">
        <f ca="1">NUMBERSTRING(INT(D118*10000),2)&amp;"元整"</f>
        <v>肆亿贰仟贰佰玖拾柒万元整</v>
      </c>
      <c r="E119" s="3397"/>
      <c r="F119" s="3395" t="str">
        <f ca="1">NUMBERSTRING(INT(F118*10000),2)&amp;"元整"</f>
        <v>捌亿捌仟贰佰肆拾捌万元整</v>
      </c>
      <c r="G119" s="3397"/>
      <c r="H119" s="3395" t="str">
        <f ca="1">NUMBERSTRING(INT(H118*10000),2)&amp;"元整"</f>
        <v>壹拾叁亿零伍佰肆拾伍万元整</v>
      </c>
      <c r="I119" s="3397"/>
    </row>
    <row r="120" spans="1:27" ht="18.75" customHeight="1">
      <c r="A120" s="3422" t="str">
        <f>IF(项目基本情况!B9="房地产市场价值","",MID(E103,3,LEN(E103)-2))</f>
        <v>估价师知悉的法定优先受偿款</v>
      </c>
      <c r="B120" s="3423"/>
      <c r="C120" s="3424"/>
      <c r="D120" s="3422">
        <f>H103</f>
        <v>0</v>
      </c>
      <c r="E120" s="3423"/>
      <c r="F120" s="3423"/>
      <c r="G120" s="3423"/>
      <c r="H120" s="3423"/>
      <c r="I120" s="342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99" t="s">
        <v>2138</v>
      </c>
      <c r="B121" s="3400"/>
      <c r="C121" s="3401"/>
      <c r="D121" s="3395" t="str">
        <f>IF(D120=0,"零元整",NUMBERSTRING(INT(D120*10000),2)&amp;"元整")</f>
        <v>零元整</v>
      </c>
      <c r="E121" s="3396"/>
      <c r="F121" s="3396"/>
      <c r="G121" s="3396"/>
      <c r="H121" s="3396"/>
      <c r="I121" s="3397"/>
      <c r="AA121" s="734"/>
    </row>
    <row r="122" spans="1:27" ht="18.75" customHeight="1">
      <c r="A122" s="3386" t="str">
        <f>IF(项目基本情况!B9="房地产市场价值","",MID(E107,3,LEN(E107)-2))</f>
        <v>房地产抵押价值</v>
      </c>
      <c r="B122" s="3386"/>
      <c r="C122" s="3386"/>
      <c r="D122" s="3422">
        <f ca="1">H107</f>
        <v>130545</v>
      </c>
      <c r="E122" s="3423"/>
      <c r="F122" s="3423"/>
      <c r="G122" s="3423"/>
      <c r="H122" s="3423"/>
      <c r="I122" s="3424"/>
      <c r="AA122" s="734"/>
    </row>
    <row r="123" spans="1:27" ht="18.75" customHeight="1">
      <c r="A123" s="3355" t="s">
        <v>2138</v>
      </c>
      <c r="B123" s="3355"/>
      <c r="C123" s="3355"/>
      <c r="D123" s="3395" t="str">
        <f ca="1">NUMBERSTRING(INT(D122*10000),2)&amp;"元整"</f>
        <v>壹拾叁亿零伍佰肆拾伍万元整</v>
      </c>
      <c r="E123" s="3396"/>
      <c r="F123" s="3396"/>
      <c r="G123" s="3396"/>
      <c r="H123" s="3396"/>
      <c r="I123" s="3397"/>
      <c r="AA123" s="734"/>
    </row>
    <row r="124" spans="1:27" ht="18.75" customHeight="1">
      <c r="A124" s="3386" t="str">
        <f>IF(项目基本情况!B9="房地产市场价值","",MID(E109,3,LEN(E109)-2))</f>
        <v/>
      </c>
      <c r="B124" s="3386"/>
      <c r="C124" s="3386"/>
      <c r="D124" s="3422" t="str">
        <f>H109</f>
        <v>——</v>
      </c>
      <c r="E124" s="3423"/>
      <c r="F124" s="3423"/>
      <c r="G124" s="3423"/>
      <c r="H124" s="3423"/>
      <c r="I124" s="3424"/>
      <c r="AA124" s="734"/>
    </row>
    <row r="125" spans="1:27" ht="18.75" customHeight="1">
      <c r="A125" s="3355" t="s">
        <v>2138</v>
      </c>
      <c r="B125" s="3355"/>
      <c r="C125" s="3355"/>
      <c r="D125" s="3395" t="e">
        <f>NUMBERSTRING(INT(D124*10000),2)&amp;"元整"</f>
        <v>#VALUE!</v>
      </c>
      <c r="E125" s="3396"/>
      <c r="F125" s="3396"/>
      <c r="G125" s="3396"/>
      <c r="H125" s="3396"/>
      <c r="I125" s="3397"/>
      <c r="AA125" s="734"/>
    </row>
    <row r="126" spans="1:27" ht="18.75" customHeight="1">
      <c r="A126" s="3386" t="str">
        <f>IF(项目基本情况!B9="房地产市场价值","",MID(E111,3,LEN(E111)-2))</f>
        <v>抵押净值</v>
      </c>
      <c r="B126" s="3386"/>
      <c r="C126" s="3386"/>
      <c r="D126" s="3422">
        <f ca="1">H111</f>
        <v>117693</v>
      </c>
      <c r="E126" s="3423"/>
      <c r="F126" s="3423"/>
      <c r="G126" s="3423"/>
      <c r="H126" s="3423"/>
      <c r="I126" s="3424"/>
      <c r="AA126" s="734"/>
    </row>
    <row r="127" spans="1:27" ht="18.75" customHeight="1">
      <c r="A127" s="3355" t="s">
        <v>2138</v>
      </c>
      <c r="B127" s="3355"/>
      <c r="C127" s="3355"/>
      <c r="D127" s="3395" t="str">
        <f ca="1">NUMBERSTRING(INT(D126*10000),2)&amp;"元整"</f>
        <v>壹拾壹亿柒仟陆佰玖拾叁万元整</v>
      </c>
      <c r="E127" s="3396"/>
      <c r="F127" s="3396"/>
      <c r="G127" s="3396"/>
      <c r="H127" s="3396"/>
      <c r="I127" s="3397"/>
      <c r="AA127" s="734"/>
    </row>
    <row r="128" spans="1:27" ht="21.75" customHeight="1">
      <c r="A128" s="3405" t="s">
        <v>2139</v>
      </c>
      <c r="B128" s="3405"/>
      <c r="C128" s="3405"/>
      <c r="D128" s="3405"/>
      <c r="E128" s="3405"/>
      <c r="F128" s="3405"/>
      <c r="G128" s="3405"/>
      <c r="H128" s="3405"/>
      <c r="I128" s="3405"/>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49" sqref="C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123199</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8738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28014</v>
      </c>
      <c r="D5" s="217" t="s">
        <v>2155</v>
      </c>
      <c r="E5" s="218" t="s">
        <v>2156</v>
      </c>
      <c r="F5" s="218" t="s">
        <v>2157</v>
      </c>
      <c r="G5" s="219"/>
    </row>
    <row r="6" spans="1:9" s="220" customFormat="1" ht="13.5" customHeight="1">
      <c r="A6" s="886" t="s">
        <v>2158</v>
      </c>
      <c r="B6" s="221" t="s">
        <v>2159</v>
      </c>
      <c r="C6" s="222">
        <f>'土地比较法-住宅、综合'!F66</f>
        <v>25749</v>
      </c>
      <c r="D6" s="223"/>
      <c r="E6" s="224"/>
      <c r="F6" s="224"/>
      <c r="G6" s="225"/>
    </row>
    <row r="7" spans="1:9" s="220" customFormat="1" ht="13.5" customHeight="1">
      <c r="A7" s="886" t="s">
        <v>2160</v>
      </c>
      <c r="B7" s="221" t="s">
        <v>2161</v>
      </c>
      <c r="C7" s="226">
        <f>ROUND(C6*F7,0)</f>
        <v>785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1480</v>
      </c>
      <c r="D8" s="228"/>
      <c r="E8" s="226"/>
      <c r="F8" s="227"/>
      <c r="G8" s="2042" t="s">
        <v>3156</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105</v>
      </c>
      <c r="F9" s="227"/>
      <c r="G9" s="2043" t="s">
        <v>3157</v>
      </c>
      <c r="H9" s="1299"/>
      <c r="I9" s="2044" t="s">
        <v>2165</v>
      </c>
    </row>
    <row r="10" spans="1:9" s="220" customFormat="1" ht="13.5" customHeight="1">
      <c r="A10" s="887" t="s">
        <v>801</v>
      </c>
      <c r="B10" s="230" t="s">
        <v>2166</v>
      </c>
      <c r="C10" s="231">
        <f ca="1">ROUND(D10*E10/10000,0)</f>
        <v>1480</v>
      </c>
      <c r="D10" s="954">
        <f ca="1">IF(B1="",'数据-汇总表'!E6,IF(INDIRECT("'数据-取费表'!c"&amp;$G$1)="住宅",INDIRECT("'数据-取费表'!s"&amp;$G$1),INDIRECT("'数据-取费表'!k"&amp;$G$1)+INDIRECT("'数据-取费表'!s"&amp;$G$1)))</f>
        <v>140992.71000000002</v>
      </c>
      <c r="E10" s="231">
        <f>'数据-取费表'!B28</f>
        <v>105</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140992.71000000002</v>
      </c>
      <c r="E19" s="217">
        <f>'数据-取费表'!B31</f>
        <v>200</v>
      </c>
      <c r="F19" s="237"/>
      <c r="G19" s="2042" t="s">
        <v>3158</v>
      </c>
    </row>
    <row r="20" spans="1:7" s="220" customFormat="1" ht="13.5" customHeight="1">
      <c r="A20" s="261" t="s">
        <v>2179</v>
      </c>
      <c r="B20" s="216" t="s">
        <v>2180</v>
      </c>
      <c r="C20" s="238">
        <f ca="1">ROUND((C5+C19)*F20,0)</f>
        <v>560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2514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2490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24</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5715</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5715</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39925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61755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56397</v>
      </c>
      <c r="D34" s="223"/>
      <c r="E34" s="226"/>
      <c r="F34" s="263">
        <f ca="1">IF('数据-取费表'!B24=0,1,IF(B1="",'数据-取费表'!N16,INDIRECT("'数据-取费表'!n"&amp;$G$1)))</f>
        <v>1</v>
      </c>
      <c r="G34" s="225" t="s">
        <v>2212</v>
      </c>
    </row>
    <row r="35" spans="1:7" ht="13.5" customHeight="1">
      <c r="A35" s="888" t="s">
        <v>796</v>
      </c>
      <c r="B35" s="221" t="s">
        <v>2213</v>
      </c>
      <c r="C35" s="226">
        <f ca="1">ROUND(C34*F35,0)</f>
        <v>1692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2820</v>
      </c>
      <c r="D37" s="223">
        <f ca="1">D19</f>
        <v>140992.71000000002</v>
      </c>
      <c r="E37" s="255">
        <f>'数据-取费表'!B35</f>
        <v>200</v>
      </c>
      <c r="F37" s="265"/>
      <c r="G37" s="267" t="s">
        <v>2218</v>
      </c>
    </row>
    <row r="38" spans="1:7" ht="13.5" customHeight="1">
      <c r="A38" s="888" t="s">
        <v>799</v>
      </c>
      <c r="B38" s="221" t="s">
        <v>2219</v>
      </c>
      <c r="C38" s="226">
        <f ca="1">ROUND(C34*F38,0)</f>
        <v>846</v>
      </c>
      <c r="D38" s="226"/>
      <c r="E38" s="226"/>
      <c r="F38" s="265">
        <f>'数据-取费表'!B36</f>
        <v>1.4999999999999999E-2</v>
      </c>
      <c r="G38" s="225" t="s">
        <v>2214</v>
      </c>
    </row>
    <row r="39" spans="1:7" s="220" customFormat="1" ht="13.5" customHeight="1">
      <c r="A39" s="261" t="s">
        <v>2220</v>
      </c>
      <c r="B39" s="216" t="s">
        <v>2221</v>
      </c>
      <c r="C39" s="238">
        <f ca="1">ROUND(C33*F20,0)</f>
        <v>1235</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2740</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2686</v>
      </c>
      <c r="D42" s="244"/>
      <c r="E42" s="244"/>
      <c r="F42" s="245"/>
      <c r="G42" s="3438" t="s">
        <v>2230</v>
      </c>
    </row>
    <row r="43" spans="1:7" ht="13.5" customHeight="1">
      <c r="A43" s="888" t="s">
        <v>792</v>
      </c>
      <c r="B43" s="221" t="s">
        <v>2231</v>
      </c>
      <c r="C43" s="244">
        <f ca="1">ROUND(IF('数据-取费表'!B22&lt;=1,C39*F22*'数据-取费表'!B21/2,C39*(POWER((1+F22),'数据-取费表'!B21/2)-1)),0)</f>
        <v>54</v>
      </c>
      <c r="D43" s="244"/>
      <c r="E43" s="244"/>
      <c r="F43" s="245"/>
      <c r="G43" s="3439"/>
    </row>
    <row r="44" spans="1:7" ht="13.5" customHeight="1">
      <c r="A44" s="888" t="s">
        <v>793</v>
      </c>
      <c r="B44" s="221" t="s">
        <v>2232</v>
      </c>
      <c r="C44" s="244">
        <f ca="1">ROUND(IF('数据-取费表'!B22&lt;=1,C40*F22*'数据-取费表'!B21/2,C40*(POWER((1+F22),'数据-取费表'!B21/2)-1)),4)</f>
        <v>8.9999999999999998E-4</v>
      </c>
      <c r="D44" s="244"/>
      <c r="E44" s="244"/>
      <c r="F44" s="245"/>
      <c r="G44" s="3440"/>
    </row>
    <row r="45" spans="1:7" s="220" customFormat="1" ht="13.5" customHeight="1">
      <c r="A45" s="261" t="s">
        <v>2233</v>
      </c>
      <c r="B45" s="250" t="s">
        <v>2199</v>
      </c>
      <c r="C45" s="251">
        <f ca="1">C46</f>
        <v>12598</v>
      </c>
      <c r="D45" s="241">
        <f ca="1">C47</f>
        <v>4.0000000000000001E-3</v>
      </c>
      <c r="E45" s="242" t="s">
        <v>2225</v>
      </c>
      <c r="F45" s="2537">
        <f ca="1">F27</f>
        <v>0.2</v>
      </c>
      <c r="G45" s="253" t="s">
        <v>2234</v>
      </c>
    </row>
    <row r="46" spans="1:7" s="220" customFormat="1" ht="13.5" customHeight="1">
      <c r="A46" s="888" t="s">
        <v>791</v>
      </c>
      <c r="B46" s="254" t="s">
        <v>2235</v>
      </c>
      <c r="C46" s="255">
        <f ca="1">ROUND((C33+C39)*F27,0)</f>
        <v>12598</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84973</v>
      </c>
      <c r="D49" s="238"/>
      <c r="E49" s="238"/>
      <c r="F49" s="270"/>
      <c r="G49" s="240" t="s">
        <v>2240</v>
      </c>
    </row>
    <row r="50" spans="1:7" s="264" customFormat="1" ht="24">
      <c r="A50" s="261" t="s">
        <v>2241</v>
      </c>
      <c r="B50" s="216" t="s">
        <v>2242</v>
      </c>
      <c r="C50" s="238"/>
      <c r="D50" s="238"/>
      <c r="E50" s="238"/>
      <c r="F50" s="270">
        <f>IF('数据-取费表'!B24=0,'数据-取费表'!N16,1)</f>
        <v>0.98</v>
      </c>
      <c r="G50" s="253" t="s">
        <v>2243</v>
      </c>
    </row>
    <row r="51" spans="1:7" ht="16.5" customHeight="1">
      <c r="A51" s="261" t="s">
        <v>2244</v>
      </c>
      <c r="B51" s="216" t="s">
        <v>2245</v>
      </c>
      <c r="C51" s="238">
        <f ca="1">ROUND(C49*F50,0)</f>
        <v>83274</v>
      </c>
      <c r="D51" s="238"/>
      <c r="E51" s="238"/>
      <c r="F51" s="270"/>
      <c r="G51" s="240" t="s">
        <v>2246</v>
      </c>
    </row>
    <row r="52" spans="1:7" s="214" customFormat="1" ht="16.5" thickBot="1">
      <c r="A52" s="271" t="s">
        <v>2247</v>
      </c>
      <c r="B52" s="272"/>
      <c r="C52" s="273">
        <f ca="1">C31+C51</f>
        <v>123199</v>
      </c>
      <c r="D52" s="272"/>
      <c r="E52" s="272"/>
      <c r="F52" s="272"/>
      <c r="G52" s="274"/>
    </row>
    <row r="55" spans="1:7" ht="15">
      <c r="B55" s="276" t="s">
        <v>2248</v>
      </c>
      <c r="C55" s="277"/>
    </row>
    <row r="56" spans="1:7">
      <c r="B56" s="279" t="s">
        <v>1478</v>
      </c>
      <c r="C56" s="281">
        <f ca="1">1-C57</f>
        <v>0.32399999999999995</v>
      </c>
    </row>
    <row r="57" spans="1:7">
      <c r="B57" s="279" t="s">
        <v>1479</v>
      </c>
      <c r="C57" s="280">
        <f ca="1">ROUND(C51/C52,3)</f>
        <v>0.67600000000000005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49" t="str">
        <f>项目基本情况!B1</f>
        <v>房地产抵押价值预评估</v>
      </c>
      <c r="C37" s="3249"/>
      <c r="D37" s="3249"/>
      <c r="E37" s="3249"/>
      <c r="F37" s="3249"/>
      <c r="G37" s="3249"/>
      <c r="H37" s="3249"/>
      <c r="I37" s="3249"/>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89402</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6341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14804235</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14804235</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105</v>
      </c>
      <c r="F9" s="227"/>
      <c r="G9" s="232"/>
    </row>
    <row r="10" spans="1:8" s="220" customFormat="1" ht="13.5" customHeight="1">
      <c r="A10" s="887" t="s">
        <v>801</v>
      </c>
      <c r="B10" s="230" t="s">
        <v>2166</v>
      </c>
      <c r="C10" s="231">
        <f ca="1">ROUND(D10*E10,0)</f>
        <v>14804235</v>
      </c>
      <c r="D10" s="954">
        <f ca="1">IF(B1="",'数据-汇总表'!E6,IF(INDIRECT("'数据-取费表'!c"&amp;$G$1)="住宅",INDIRECT("'数据-取费表'!s"&amp;$G$1),INDIRECT("'数据-取费表'!k"&amp;$G$1)+INDIRECT("'数据-取费表'!s"&amp;$G$1)))</f>
        <v>140992.71000000002</v>
      </c>
      <c r="E10" s="231">
        <f>'数据-取费表'!B28</f>
        <v>105</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28198542</v>
      </c>
      <c r="D19" s="958">
        <f ca="1">D9+D10</f>
        <v>140992.71000000002</v>
      </c>
      <c r="E19" s="217">
        <f>'数据-取费表'!B31</f>
        <v>200</v>
      </c>
      <c r="F19" s="237"/>
      <c r="G19" s="2042"/>
    </row>
    <row r="20" spans="1:7" s="220" customFormat="1" ht="13.5" customHeight="1">
      <c r="A20" s="261" t="s">
        <v>2260</v>
      </c>
      <c r="B20" s="216" t="s">
        <v>2261</v>
      </c>
      <c r="C20" s="238">
        <f ca="1">ROUND((C5+C19)*F20,0)</f>
        <v>860056</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3860026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1315982</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2506632</v>
      </c>
      <c r="D24" s="244"/>
      <c r="E24" s="244"/>
      <c r="F24" s="245"/>
      <c r="G24" s="246" t="s">
        <v>2272</v>
      </c>
    </row>
    <row r="25" spans="1:7" s="220" customFormat="1" ht="24">
      <c r="A25" s="888" t="s">
        <v>2162</v>
      </c>
      <c r="B25" s="221" t="s">
        <v>2273</v>
      </c>
      <c r="C25" s="1290">
        <f ca="1">ROUND(IF('数据-取费表'!B22&lt;=1,C20*F22*'数据-取费表'!B22/2,C20*(POWER((1+F22),'数据-取费表'!B22/2)-1)),0)</f>
        <v>37412</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8772567</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8772567</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61288160</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617548070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563970840</v>
      </c>
      <c r="D34" s="223"/>
      <c r="E34" s="226"/>
      <c r="F34" s="263"/>
      <c r="G34" s="225"/>
    </row>
    <row r="35" spans="1:7" ht="13.5" customHeight="1">
      <c r="A35" s="888" t="s">
        <v>796</v>
      </c>
      <c r="B35" s="221" t="s">
        <v>2213</v>
      </c>
      <c r="C35" s="226">
        <f ca="1">ROUND(C34*F35,0)</f>
        <v>16919125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28198542</v>
      </c>
      <c r="D37" s="223">
        <f ca="1">D19</f>
        <v>140992.71000000002</v>
      </c>
      <c r="E37" s="255">
        <f>'数据-取费表'!B35</f>
        <v>200</v>
      </c>
      <c r="F37" s="265"/>
      <c r="G37" s="267"/>
    </row>
    <row r="38" spans="1:7" ht="13.5" customHeight="1">
      <c r="A38" s="888" t="s">
        <v>799</v>
      </c>
      <c r="B38" s="221" t="s">
        <v>2219</v>
      </c>
      <c r="C38" s="226">
        <f ca="1">ROUND(C34*F38,0)</f>
        <v>8459563</v>
      </c>
      <c r="D38" s="226"/>
      <c r="E38" s="226"/>
      <c r="F38" s="265">
        <f>'数据-取费表'!B36</f>
        <v>1.4999999999999999E-2</v>
      </c>
      <c r="G38" s="225" t="s">
        <v>2214</v>
      </c>
    </row>
    <row r="39" spans="1:7" s="220" customFormat="1" ht="13.5" customHeight="1">
      <c r="A39" s="261" t="s">
        <v>2220</v>
      </c>
      <c r="B39" s="216" t="s">
        <v>2221</v>
      </c>
      <c r="C39" s="238">
        <f ca="1">ROUND(C33*F20,0)</f>
        <v>12350961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27400608</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26863341</v>
      </c>
      <c r="D42" s="244"/>
      <c r="E42" s="244"/>
      <c r="F42" s="245"/>
      <c r="G42" s="3438" t="s">
        <v>2277</v>
      </c>
    </row>
    <row r="43" spans="1:7" ht="13.5" customHeight="1">
      <c r="A43" s="888" t="s">
        <v>792</v>
      </c>
      <c r="B43" s="221" t="s">
        <v>2231</v>
      </c>
      <c r="C43" s="244">
        <f ca="1">ROUND(IF('数据-取费表'!B22&lt;=1,C39*F22*'数据-取费表'!B20/2,C39*(POWER((1+F22),'数据-取费表'!B20/2)-1)),0)</f>
        <v>537267</v>
      </c>
      <c r="D43" s="244"/>
      <c r="E43" s="244"/>
      <c r="F43" s="245"/>
      <c r="G43" s="3439"/>
    </row>
    <row r="44" spans="1:7" ht="13.5" customHeight="1">
      <c r="A44" s="888" t="s">
        <v>793</v>
      </c>
      <c r="B44" s="221" t="s">
        <v>2232</v>
      </c>
      <c r="C44" s="244">
        <f ca="1">ROUND(IF('数据-取费表'!B22&lt;=1,C40*F22*'数据-取费表'!B20/2,C40*(POWER((1+F22),'数据-取费表'!B20/2)-1)),4)</f>
        <v>8.9999999999999998E-4</v>
      </c>
      <c r="D44" s="244"/>
      <c r="E44" s="244"/>
      <c r="F44" s="245"/>
      <c r="G44" s="3440"/>
    </row>
    <row r="45" spans="1:7" s="220" customFormat="1" ht="13.5" customHeight="1">
      <c r="A45" s="261" t="s">
        <v>2233</v>
      </c>
      <c r="B45" s="250" t="s">
        <v>2199</v>
      </c>
      <c r="C45" s="251">
        <f ca="1">C46</f>
        <v>125979806</v>
      </c>
      <c r="D45" s="241">
        <f ca="1">C47</f>
        <v>4.0000000000000001E-3</v>
      </c>
      <c r="E45" s="242" t="s">
        <v>2225</v>
      </c>
      <c r="F45" s="2537">
        <f ca="1">F27</f>
        <v>0.2</v>
      </c>
      <c r="G45" s="253" t="s">
        <v>2234</v>
      </c>
    </row>
    <row r="46" spans="1:7" s="220" customFormat="1" ht="13.5" customHeight="1">
      <c r="A46" s="888" t="s">
        <v>791</v>
      </c>
      <c r="B46" s="254" t="s">
        <v>2235</v>
      </c>
      <c r="C46" s="255">
        <f ca="1">ROUND((C33+C39)*F27,0)</f>
        <v>125979806</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849728189</v>
      </c>
      <c r="D49" s="238"/>
      <c r="E49" s="238"/>
      <c r="F49" s="270"/>
      <c r="G49" s="240" t="s">
        <v>2240</v>
      </c>
    </row>
    <row r="50" spans="1:7" s="264" customFormat="1">
      <c r="A50" s="261" t="s">
        <v>2241</v>
      </c>
      <c r="B50" s="216" t="s">
        <v>2242</v>
      </c>
      <c r="C50" s="238"/>
      <c r="D50" s="238"/>
      <c r="E50" s="238"/>
      <c r="F50" s="270">
        <f>IF('数据-取费表'!B24=0,'数据-取费表'!N16,1)</f>
        <v>0.98</v>
      </c>
      <c r="G50" s="253"/>
    </row>
    <row r="51" spans="1:7" ht="16.5" customHeight="1">
      <c r="A51" s="261" t="s">
        <v>2244</v>
      </c>
      <c r="B51" s="216" t="s">
        <v>2279</v>
      </c>
      <c r="C51" s="238">
        <f ca="1">ROUND(C49*F50,0)</f>
        <v>832733625</v>
      </c>
      <c r="D51" s="238"/>
      <c r="E51" s="238"/>
      <c r="F51" s="270"/>
      <c r="G51" s="240" t="s">
        <v>2246</v>
      </c>
    </row>
    <row r="52" spans="1:7" s="214" customFormat="1" ht="16.5" thickBot="1">
      <c r="A52" s="271" t="s">
        <v>2247</v>
      </c>
      <c r="B52" s="272"/>
      <c r="C52" s="273">
        <f ca="1">C31+C51</f>
        <v>894021785</v>
      </c>
      <c r="D52" s="272"/>
      <c r="E52" s="272"/>
      <c r="F52" s="272"/>
      <c r="G52" s="274"/>
    </row>
    <row r="55" spans="1:7" ht="15">
      <c r="B55" s="276" t="s">
        <v>2248</v>
      </c>
      <c r="C55" s="277"/>
    </row>
    <row r="56" spans="1:7">
      <c r="B56" s="279" t="s">
        <v>1478</v>
      </c>
      <c r="C56" s="281">
        <f ca="1">1-C57</f>
        <v>6.899999999999995E-2</v>
      </c>
    </row>
    <row r="57" spans="1:7">
      <c r="B57" s="279" t="s">
        <v>1479</v>
      </c>
      <c r="C57" s="280">
        <f ca="1">ROUND(C51/C52,3)</f>
        <v>0.93100000000000005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3" zoomScale="85" zoomScaleNormal="70" zoomScaleSheetLayoutView="85"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140992.71000000002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140992.71000000002</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105</v>
      </c>
      <c r="F19" s="913"/>
      <c r="G19" s="15"/>
      <c r="H19" s="1351"/>
      <c r="I19" s="918"/>
      <c r="J19" s="918"/>
      <c r="K19" s="919"/>
    </row>
    <row r="20" spans="1:33" s="912" customFormat="1" ht="13.5" customHeight="1">
      <c r="A20" s="908" t="s">
        <v>806</v>
      </c>
      <c r="B20" s="909" t="s">
        <v>2316</v>
      </c>
      <c r="C20" s="24">
        <f ca="1">ROUND(D20*E20/10000,0)</f>
        <v>1480</v>
      </c>
      <c r="D20" s="955">
        <f ca="1">IF(C1="",'数据-汇总表'!E6,IF(INDIRECT("'数据-取费表'!c"&amp;$K$1)="住宅",INDIRECT("'数据-取费表'!s"&amp;$K$1),INDIRECT("'数据-取费表'!k"&amp;$K$1)+INDIRECT("'数据-取费表'!s"&amp;$K$1)))</f>
        <v>140992.71000000002</v>
      </c>
      <c r="E20" s="24">
        <f>'数据-取费表'!B28</f>
        <v>105</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32" sqref="C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37.58</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217990</v>
      </c>
      <c r="C2" s="1571" t="s">
        <v>1481</v>
      </c>
      <c r="D2" s="1571"/>
      <c r="E2" s="1572"/>
      <c r="F2" s="1573"/>
      <c r="G2" s="2935"/>
      <c r="H2" s="2924"/>
      <c r="I2" s="2924"/>
      <c r="J2" s="2924"/>
      <c r="K2" s="2925"/>
      <c r="L2" s="2924"/>
      <c r="M2" s="2924"/>
    </row>
    <row r="3" spans="1:37" ht="18" customHeight="1" thickBot="1">
      <c r="A3" s="1574" t="s">
        <v>1482</v>
      </c>
      <c r="B3" s="1575">
        <f ca="1">IF(ISERROR(B2*10000/F43),0,ROUND(B2*10000/F43,0))</f>
        <v>15461</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12985</v>
      </c>
      <c r="D5" s="1548" t="s">
        <v>1367</v>
      </c>
      <c r="E5" s="1203"/>
      <c r="F5" s="1204"/>
      <c r="G5" s="1568"/>
      <c r="H5" s="305">
        <v>1</v>
      </c>
      <c r="I5" s="306" t="s">
        <v>1366</v>
      </c>
      <c r="J5" s="1202">
        <f ca="1">J6+J10+J12</f>
        <v>0</v>
      </c>
      <c r="K5" s="1548" t="s">
        <v>1367</v>
      </c>
      <c r="L5" s="1203"/>
      <c r="M5" s="1204"/>
    </row>
    <row r="6" spans="1:37" ht="18" customHeight="1">
      <c r="A6" s="1201" t="s">
        <v>1003</v>
      </c>
      <c r="B6" s="3443" t="s">
        <v>1368</v>
      </c>
      <c r="C6" s="1206">
        <f ca="1">ROUND(F6*F8*F7*(1-F9)/10000,0)</f>
        <v>12969</v>
      </c>
      <c r="D6" s="160" t="s">
        <v>2849</v>
      </c>
      <c r="E6" s="308" t="s">
        <v>1370</v>
      </c>
      <c r="F6" s="309">
        <f ca="1">INDIRECT("'数据-取费表'!u"&amp;$G$1)</f>
        <v>2.8</v>
      </c>
      <c r="G6" s="1568"/>
      <c r="H6" s="1201" t="s">
        <v>1003</v>
      </c>
      <c r="I6" s="3443" t="s">
        <v>1368</v>
      </c>
      <c r="J6" s="307">
        <f ca="1">ROUND(M6*M8*M7*(1-M9)/10000,0)</f>
        <v>0</v>
      </c>
      <c r="K6" s="160" t="s">
        <v>2848</v>
      </c>
      <c r="L6" s="308" t="s">
        <v>1370</v>
      </c>
      <c r="M6" s="309">
        <f ca="1">INDIRECT("'数据-取费表'!z"&amp;$G$1)</f>
        <v>0</v>
      </c>
    </row>
    <row r="7" spans="1:37" ht="18" customHeight="1">
      <c r="A7" s="1205"/>
      <c r="B7" s="3444"/>
      <c r="C7" s="1207"/>
      <c r="D7" s="313"/>
      <c r="E7" s="1208" t="s">
        <v>1371</v>
      </c>
      <c r="F7" s="309">
        <f ca="1">IF(INDIRECT("'数据-取费表'!ah"&amp;$G$1)="",INDIRECT("'数据-取费表'!k"&amp;$G$1),INDIRECT("'数据-取费表'!ah"&amp;$G$1))</f>
        <v>140992.71000000002</v>
      </c>
      <c r="G7" s="1568"/>
      <c r="H7" s="310"/>
      <c r="I7" s="3444"/>
      <c r="J7" s="312"/>
      <c r="K7" s="313"/>
      <c r="L7" s="308" t="s">
        <v>1371</v>
      </c>
      <c r="M7" s="309">
        <f ca="1">F7</f>
        <v>140992.71000000002</v>
      </c>
    </row>
    <row r="8" spans="1:37" ht="18" customHeight="1">
      <c r="A8" s="310"/>
      <c r="B8" s="3444"/>
      <c r="C8" s="312"/>
      <c r="D8" s="313"/>
      <c r="E8" s="308" t="s">
        <v>1372</v>
      </c>
      <c r="F8" s="309">
        <f ca="1">INDIRECT("'数据-取费表'!ai"&amp;$G$1)</f>
        <v>365</v>
      </c>
      <c r="G8" s="1568"/>
      <c r="H8" s="310"/>
      <c r="I8" s="3444"/>
      <c r="J8" s="312"/>
      <c r="K8" s="313"/>
      <c r="L8" s="308" t="s">
        <v>1372</v>
      </c>
      <c r="M8" s="309">
        <f ca="1">INDIRECT("'数据-取费表'!ai"&amp;$G$1)</f>
        <v>365</v>
      </c>
    </row>
    <row r="9" spans="1:37" ht="18" customHeight="1">
      <c r="A9" s="310"/>
      <c r="B9" s="3445"/>
      <c r="C9" s="312"/>
      <c r="D9" s="313"/>
      <c r="E9" s="308" t="s">
        <v>1373</v>
      </c>
      <c r="F9" s="318">
        <f ca="1">INDIRECT("'数据-取费表'!w"&amp;$G$1)</f>
        <v>0.1</v>
      </c>
      <c r="G9" s="1568"/>
      <c r="H9" s="310"/>
      <c r="I9" s="3445"/>
      <c r="J9" s="312"/>
      <c r="K9" s="313"/>
      <c r="L9" s="319" t="s">
        <v>1373</v>
      </c>
      <c r="M9" s="320">
        <f ca="1">INDIRECT("'数据-取费表'!ab"&amp;$G$1)</f>
        <v>0</v>
      </c>
    </row>
    <row r="10" spans="1:37" ht="18" customHeight="1">
      <c r="A10" s="1201" t="s">
        <v>1007</v>
      </c>
      <c r="B10" s="1549" t="s">
        <v>1374</v>
      </c>
      <c r="C10" s="322">
        <f ca="1">ROUND(IF(F10="押一",C6/12*F11,IF(F10="押二",C6/12*2*F11,IF(F10="押三",C6/12*3*F11,C11*F11))),0)</f>
        <v>16</v>
      </c>
      <c r="D10" s="1550" t="s">
        <v>2857</v>
      </c>
      <c r="E10" s="319" t="s">
        <v>1375</v>
      </c>
      <c r="F10" s="1276" t="s">
        <v>3159</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83274</v>
      </c>
      <c r="D13" s="1241" t="s">
        <v>1380</v>
      </c>
      <c r="E13" s="1241" t="s">
        <v>1381</v>
      </c>
      <c r="F13" s="1242">
        <f ca="1">INDIRECT("'数据-取费表'!y"&amp;$G$1)</f>
        <v>0.98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56397</v>
      </c>
      <c r="D14" s="1529" t="s">
        <v>1383</v>
      </c>
      <c r="E14" s="1526"/>
      <c r="F14" s="325"/>
      <c r="G14" s="1568"/>
      <c r="H14" s="1113" t="s">
        <v>1003</v>
      </c>
      <c r="I14" s="308" t="s">
        <v>1384</v>
      </c>
      <c r="J14" s="24">
        <f ca="1">C29</f>
        <v>84973</v>
      </c>
      <c r="K14" s="15"/>
      <c r="L14" s="916"/>
      <c r="M14" s="917"/>
    </row>
    <row r="15" spans="1:37" s="1581" customFormat="1" ht="18" customHeight="1" thickBot="1">
      <c r="A15" s="1113" t="s">
        <v>1004</v>
      </c>
      <c r="B15" s="308" t="s">
        <v>1385</v>
      </c>
      <c r="C15" s="24">
        <f ca="1">ROUND(C14*F15,0)</f>
        <v>1692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2032</v>
      </c>
      <c r="K16" s="1247" t="s">
        <v>1390</v>
      </c>
      <c r="L16" s="1248"/>
      <c r="M16" s="1204"/>
    </row>
    <row r="17" spans="1:37" s="1581" customFormat="1" ht="18" customHeight="1">
      <c r="A17" s="1113" t="s">
        <v>1355</v>
      </c>
      <c r="B17" s="308" t="s">
        <v>1391</v>
      </c>
      <c r="C17" s="24">
        <f ca="1">ROUND(F17*(F43+INDIRECT("'数据-取费表'!S"&amp;$G$1))/10000,0)</f>
        <v>2820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757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846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61755</v>
      </c>
      <c r="D19" s="136" t="s">
        <v>1401</v>
      </c>
      <c r="E19" s="1544"/>
      <c r="F19" s="26"/>
      <c r="G19" s="1568"/>
      <c r="H19" s="1113" t="s">
        <v>1004</v>
      </c>
      <c r="I19" s="308" t="s">
        <v>1402</v>
      </c>
      <c r="J19" s="24">
        <f ca="1">IF(K19="按租金收入计税",ROUND(J6*M19/(1+'数据-取费表'!C42),2),ROUND(C29*M19*0.7,2))</f>
        <v>713.77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1235</v>
      </c>
      <c r="D20" s="329" t="s">
        <v>1405</v>
      </c>
      <c r="E20" s="308" t="s">
        <v>1387</v>
      </c>
      <c r="F20" s="328">
        <f>'数据-取费表'!B37</f>
        <v>0.02</v>
      </c>
      <c r="G20" s="1580"/>
      <c r="H20" s="1113" t="s">
        <v>1354</v>
      </c>
      <c r="I20" s="160" t="s">
        <v>1406</v>
      </c>
      <c r="J20" s="25">
        <f ca="1">ROUND(M20*M21/10000,2)</f>
        <v>42.97</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47741.4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1274.5999999999999</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2740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-2032</v>
      </c>
      <c r="K25" s="1255" t="s">
        <v>1429</v>
      </c>
      <c r="L25" s="1256"/>
      <c r="M25" s="1257"/>
    </row>
    <row r="26" spans="1:37">
      <c r="A26" s="1113" t="s">
        <v>1002</v>
      </c>
      <c r="B26" s="308" t="s">
        <v>1430</v>
      </c>
      <c r="C26" s="24">
        <f ca="1">ROUND((C19+C20)*F26,0)</f>
        <v>12598</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84973</v>
      </c>
      <c r="D29" s="1252"/>
      <c r="E29" s="1250"/>
      <c r="F29" s="1253"/>
      <c r="G29" s="1580"/>
      <c r="H29" s="340" t="s">
        <v>1001</v>
      </c>
      <c r="I29" s="341" t="s">
        <v>1444</v>
      </c>
      <c r="J29" s="342">
        <f ca="1">ROUND(J26/(1+F40)^F41,0)</f>
        <v>0</v>
      </c>
      <c r="K29" s="343" t="s">
        <v>1445</v>
      </c>
      <c r="L29" s="344"/>
      <c r="M29" s="345">
        <f ca="1">INDIRECT("'数据-取费表'!k"&amp;$G$1)</f>
        <v>140992.71000000002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3876</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2217</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691.68</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1482.17</v>
      </c>
      <c r="D33" s="1554" t="s">
        <v>3160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42.97</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47741.4</v>
      </c>
      <c r="G35" s="1568"/>
      <c r="H35" s="2926"/>
      <c r="I35" s="1582"/>
      <c r="J35" s="1583"/>
      <c r="K35" s="2930"/>
      <c r="L35" s="2929"/>
      <c r="M35" s="2929"/>
    </row>
    <row r="36" spans="1:18" ht="18" customHeight="1">
      <c r="A36" s="1262" t="s">
        <v>1007</v>
      </c>
      <c r="B36" s="308" t="s">
        <v>1414</v>
      </c>
      <c r="C36" s="24">
        <f ca="1">ROUND(C29*F36,1)</f>
        <v>1274.5999999999999</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124.9</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259.7</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9109</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216406</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37.58</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15349</v>
      </c>
      <c r="D43" s="343" t="s">
        <v>1453</v>
      </c>
      <c r="E43" s="344" t="s">
        <v>1454</v>
      </c>
      <c r="F43" s="345">
        <f ca="1">INDIRECT("'数据-取费表'!k"&amp;$G$1)</f>
        <v>140992.71000000002</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-351563</v>
      </c>
      <c r="D46" s="1590" t="str">
        <f>C2</f>
        <v>万元</v>
      </c>
      <c r="E46" s="1584"/>
      <c r="F46" s="1584"/>
      <c r="I46" s="1591" t="s">
        <v>1486</v>
      </c>
      <c r="J46" s="1592"/>
      <c r="K46" s="1593"/>
      <c r="L46" s="1594">
        <f ca="1">IF(M47="住宅",0,IF(L48&gt;J51,L60,J60))</f>
        <v>1584</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3161</v>
      </c>
      <c r="K47" s="1600" t="s">
        <v>1492</v>
      </c>
      <c r="L47" s="1601">
        <f ca="1">INDIRECT("'数据-取费表'!d"&amp;$G$1)</f>
        <v>40</v>
      </c>
      <c r="M47" s="1564" t="str">
        <f>IF(ISNUMBER(FIND("住宅",C1)),"住宅","非住宅")</f>
        <v>非住宅</v>
      </c>
      <c r="O47" s="1602" t="s">
        <v>1008</v>
      </c>
      <c r="P47" s="1603" t="s">
        <v>1493</v>
      </c>
      <c r="Q47" s="1604">
        <f ca="1">C40+J29</f>
        <v>216406</v>
      </c>
      <c r="R47" s="1604" t="s">
        <v>1494</v>
      </c>
    </row>
    <row r="48" spans="1:18" s="1568" customFormat="1" ht="28.5" thickBot="1">
      <c r="A48" s="1270" t="s">
        <v>1103</v>
      </c>
      <c r="B48" s="306" t="s">
        <v>1366</v>
      </c>
      <c r="C48" s="1543">
        <f ca="1">C49+C53+C55</f>
        <v>0</v>
      </c>
      <c r="D48" s="1272"/>
      <c r="E48" s="1273"/>
      <c r="F48" s="1093"/>
      <c r="G48" s="731"/>
      <c r="H48" s="732"/>
      <c r="I48" s="1605" t="s">
        <v>1495</v>
      </c>
      <c r="J48" s="1606" t="s">
        <v>3162</v>
      </c>
      <c r="K48" s="1607" t="s">
        <v>1496</v>
      </c>
      <c r="L48" s="1608">
        <f ca="1">INDIRECT("'数据-取费表'!f"&amp;$G$1)</f>
        <v>37.58</v>
      </c>
      <c r="O48" s="1602" t="s">
        <v>1009</v>
      </c>
      <c r="P48" s="1603" t="s">
        <v>1497</v>
      </c>
      <c r="Q48" s="1604">
        <f ca="1">J60</f>
        <v>1584</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2020</v>
      </c>
      <c r="K49" s="1607" t="s">
        <v>1500</v>
      </c>
      <c r="L49" s="1611"/>
      <c r="O49" s="1612" t="s">
        <v>1010</v>
      </c>
      <c r="P49" s="1603" t="s">
        <v>1501</v>
      </c>
      <c r="Q49" s="1604">
        <f ca="1">C29</f>
        <v>84973</v>
      </c>
      <c r="R49" s="1604" t="s">
        <v>1494</v>
      </c>
    </row>
    <row r="50" spans="1:18" s="1568" customFormat="1" ht="13.5" thickBot="1">
      <c r="A50" s="1107"/>
      <c r="B50" s="1110"/>
      <c r="C50" s="1278"/>
      <c r="D50" s="1084"/>
      <c r="E50" s="1187" t="s">
        <v>1371</v>
      </c>
      <c r="F50" s="1188">
        <f ca="1">F7</f>
        <v>140992.71000000002</v>
      </c>
      <c r="H50" s="732"/>
      <c r="I50" s="1605" t="s">
        <v>1502</v>
      </c>
      <c r="J50" s="1613">
        <f>SUMPRODUCT((I63:I65=J47)*(J62:L62=J48)*(J63:L65))</f>
        <v>60</v>
      </c>
      <c r="K50" s="1607" t="s">
        <v>1503</v>
      </c>
      <c r="L50" s="1611"/>
      <c r="M50" s="1614"/>
      <c r="O50" s="1612" t="s">
        <v>1011</v>
      </c>
      <c r="P50" s="1603" t="s">
        <v>1504</v>
      </c>
      <c r="Q50" s="1615">
        <f ca="1">J58</f>
        <v>0.4</v>
      </c>
      <c r="R50" s="1604"/>
    </row>
    <row r="51" spans="1:18" s="1568" customFormat="1" ht="13.5" thickBot="1">
      <c r="A51" s="1108"/>
      <c r="B51" s="1110"/>
      <c r="C51" s="1111"/>
      <c r="D51" s="1084"/>
      <c r="E51" s="1112" t="s">
        <v>1372</v>
      </c>
      <c r="F51" s="309">
        <f ca="1">F8</f>
        <v>365</v>
      </c>
      <c r="I51" s="1616" t="s">
        <v>1505</v>
      </c>
      <c r="J51" s="1617">
        <f>IF(J49="",J50,J49+J50-YEAR('数据-取费表'!B2))</f>
        <v>59</v>
      </c>
      <c r="K51" s="1618" t="s">
        <v>1506</v>
      </c>
      <c r="L51" s="1619">
        <f ca="1">ROUND(-PV(INDIRECT("'数据-取费表'!h"&amp;$G$1),J51,(C39-C13*C76),0),0)</f>
        <v>46190</v>
      </c>
      <c r="M51" s="1620"/>
      <c r="O51" s="1612" t="s">
        <v>1012</v>
      </c>
      <c r="P51" s="1603" t="s">
        <v>1507</v>
      </c>
      <c r="Q51" s="1615">
        <f>J52</f>
        <v>8.5000000000000006E-2</v>
      </c>
      <c r="R51" s="1604"/>
    </row>
    <row r="52" spans="1:18" s="1568" customFormat="1" ht="13.5" thickBot="1">
      <c r="A52" s="1108"/>
      <c r="B52" s="1110"/>
      <c r="C52" s="1111"/>
      <c r="D52" s="1084"/>
      <c r="E52" s="1112" t="s">
        <v>1373</v>
      </c>
      <c r="F52" s="1185"/>
      <c r="I52" s="1621" t="s">
        <v>1508</v>
      </c>
      <c r="J52" s="1622">
        <v>8.5000000000000006E-2</v>
      </c>
      <c r="K52" s="1621" t="s">
        <v>1509</v>
      </c>
      <c r="L52" s="1622"/>
      <c r="O52" s="1612" t="s">
        <v>1013</v>
      </c>
      <c r="P52" s="1603" t="s">
        <v>1510</v>
      </c>
      <c r="Q52" s="1604">
        <f ca="1">J53</f>
        <v>37.58</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37.58</v>
      </c>
      <c r="K53" s="3441" t="s">
        <v>1513</v>
      </c>
      <c r="L53" s="3442"/>
      <c r="O53" s="1602" t="s">
        <v>1014</v>
      </c>
      <c r="P53" s="1603" t="s">
        <v>1514</v>
      </c>
      <c r="Q53" s="1604">
        <f ca="1">Q47+Q48</f>
        <v>217990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0.35699999999999998</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83274</v>
      </c>
      <c r="D56" s="1631"/>
      <c r="E56" s="1632"/>
      <c r="F56" s="1624"/>
      <c r="I56" s="1633" t="s">
        <v>1519</v>
      </c>
      <c r="J56" s="1634" t="s">
        <v>3068</v>
      </c>
      <c r="K56" s="1605" t="s">
        <v>1520</v>
      </c>
      <c r="L56" s="1608" t="str">
        <f ca="1">IF(L48&lt;J51,"——",L48-J53)</f>
        <v>——</v>
      </c>
      <c r="O56" s="1602" t="s">
        <v>1008</v>
      </c>
      <c r="P56" s="1603" t="s">
        <v>1493</v>
      </c>
      <c r="Q56" s="1604">
        <f ca="1">C40+J29</f>
        <v>216406</v>
      </c>
      <c r="R56" s="1604" t="s">
        <v>1494</v>
      </c>
    </row>
    <row r="57" spans="1:18" s="1568" customFormat="1" ht="24.75" thickBot="1">
      <c r="A57" s="1635"/>
      <c r="B57" s="1081" t="s">
        <v>1443</v>
      </c>
      <c r="C57" s="244">
        <f ca="1">C29</f>
        <v>84973</v>
      </c>
      <c r="D57" s="1636"/>
      <c r="E57" s="1637"/>
      <c r="F57" s="1638"/>
      <c r="I57" s="1639" t="s">
        <v>1521</v>
      </c>
      <c r="J57" s="1640">
        <f ca="1">IF(OR(M47="住宅",J51&lt;L48,J56="是"),"——",J51-L48)</f>
        <v>21.42</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8581</v>
      </c>
      <c r="D58" s="1091" t="s">
        <v>1390</v>
      </c>
      <c r="E58" s="1092"/>
      <c r="F58" s="1093"/>
      <c r="I58" s="1639" t="s">
        <v>1525</v>
      </c>
      <c r="J58" s="1641">
        <f ca="1">IF(J55&lt;0.4,0.4,J55)</f>
        <v>0.4</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7181</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33989</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f ca="1">IF(OR(M47="住宅",J51&lt;L48,J56="是"),"0",ROUND(J59/(1+J52)^J53,0))</f>
        <v>1584</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7137.73</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42.97</v>
      </c>
      <c r="D62" s="1096" t="s">
        <v>1462</v>
      </c>
      <c r="E62" s="1081" t="s">
        <v>1463</v>
      </c>
      <c r="F62" s="331">
        <f t="shared" si="0"/>
        <v>9</v>
      </c>
      <c r="I62" s="1646" t="s">
        <v>1535</v>
      </c>
      <c r="J62" s="1647" t="s">
        <v>1536</v>
      </c>
      <c r="K62" s="1647" t="s">
        <v>1537</v>
      </c>
      <c r="L62" s="1647" t="s">
        <v>1538</v>
      </c>
      <c r="M62" s="1648" t="s">
        <v>1539</v>
      </c>
      <c r="O62" s="1602" t="s">
        <v>1014</v>
      </c>
      <c r="P62" s="1603" t="s">
        <v>1540</v>
      </c>
      <c r="Q62" s="1604">
        <f ca="1">Q56+Q57</f>
        <v>216406</v>
      </c>
      <c r="R62" s="1604" t="s">
        <v>1015</v>
      </c>
    </row>
    <row r="63" spans="1:18" s="1568" customFormat="1" ht="13.5" thickBot="1">
      <c r="A63" s="332"/>
      <c r="B63" s="1087"/>
      <c r="C63" s="29"/>
      <c r="D63" s="1097"/>
      <c r="E63" s="1081" t="s">
        <v>1464</v>
      </c>
      <c r="F63" s="309">
        <f t="shared" ca="1" si="0"/>
        <v>47741.4</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1274.5999999999999</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124.9</v>
      </c>
      <c r="D65" s="1095" t="s">
        <v>1419</v>
      </c>
      <c r="E65" s="1081" t="s">
        <v>1420</v>
      </c>
      <c r="F65" s="336">
        <f t="shared" ca="1" si="0"/>
        <v>1.5E-3</v>
      </c>
      <c r="I65" s="1646" t="s">
        <v>1544</v>
      </c>
      <c r="J65" s="1647">
        <v>40</v>
      </c>
      <c r="K65" s="1647">
        <v>30</v>
      </c>
      <c r="L65" s="1647">
        <v>50</v>
      </c>
      <c r="M65" s="1649">
        <v>0.02</v>
      </c>
      <c r="O65" s="1602" t="s">
        <v>1008</v>
      </c>
      <c r="P65" s="1603" t="s">
        <v>1545</v>
      </c>
      <c r="Q65" s="1604">
        <f ca="1">C40+J29</f>
        <v>216406</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-8581</v>
      </c>
      <c r="D67" s="1094" t="s">
        <v>1429</v>
      </c>
      <c r="E67" s="1099"/>
      <c r="F67" s="1100"/>
      <c r="O67" s="1612" t="s">
        <v>1010</v>
      </c>
      <c r="P67" s="1603" t="s">
        <v>1527</v>
      </c>
      <c r="Q67" s="1650">
        <f ca="1">L51</f>
        <v>46190</v>
      </c>
      <c r="R67" s="1604" t="s">
        <v>1547</v>
      </c>
    </row>
    <row r="68" spans="1:18" s="1568" customFormat="1" ht="16.5" thickBot="1">
      <c r="A68" s="1078" t="s">
        <v>1000</v>
      </c>
      <c r="B68" s="1079" t="s">
        <v>1450</v>
      </c>
      <c r="C68" s="307">
        <f ca="1">ROUND(C67*(1-((1+F70)/(1+F68))^F69)/(F68-F70),0)</f>
        <v>-135157</v>
      </c>
      <c r="D68" s="1096" t="s">
        <v>1434</v>
      </c>
      <c r="E68" s="1081" t="s">
        <v>1435</v>
      </c>
      <c r="F68" s="318">
        <f ca="1">F40</f>
        <v>5.5E-2</v>
      </c>
      <c r="O68" s="1612" t="s">
        <v>1011</v>
      </c>
      <c r="P68" s="1651" t="s">
        <v>1548</v>
      </c>
      <c r="Q68" s="1604">
        <f ca="1">ROUND(Q69-Q70*Q71,0)</f>
        <v>2447</v>
      </c>
      <c r="R68" s="1604" t="s">
        <v>1019</v>
      </c>
    </row>
    <row r="69" spans="1:18" s="1568" customFormat="1" ht="13.5" thickBot="1">
      <c r="A69" s="1082"/>
      <c r="B69" s="1083"/>
      <c r="C69" s="312"/>
      <c r="D69" s="1101" t="s">
        <v>1438</v>
      </c>
      <c r="E69" s="1081" t="s">
        <v>1439</v>
      </c>
      <c r="F69" s="339">
        <f ca="1">F41</f>
        <v>37.58</v>
      </c>
      <c r="O69" s="1612" t="s">
        <v>1016</v>
      </c>
      <c r="P69" s="1651" t="s">
        <v>1549</v>
      </c>
      <c r="Q69" s="1604">
        <f ca="1">C39</f>
        <v>9109</v>
      </c>
      <c r="R69" s="1604" t="s">
        <v>1494</v>
      </c>
    </row>
    <row r="70" spans="1:18" s="1568" customFormat="1" ht="13.5" thickBot="1">
      <c r="A70" s="1085"/>
      <c r="B70" s="1086"/>
      <c r="C70" s="316"/>
      <c r="D70" s="1097"/>
      <c r="E70" s="1081" t="s">
        <v>1442</v>
      </c>
      <c r="F70" s="1185"/>
      <c r="O70" s="1612" t="s">
        <v>1017</v>
      </c>
      <c r="P70" s="1651" t="s">
        <v>1550</v>
      </c>
      <c r="Q70" s="1604">
        <f ca="1">C13</f>
        <v>83274</v>
      </c>
      <c r="R70" s="1604" t="s">
        <v>1494</v>
      </c>
    </row>
    <row r="71" spans="1:18" s="1568" customFormat="1" ht="13.5" thickBot="1">
      <c r="A71" s="1102" t="s">
        <v>1001</v>
      </c>
      <c r="B71" s="1103" t="s">
        <v>1452</v>
      </c>
      <c r="C71" s="342">
        <f ca="1">ROUND(C68*10000/F71,0)</f>
        <v>-9586</v>
      </c>
      <c r="D71" s="1104" t="s">
        <v>1453</v>
      </c>
      <c r="E71" s="1105" t="s">
        <v>1454</v>
      </c>
      <c r="F71" s="345">
        <f ca="1">F43</f>
        <v>140992.71000000002</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6662</v>
      </c>
      <c r="D75" s="1568"/>
      <c r="E75" s="1568"/>
      <c r="F75" s="1568"/>
      <c r="K75" s="1586"/>
      <c r="L75" s="1568"/>
      <c r="O75" s="1602" t="s">
        <v>1014</v>
      </c>
      <c r="P75" s="1603" t="s">
        <v>1514</v>
      </c>
      <c r="Q75" s="1604">
        <f ca="1">Q65+Q66</f>
        <v>216406</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0.26900000000000002</v>
      </c>
    </row>
    <row r="80" spans="1:18">
      <c r="B80" s="346" t="s">
        <v>1476</v>
      </c>
      <c r="C80" s="280">
        <f ca="1">ROUND(C75/C39,3)</f>
        <v>0.73099999999999998</v>
      </c>
    </row>
    <row r="81" spans="2:3">
      <c r="B81" s="276" t="s">
        <v>1477</v>
      </c>
      <c r="C81" s="244"/>
    </row>
    <row r="82" spans="2:3">
      <c r="B82" s="279" t="s">
        <v>1478</v>
      </c>
      <c r="C82" s="281">
        <f ca="1">1-C83</f>
        <v>0.61499999999999999</v>
      </c>
    </row>
    <row r="83" spans="2:3">
      <c r="B83" s="279" t="s">
        <v>1479</v>
      </c>
      <c r="C83" s="280">
        <f ca="1">ROUND(C13/C40,3)</f>
        <v>0.38500000000000001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443" t="s">
        <v>1368</v>
      </c>
      <c r="C6" s="1206">
        <f ca="1">ROUND(F6*F8*F7*(1-F9),0)</f>
        <v>0</v>
      </c>
      <c r="D6" s="160" t="s">
        <v>2846</v>
      </c>
      <c r="E6" s="308" t="s">
        <v>1370</v>
      </c>
      <c r="F6" s="309">
        <f ca="1">INDIRECT("'数据-取费表'!u"&amp;$G$1)</f>
        <v>0</v>
      </c>
      <c r="G6" s="1568"/>
      <c r="H6" s="1201" t="s">
        <v>1003</v>
      </c>
      <c r="I6" s="3443" t="s">
        <v>1368</v>
      </c>
      <c r="J6" s="307">
        <f ca="1">ROUND(M6*M8*M7*(1-M9),0)</f>
        <v>0</v>
      </c>
      <c r="K6" s="1560" t="s">
        <v>2847</v>
      </c>
      <c r="L6" s="308" t="s">
        <v>1370</v>
      </c>
      <c r="M6" s="309">
        <f ca="1">INDIRECT("'数据-取费表'!z"&amp;$G$1)</f>
        <v>0</v>
      </c>
    </row>
    <row r="7" spans="1:37" ht="18" customHeight="1">
      <c r="A7" s="1205"/>
      <c r="B7" s="3444"/>
      <c r="C7" s="1207"/>
      <c r="D7" s="313"/>
      <c r="E7" s="1208" t="s">
        <v>1371</v>
      </c>
      <c r="F7" s="309">
        <f ca="1">IF(INDIRECT("'数据-取费表'!ah"&amp;$G$1)="",INDIRECT("'数据-取费表'!k"&amp;$G$1),INDIRECT("'数据-取费表'!ah"&amp;$G$1))</f>
        <v>0</v>
      </c>
      <c r="G7" s="1568"/>
      <c r="H7" s="310"/>
      <c r="I7" s="3444"/>
      <c r="J7" s="312"/>
      <c r="K7" s="313"/>
      <c r="L7" s="308" t="s">
        <v>1371</v>
      </c>
      <c r="M7" s="309">
        <f ca="1">F7</f>
        <v>0</v>
      </c>
    </row>
    <row r="8" spans="1:37" ht="18" customHeight="1">
      <c r="A8" s="310"/>
      <c r="B8" s="3444"/>
      <c r="C8" s="312"/>
      <c r="D8" s="313"/>
      <c r="E8" s="308" t="s">
        <v>1372</v>
      </c>
      <c r="F8" s="309">
        <f ca="1">INDIRECT("'数据-取费表'!ai"&amp;$G$1)</f>
        <v>0</v>
      </c>
      <c r="G8" s="1568"/>
      <c r="H8" s="310"/>
      <c r="I8" s="3444"/>
      <c r="J8" s="312"/>
      <c r="K8" s="313"/>
      <c r="L8" s="308" t="s">
        <v>1372</v>
      </c>
      <c r="M8" s="309">
        <f ca="1">INDIRECT("'数据-取费表'!ai"&amp;$G$1)</f>
        <v>0</v>
      </c>
    </row>
    <row r="9" spans="1:37" ht="18" customHeight="1">
      <c r="A9" s="310"/>
      <c r="B9" s="3445"/>
      <c r="C9" s="312"/>
      <c r="D9" s="313"/>
      <c r="E9" s="308" t="s">
        <v>1373</v>
      </c>
      <c r="F9" s="318">
        <f ca="1">INDIRECT("'数据-取费表'!w"&amp;$G$1)</f>
        <v>0</v>
      </c>
      <c r="G9" s="1568"/>
      <c r="H9" s="310"/>
      <c r="I9" s="344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9</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441" t="s">
        <v>1513</v>
      </c>
      <c r="L53" s="3442"/>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9</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217990</v>
      </c>
      <c r="C2" s="2058" t="s">
        <v>2340</v>
      </c>
      <c r="D2" s="2059" t="s">
        <v>2341</v>
      </c>
      <c r="E2" s="2833">
        <f>SUM(E6:E13)</f>
        <v>140992.71000000002</v>
      </c>
      <c r="F2" s="2936"/>
      <c r="G2" s="1674"/>
      <c r="H2" s="1674"/>
      <c r="I2" s="1674"/>
      <c r="J2" s="1674"/>
      <c r="K2" s="1674"/>
      <c r="L2" s="1674"/>
      <c r="M2" s="1674"/>
      <c r="N2" s="1674"/>
      <c r="O2" s="1674"/>
      <c r="P2" s="1674"/>
      <c r="Q2" s="1674"/>
      <c r="R2" s="1674"/>
      <c r="S2" s="1674"/>
    </row>
    <row r="3" spans="1:22" ht="15.75">
      <c r="A3" s="2056" t="s">
        <v>1360</v>
      </c>
      <c r="B3" s="2827">
        <f ca="1">ROUND(B2*10000/E2,0)</f>
        <v>15461</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446" t="s">
        <v>2343</v>
      </c>
      <c r="C5" s="3447"/>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217990</v>
      </c>
      <c r="C6" s="2058" t="s">
        <v>2340</v>
      </c>
      <c r="D6" s="2938"/>
      <c r="E6" s="2832">
        <f>IF(OR(A6=0,F6="否"),0,'数据-取费表'!K6+'数据-取费表'!S6)</f>
        <v>140992.71000000002</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64" t="s">
        <v>1044</v>
      </c>
      <c r="B1" s="3465"/>
      <c r="C1" s="3466"/>
      <c r="D1" s="3467">
        <f>SUM(I10,I15,I20,I21,I23)</f>
        <v>0</v>
      </c>
      <c r="E1" s="3467"/>
      <c r="F1" s="3467"/>
      <c r="G1" s="3467"/>
      <c r="H1" s="3467"/>
      <c r="I1" s="3468"/>
    </row>
    <row r="2" spans="1:9">
      <c r="A2" s="3454" t="s">
        <v>1045</v>
      </c>
      <c r="B2" s="3455" t="s">
        <v>1046</v>
      </c>
      <c r="C2" s="3455"/>
      <c r="D2" s="1211" t="s">
        <v>1047</v>
      </c>
      <c r="E2" s="1211" t="s">
        <v>1048</v>
      </c>
      <c r="F2" s="1211" t="s">
        <v>1049</v>
      </c>
      <c r="G2" s="1211" t="s">
        <v>1050</v>
      </c>
      <c r="H2" s="1211" t="s">
        <v>1051</v>
      </c>
      <c r="I2" s="1212" t="s">
        <v>1052</v>
      </c>
    </row>
    <row r="3" spans="1:9">
      <c r="A3" s="3454"/>
      <c r="B3" s="3455" t="s">
        <v>1053</v>
      </c>
      <c r="C3" s="3455"/>
      <c r="D3" s="1213"/>
      <c r="E3" s="1211"/>
      <c r="F3" s="1214"/>
      <c r="G3" s="1214"/>
      <c r="H3" s="1215"/>
      <c r="I3" s="1216">
        <f>ROUND(D3*E3*F3*G3*H3/10000,0)</f>
        <v>0</v>
      </c>
    </row>
    <row r="4" spans="1:9">
      <c r="A4" s="3454"/>
      <c r="B4" s="3455" t="s">
        <v>1054</v>
      </c>
      <c r="C4" s="3455"/>
      <c r="D4" s="1213"/>
      <c r="E4" s="1211"/>
      <c r="F4" s="1214"/>
      <c r="G4" s="1214"/>
      <c r="H4" s="1215"/>
      <c r="I4" s="1216">
        <f t="shared" ref="I4:I9" si="0">ROUND(D4*E4*F4*G4*H4/10000,0)</f>
        <v>0</v>
      </c>
    </row>
    <row r="5" spans="1:9">
      <c r="A5" s="3454"/>
      <c r="B5" s="3455" t="s">
        <v>1055</v>
      </c>
      <c r="C5" s="3455"/>
      <c r="D5" s="1213"/>
      <c r="E5" s="1211"/>
      <c r="F5" s="1214"/>
      <c r="G5" s="1214"/>
      <c r="H5" s="1215"/>
      <c r="I5" s="1216">
        <f t="shared" si="0"/>
        <v>0</v>
      </c>
    </row>
    <row r="6" spans="1:9">
      <c r="A6" s="3454"/>
      <c r="B6" s="3455" t="s">
        <v>1056</v>
      </c>
      <c r="C6" s="3455"/>
      <c r="D6" s="1213"/>
      <c r="E6" s="1211"/>
      <c r="F6" s="1214"/>
      <c r="G6" s="1214"/>
      <c r="H6" s="1215"/>
      <c r="I6" s="1216">
        <f t="shared" si="0"/>
        <v>0</v>
      </c>
    </row>
    <row r="7" spans="1:9">
      <c r="A7" s="3454"/>
      <c r="B7" s="3455" t="s">
        <v>1057</v>
      </c>
      <c r="C7" s="3455"/>
      <c r="D7" s="1213"/>
      <c r="E7" s="1211"/>
      <c r="F7" s="1214"/>
      <c r="G7" s="1214"/>
      <c r="H7" s="1215"/>
      <c r="I7" s="1216">
        <f t="shared" si="0"/>
        <v>0</v>
      </c>
    </row>
    <row r="8" spans="1:9">
      <c r="A8" s="3454"/>
      <c r="B8" s="3455" t="s">
        <v>1058</v>
      </c>
      <c r="C8" s="3455"/>
      <c r="D8" s="1213"/>
      <c r="E8" s="1211"/>
      <c r="F8" s="1214"/>
      <c r="G8" s="1214"/>
      <c r="H8" s="1215"/>
      <c r="I8" s="1216">
        <f t="shared" si="0"/>
        <v>0</v>
      </c>
    </row>
    <row r="9" spans="1:9">
      <c r="A9" s="3454"/>
      <c r="B9" s="3455" t="s">
        <v>1059</v>
      </c>
      <c r="C9" s="3455"/>
      <c r="D9" s="1213"/>
      <c r="E9" s="1211"/>
      <c r="F9" s="1214"/>
      <c r="G9" s="1214"/>
      <c r="H9" s="1215"/>
      <c r="I9" s="1216">
        <f t="shared" si="0"/>
        <v>0</v>
      </c>
    </row>
    <row r="10" spans="1:9">
      <c r="A10" s="3454"/>
      <c r="B10" s="3456" t="s">
        <v>1060</v>
      </c>
      <c r="C10" s="3456"/>
      <c r="D10" s="1217"/>
      <c r="E10" s="1217" t="e">
        <f>ROUND(D1*10000/D10/H9,0)</f>
        <v>#DIV/0!</v>
      </c>
      <c r="F10" s="1218"/>
      <c r="G10" s="1218"/>
      <c r="H10" s="1219"/>
      <c r="I10" s="1220">
        <f>SUM(I3:I9)</f>
        <v>0</v>
      </c>
    </row>
    <row r="11" spans="1:9" ht="14.25">
      <c r="A11" s="3454" t="s">
        <v>1061</v>
      </c>
      <c r="B11" s="3455" t="s">
        <v>1062</v>
      </c>
      <c r="C11" s="3455"/>
      <c r="D11" s="1213" t="s">
        <v>1063</v>
      </c>
      <c r="E11" s="1213" t="s">
        <v>1064</v>
      </c>
      <c r="F11" s="1214" t="s">
        <v>1065</v>
      </c>
      <c r="G11" s="1214" t="s">
        <v>1051</v>
      </c>
      <c r="H11" s="1221" t="s">
        <v>1066</v>
      </c>
      <c r="I11" s="1212" t="s">
        <v>1052</v>
      </c>
    </row>
    <row r="12" spans="1:9">
      <c r="A12" s="3454"/>
      <c r="B12" s="3455" t="s">
        <v>1067</v>
      </c>
      <c r="C12" s="3455"/>
      <c r="D12" s="1213"/>
      <c r="E12" s="1213"/>
      <c r="F12" s="1214"/>
      <c r="G12" s="1215"/>
      <c r="H12" s="1222"/>
      <c r="I12" s="1212">
        <f>ROUND(D12*E12*F12*G12/10000,0)</f>
        <v>0</v>
      </c>
    </row>
    <row r="13" spans="1:9">
      <c r="A13" s="3454"/>
      <c r="B13" s="3455" t="s">
        <v>1068</v>
      </c>
      <c r="C13" s="3455"/>
      <c r="D13" s="1213"/>
      <c r="E13" s="1213"/>
      <c r="F13" s="1214"/>
      <c r="G13" s="1215"/>
      <c r="H13" s="1222"/>
      <c r="I13" s="1212">
        <f>ROUND(D13*E13*F13*G13/10000,0)</f>
        <v>0</v>
      </c>
    </row>
    <row r="14" spans="1:9">
      <c r="A14" s="3454"/>
      <c r="B14" s="3455" t="s">
        <v>1069</v>
      </c>
      <c r="C14" s="3455"/>
      <c r="D14" s="1213"/>
      <c r="E14" s="1213"/>
      <c r="F14" s="1214"/>
      <c r="G14" s="1215"/>
      <c r="H14" s="1222"/>
      <c r="I14" s="1212">
        <f>ROUND(D14*E14*F14*G14/10000,0)</f>
        <v>0</v>
      </c>
    </row>
    <row r="15" spans="1:9">
      <c r="A15" s="3454"/>
      <c r="B15" s="3456" t="s">
        <v>1060</v>
      </c>
      <c r="C15" s="3456"/>
      <c r="D15" s="1217"/>
      <c r="E15" s="1217">
        <f>SUM(E12:E14)</f>
        <v>0</v>
      </c>
      <c r="F15" s="1218"/>
      <c r="G15" s="1215"/>
      <c r="H15" s="1222"/>
      <c r="I15" s="1223">
        <f>SUM(I12:I14)</f>
        <v>0</v>
      </c>
    </row>
    <row r="16" spans="1:9" ht="24">
      <c r="A16" s="3454" t="s">
        <v>1070</v>
      </c>
      <c r="B16" s="3455" t="s">
        <v>1071</v>
      </c>
      <c r="C16" s="3455"/>
      <c r="D16" s="1213" t="s">
        <v>1047</v>
      </c>
      <c r="E16" s="1224" t="s">
        <v>1072</v>
      </c>
      <c r="F16" s="1214" t="s">
        <v>1073</v>
      </c>
      <c r="G16" s="1215" t="s">
        <v>1051</v>
      </c>
      <c r="H16" s="1221" t="s">
        <v>1066</v>
      </c>
      <c r="I16" s="1212" t="s">
        <v>1052</v>
      </c>
    </row>
    <row r="17" spans="1:9" ht="14.25">
      <c r="A17" s="3454"/>
      <c r="B17" s="3455" t="s">
        <v>1074</v>
      </c>
      <c r="C17" s="3455"/>
      <c r="D17" s="1213"/>
      <c r="E17" s="1213"/>
      <c r="F17" s="1214"/>
      <c r="G17" s="1215"/>
      <c r="H17" s="1225"/>
      <c r="I17" s="1226">
        <f>ROUND(D17*E17*F17*G17/10000,0)</f>
        <v>0</v>
      </c>
    </row>
    <row r="18" spans="1:9" ht="14.25">
      <c r="A18" s="3454"/>
      <c r="B18" s="3455" t="s">
        <v>1075</v>
      </c>
      <c r="C18" s="3455"/>
      <c r="D18" s="1213"/>
      <c r="E18" s="1213"/>
      <c r="F18" s="1214"/>
      <c r="G18" s="1215"/>
      <c r="H18" s="1225"/>
      <c r="I18" s="1226">
        <f>ROUND(D18*E18*F18*G18/10000,0)</f>
        <v>0</v>
      </c>
    </row>
    <row r="19" spans="1:9" ht="14.25">
      <c r="A19" s="3454"/>
      <c r="B19" s="3455" t="s">
        <v>1076</v>
      </c>
      <c r="C19" s="3455"/>
      <c r="D19" s="1213"/>
      <c r="E19" s="1213"/>
      <c r="F19" s="1214"/>
      <c r="G19" s="1215"/>
      <c r="H19" s="1225"/>
      <c r="I19" s="1226">
        <f>ROUND(D19*E19*F19*G19/10000,0)</f>
        <v>0</v>
      </c>
    </row>
    <row r="20" spans="1:9">
      <c r="A20" s="3454"/>
      <c r="B20" s="3456" t="s">
        <v>1060</v>
      </c>
      <c r="C20" s="3456"/>
      <c r="D20" s="1217">
        <f>SUM(D17:D19)</f>
        <v>0</v>
      </c>
      <c r="E20" s="1217"/>
      <c r="F20" s="1218"/>
      <c r="G20" s="1215"/>
      <c r="H20" s="1222"/>
      <c r="I20" s="1223">
        <f>SUM(I17:I19)</f>
        <v>0</v>
      </c>
    </row>
    <row r="21" spans="1:9">
      <c r="A21" s="3454" t="s">
        <v>1077</v>
      </c>
      <c r="B21" s="3457"/>
      <c r="C21" s="3457"/>
      <c r="D21" s="3457"/>
      <c r="E21" s="3457"/>
      <c r="F21" s="3457"/>
      <c r="G21" s="3457"/>
      <c r="H21" s="1502">
        <v>0.1</v>
      </c>
      <c r="I21" s="1220">
        <f>ROUND(I10*H21,0)</f>
        <v>0</v>
      </c>
    </row>
    <row r="22" spans="1:9" ht="14.25">
      <c r="A22" s="3458" t="s">
        <v>1078</v>
      </c>
      <c r="B22" s="3459"/>
      <c r="C22" s="3460"/>
      <c r="D22" s="1227" t="s">
        <v>1079</v>
      </c>
      <c r="E22" s="1227" t="s">
        <v>1080</v>
      </c>
      <c r="F22" s="1228" t="s">
        <v>1081</v>
      </c>
      <c r="G22" s="1228" t="s">
        <v>1082</v>
      </c>
      <c r="H22" s="1221" t="s">
        <v>1083</v>
      </c>
      <c r="I22" s="1212" t="s">
        <v>1084</v>
      </c>
    </row>
    <row r="23" spans="1:9" ht="14.25" thickBot="1">
      <c r="A23" s="3461"/>
      <c r="B23" s="3462"/>
      <c r="C23" s="3463"/>
      <c r="D23" s="1229"/>
      <c r="E23" s="1229"/>
      <c r="F23" s="1229"/>
      <c r="G23" s="1230"/>
      <c r="H23" s="1231"/>
      <c r="I23" s="1232">
        <f>ROUND(E23*D23*F23*(1-G23)/10000,0)</f>
        <v>0</v>
      </c>
    </row>
    <row r="26" spans="1:9">
      <c r="A26" s="1233" t="s">
        <v>1085</v>
      </c>
      <c r="B26" s="1233"/>
      <c r="C26" s="1233"/>
      <c r="D26" s="1233"/>
      <c r="E26" s="3451">
        <f>C27-C30-C31-C32</f>
        <v>0</v>
      </c>
      <c r="F26" s="3451"/>
      <c r="G26" s="3451"/>
      <c r="H26" s="1499" t="s">
        <v>1306</v>
      </c>
    </row>
    <row r="27" spans="1:9">
      <c r="A27" s="1234">
        <v>1</v>
      </c>
      <c r="B27" s="1235" t="s">
        <v>1086</v>
      </c>
      <c r="C27" s="1235">
        <f>C28+C29</f>
        <v>0</v>
      </c>
      <c r="D27" s="1235"/>
      <c r="E27" s="3452"/>
      <c r="F27" s="3452"/>
      <c r="G27" s="3452"/>
    </row>
    <row r="28" spans="1:9">
      <c r="A28" s="1236" t="s">
        <v>1087</v>
      </c>
      <c r="B28" s="1235" t="s">
        <v>1088</v>
      </c>
      <c r="C28" s="1235"/>
      <c r="D28" s="1235"/>
      <c r="E28" s="3452"/>
      <c r="F28" s="3452"/>
      <c r="G28" s="345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53"/>
      <c r="F32" s="3453"/>
      <c r="G32" s="3453"/>
    </row>
    <row r="33" spans="1:7" hidden="1">
      <c r="A33" s="3448" t="s">
        <v>1097</v>
      </c>
      <c r="B33" s="3449"/>
      <c r="C33" s="3449"/>
      <c r="D33" s="3450"/>
      <c r="E33" s="3451"/>
      <c r="F33" s="3451"/>
      <c r="G33" s="3451"/>
    </row>
    <row r="34" spans="1:7" hidden="1">
      <c r="A34" s="1238">
        <v>1</v>
      </c>
      <c r="B34" s="1235" t="s">
        <v>1098</v>
      </c>
      <c r="C34" s="1235"/>
      <c r="D34" s="1235"/>
      <c r="E34" s="3452"/>
      <c r="F34" s="3452"/>
      <c r="G34" s="3452"/>
    </row>
    <row r="35" spans="1:7" hidden="1">
      <c r="A35" s="1238">
        <v>2</v>
      </c>
      <c r="B35" s="1235" t="s">
        <v>1099</v>
      </c>
      <c r="C35" s="1235"/>
      <c r="D35" s="1235"/>
      <c r="E35" s="3452"/>
      <c r="F35" s="3452"/>
      <c r="G35" s="3452"/>
    </row>
    <row r="36" spans="1:7" hidden="1">
      <c r="A36" s="1238">
        <v>3</v>
      </c>
      <c r="B36" s="1235" t="s">
        <v>1100</v>
      </c>
      <c r="C36" s="1235"/>
      <c r="D36" s="1235"/>
      <c r="E36" s="3452"/>
      <c r="F36" s="3452"/>
      <c r="G36" s="3452"/>
    </row>
    <row r="37" spans="1:7" hidden="1">
      <c r="A37" s="1238">
        <v>4</v>
      </c>
      <c r="B37" s="1235" t="s">
        <v>1101</v>
      </c>
      <c r="C37" s="1235"/>
      <c r="D37" s="1235"/>
      <c r="E37" s="3452"/>
      <c r="F37" s="3452"/>
      <c r="G37" s="3452"/>
    </row>
    <row r="38" spans="1:7" hidden="1">
      <c r="A38" s="3448" t="s">
        <v>1102</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140992.71000000002</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487" t="s">
        <v>2357</v>
      </c>
      <c r="D4" s="3488"/>
      <c r="E4" s="3489" t="s">
        <v>2358</v>
      </c>
      <c r="F4" s="3490"/>
      <c r="G4" s="3487" t="s">
        <v>2359</v>
      </c>
      <c r="H4" s="3488"/>
      <c r="I4" s="3487" t="s">
        <v>2360</v>
      </c>
      <c r="J4" s="3488"/>
      <c r="K4" s="2075" t="s">
        <v>2361</v>
      </c>
      <c r="L4" s="2944"/>
      <c r="M4" s="2945"/>
      <c r="N4" s="2945"/>
      <c r="O4" s="2945"/>
      <c r="P4" s="3491" t="s">
        <v>2362</v>
      </c>
      <c r="Q4" s="3492"/>
      <c r="R4" s="3497" t="s">
        <v>2358</v>
      </c>
      <c r="S4" s="3498"/>
      <c r="T4" s="3497" t="s">
        <v>2359</v>
      </c>
      <c r="U4" s="3498"/>
      <c r="V4" s="3503" t="s">
        <v>2360</v>
      </c>
      <c r="W4" s="3503"/>
      <c r="X4" s="1539"/>
      <c r="Y4" s="3497" t="s">
        <v>2362</v>
      </c>
      <c r="Z4" s="3498"/>
      <c r="AA4" s="3484" t="s">
        <v>2358</v>
      </c>
      <c r="AB4" s="3484" t="s">
        <v>2359</v>
      </c>
      <c r="AC4" s="3484" t="s">
        <v>2360</v>
      </c>
    </row>
    <row r="5" spans="1:29" ht="15">
      <c r="A5" s="364"/>
      <c r="B5" s="365"/>
      <c r="C5" s="3506" t="s">
        <v>2363</v>
      </c>
      <c r="D5" s="3507"/>
      <c r="E5" s="3513" t="s">
        <v>2364</v>
      </c>
      <c r="F5" s="3514"/>
      <c r="G5" s="3506" t="s">
        <v>2365</v>
      </c>
      <c r="H5" s="3507"/>
      <c r="I5" s="3506" t="s">
        <v>2366</v>
      </c>
      <c r="J5" s="3507"/>
      <c r="K5" s="2076"/>
      <c r="L5" s="2944"/>
      <c r="M5" s="2945"/>
      <c r="N5" s="2945"/>
      <c r="O5" s="2945"/>
      <c r="P5" s="3493"/>
      <c r="Q5" s="3494"/>
      <c r="R5" s="3499"/>
      <c r="S5" s="3500"/>
      <c r="T5" s="3499"/>
      <c r="U5" s="3500"/>
      <c r="V5" s="3503"/>
      <c r="W5" s="3503"/>
      <c r="X5" s="1539"/>
      <c r="Y5" s="3499"/>
      <c r="Z5" s="3500"/>
      <c r="AA5" s="3485"/>
      <c r="AB5" s="3485"/>
      <c r="AC5" s="3485"/>
    </row>
    <row r="6" spans="1:29" ht="15.75" thickBot="1">
      <c r="A6" s="366"/>
      <c r="B6" s="367"/>
      <c r="C6" s="3504" t="s">
        <v>2367</v>
      </c>
      <c r="D6" s="3505"/>
      <c r="E6" s="3511" t="s">
        <v>2367</v>
      </c>
      <c r="F6" s="3512"/>
      <c r="G6" s="3504" t="s">
        <v>2367</v>
      </c>
      <c r="H6" s="3505"/>
      <c r="I6" s="3504" t="s">
        <v>2367</v>
      </c>
      <c r="J6" s="3505"/>
      <c r="K6" s="2076" t="s">
        <v>2368</v>
      </c>
      <c r="L6" s="2944"/>
      <c r="M6" s="2945"/>
      <c r="N6" s="2945"/>
      <c r="O6" s="2945"/>
      <c r="P6" s="3495"/>
      <c r="Q6" s="3496"/>
      <c r="R6" s="3499"/>
      <c r="S6" s="3500"/>
      <c r="T6" s="3501"/>
      <c r="U6" s="3502"/>
      <c r="V6" s="3503"/>
      <c r="W6" s="3503"/>
      <c r="X6" s="1539"/>
      <c r="Y6" s="3501"/>
      <c r="Z6" s="3502"/>
      <c r="AA6" s="3486"/>
      <c r="AB6" s="3486"/>
      <c r="AC6" s="3486"/>
    </row>
    <row r="7" spans="1:29" s="113" customFormat="1" ht="15.75" thickBot="1">
      <c r="A7" s="368" t="s">
        <v>2369</v>
      </c>
      <c r="B7" s="369"/>
      <c r="C7" s="370">
        <f>'数据-取费表'!B2</f>
        <v>44411</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508" t="s">
        <v>2370</v>
      </c>
      <c r="Q7" s="3510"/>
      <c r="R7" s="710" t="s">
        <v>23</v>
      </c>
      <c r="S7" s="711">
        <f t="shared" ref="S7:S15" si="0">F7</f>
        <v>0</v>
      </c>
      <c r="T7" s="710" t="s">
        <v>23</v>
      </c>
      <c r="U7" s="711">
        <f t="shared" ref="U7:U15" si="1">H7</f>
        <v>0</v>
      </c>
      <c r="V7" s="710" t="s">
        <v>23</v>
      </c>
      <c r="W7" s="711">
        <f t="shared" ref="W7:W15" si="2">J7</f>
        <v>0</v>
      </c>
      <c r="X7" s="712"/>
      <c r="Y7" s="3508" t="s">
        <v>2370</v>
      </c>
      <c r="Z7" s="3509"/>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508" t="s">
        <v>2373</v>
      </c>
      <c r="Q8" s="3509"/>
      <c r="R8" s="710" t="s">
        <v>23</v>
      </c>
      <c r="S8" s="711">
        <f t="shared" si="0"/>
        <v>0</v>
      </c>
      <c r="T8" s="710" t="s">
        <v>23</v>
      </c>
      <c r="U8" s="711">
        <f t="shared" si="1"/>
        <v>0</v>
      </c>
      <c r="V8" s="710" t="s">
        <v>23</v>
      </c>
      <c r="W8" s="711">
        <f t="shared" si="2"/>
        <v>0</v>
      </c>
      <c r="X8" s="712"/>
      <c r="Y8" s="3508" t="s">
        <v>2373</v>
      </c>
      <c r="Z8" s="350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483" t="s">
        <v>2376</v>
      </c>
      <c r="Q9" s="1527" t="str">
        <f t="shared" ref="Q9:Q15" si="6">B9</f>
        <v>用途</v>
      </c>
      <c r="R9" s="710" t="s">
        <v>17</v>
      </c>
      <c r="S9" s="711">
        <f t="shared" si="0"/>
        <v>100</v>
      </c>
      <c r="T9" s="710" t="s">
        <v>17</v>
      </c>
      <c r="U9" s="711">
        <f t="shared" si="1"/>
        <v>100</v>
      </c>
      <c r="V9" s="710" t="s">
        <v>17</v>
      </c>
      <c r="W9" s="711">
        <f t="shared" si="2"/>
        <v>100</v>
      </c>
      <c r="X9" s="712"/>
      <c r="Y9" s="334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483"/>
      <c r="Q10" s="1527"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483"/>
      <c r="Q11" s="1527" t="str">
        <f t="shared" si="6"/>
        <v>容积率</v>
      </c>
      <c r="R11" s="710" t="s">
        <v>21</v>
      </c>
      <c r="S11" s="711" t="e">
        <f t="shared" si="0"/>
        <v>#N/A</v>
      </c>
      <c r="T11" s="710" t="s">
        <v>21</v>
      </c>
      <c r="U11" s="711" t="e">
        <f t="shared" si="1"/>
        <v>#N/A</v>
      </c>
      <c r="V11" s="710" t="s">
        <v>21</v>
      </c>
      <c r="W11" s="711" t="e">
        <f t="shared" si="2"/>
        <v>#N/A</v>
      </c>
      <c r="X11" s="712"/>
      <c r="Y11" s="3342"/>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483"/>
      <c r="Q12" s="1527">
        <f t="shared" si="6"/>
        <v>111</v>
      </c>
      <c r="R12" s="710" t="s">
        <v>21</v>
      </c>
      <c r="S12" s="711">
        <f t="shared" si="0"/>
        <v>100</v>
      </c>
      <c r="T12" s="710" t="s">
        <v>21</v>
      </c>
      <c r="U12" s="711">
        <f t="shared" si="1"/>
        <v>100</v>
      </c>
      <c r="V12" s="710" t="s">
        <v>21</v>
      </c>
      <c r="W12" s="711">
        <f t="shared" si="2"/>
        <v>100</v>
      </c>
      <c r="X12" s="712"/>
      <c r="Y12" s="334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483"/>
      <c r="Q13" s="1527">
        <f t="shared" si="6"/>
        <v>111</v>
      </c>
      <c r="R13" s="710" t="s">
        <v>21</v>
      </c>
      <c r="S13" s="711">
        <f t="shared" si="0"/>
        <v>100</v>
      </c>
      <c r="T13" s="710" t="s">
        <v>21</v>
      </c>
      <c r="U13" s="711">
        <f t="shared" si="1"/>
        <v>100</v>
      </c>
      <c r="V13" s="710" t="s">
        <v>21</v>
      </c>
      <c r="W13" s="711">
        <f t="shared" si="2"/>
        <v>100</v>
      </c>
      <c r="X13" s="712"/>
      <c r="Y13" s="3342"/>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483"/>
      <c r="Q14" s="1527">
        <f t="shared" si="6"/>
        <v>111</v>
      </c>
      <c r="R14" s="710" t="s">
        <v>21</v>
      </c>
      <c r="S14" s="711">
        <f t="shared" si="0"/>
        <v>100</v>
      </c>
      <c r="T14" s="710" t="s">
        <v>21</v>
      </c>
      <c r="U14" s="711">
        <f t="shared" si="1"/>
        <v>100</v>
      </c>
      <c r="V14" s="710" t="s">
        <v>21</v>
      </c>
      <c r="W14" s="711">
        <f t="shared" si="2"/>
        <v>100</v>
      </c>
      <c r="X14" s="712"/>
      <c r="Y14" s="3342"/>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481" t="s">
        <v>2381</v>
      </c>
      <c r="Q15" s="1536" t="str">
        <f t="shared" si="6"/>
        <v>居住社区成熟度</v>
      </c>
      <c r="R15" s="714" t="s">
        <v>21</v>
      </c>
      <c r="S15" s="715">
        <f t="shared" si="0"/>
        <v>100</v>
      </c>
      <c r="T15" s="714" t="s">
        <v>21</v>
      </c>
      <c r="U15" s="715">
        <f t="shared" si="1"/>
        <v>100</v>
      </c>
      <c r="V15" s="714" t="s">
        <v>21</v>
      </c>
      <c r="W15" s="715">
        <f t="shared" si="2"/>
        <v>100</v>
      </c>
      <c r="X15" s="1539"/>
      <c r="Y15" s="3474"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482"/>
      <c r="Q16" s="1536"/>
      <c r="R16" s="714"/>
      <c r="S16" s="715"/>
      <c r="T16" s="714"/>
      <c r="U16" s="715"/>
      <c r="V16" s="714"/>
      <c r="W16" s="715"/>
      <c r="X16" s="1539"/>
      <c r="Y16" s="347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482"/>
      <c r="Q17" s="1536" t="str">
        <f>B17</f>
        <v>交通便捷度</v>
      </c>
      <c r="R17" s="714" t="s">
        <v>21</v>
      </c>
      <c r="S17" s="715">
        <f>F17</f>
        <v>100</v>
      </c>
      <c r="T17" s="714" t="s">
        <v>21</v>
      </c>
      <c r="U17" s="715">
        <f>H17</f>
        <v>100</v>
      </c>
      <c r="V17" s="714" t="s">
        <v>21</v>
      </c>
      <c r="W17" s="715">
        <f>J17</f>
        <v>100</v>
      </c>
      <c r="X17" s="1539"/>
      <c r="Y17" s="3475"/>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482"/>
      <c r="Q18" s="1536"/>
      <c r="R18" s="714"/>
      <c r="S18" s="715"/>
      <c r="T18" s="714"/>
      <c r="U18" s="715"/>
      <c r="V18" s="714"/>
      <c r="W18" s="715"/>
      <c r="X18" s="1539"/>
      <c r="Y18" s="3475"/>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482"/>
      <c r="Q19" s="1536" t="str">
        <f>B19</f>
        <v>公共配套设施</v>
      </c>
      <c r="R19" s="714" t="s">
        <v>21</v>
      </c>
      <c r="S19" s="715">
        <f>F19</f>
        <v>100</v>
      </c>
      <c r="T19" s="714" t="s">
        <v>21</v>
      </c>
      <c r="U19" s="715">
        <f>H19</f>
        <v>100</v>
      </c>
      <c r="V19" s="714" t="s">
        <v>21</v>
      </c>
      <c r="W19" s="715">
        <f>J19</f>
        <v>100</v>
      </c>
      <c r="X19" s="1539"/>
      <c r="Y19" s="3475"/>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482"/>
      <c r="Q20" s="1536"/>
      <c r="R20" s="714"/>
      <c r="S20" s="715"/>
      <c r="T20" s="714"/>
      <c r="U20" s="715"/>
      <c r="V20" s="714"/>
      <c r="W20" s="715"/>
      <c r="X20" s="1539"/>
      <c r="Y20" s="3475"/>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482"/>
      <c r="Q21" s="1536" t="str">
        <f>B21</f>
        <v>基础设施水平</v>
      </c>
      <c r="R21" s="714" t="s">
        <v>17</v>
      </c>
      <c r="S21" s="715">
        <f>F21</f>
        <v>100</v>
      </c>
      <c r="T21" s="714" t="s">
        <v>17</v>
      </c>
      <c r="U21" s="715">
        <f>H21</f>
        <v>100</v>
      </c>
      <c r="V21" s="714" t="s">
        <v>17</v>
      </c>
      <c r="W21" s="715">
        <f>J21</f>
        <v>100</v>
      </c>
      <c r="X21" s="1539"/>
      <c r="Y21" s="347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482"/>
      <c r="Q22" s="1536"/>
      <c r="R22" s="714"/>
      <c r="S22" s="715"/>
      <c r="T22" s="714"/>
      <c r="U22" s="715"/>
      <c r="V22" s="714"/>
      <c r="W22" s="715"/>
      <c r="X22" s="1539"/>
      <c r="Y22" s="3475"/>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482"/>
      <c r="Q23" s="1536" t="str">
        <f>B23</f>
        <v>自然及人文环境</v>
      </c>
      <c r="R23" s="714" t="s">
        <v>21</v>
      </c>
      <c r="S23" s="715">
        <f>F23</f>
        <v>100</v>
      </c>
      <c r="T23" s="714" t="s">
        <v>21</v>
      </c>
      <c r="U23" s="715">
        <f>H23</f>
        <v>100</v>
      </c>
      <c r="V23" s="714" t="s">
        <v>21</v>
      </c>
      <c r="W23" s="715">
        <f>J23</f>
        <v>100</v>
      </c>
      <c r="X23" s="1539"/>
      <c r="Y23" s="3475"/>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482"/>
      <c r="Q24" s="1536"/>
      <c r="R24" s="714"/>
      <c r="S24" s="715"/>
      <c r="T24" s="714"/>
      <c r="U24" s="715"/>
      <c r="V24" s="714"/>
      <c r="W24" s="715"/>
      <c r="X24" s="1539"/>
      <c r="Y24" s="3475"/>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482"/>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75"/>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482"/>
      <c r="Q26" s="1536" t="str">
        <f t="shared" si="11"/>
        <v>朝向</v>
      </c>
      <c r="R26" s="714" t="s">
        <v>21</v>
      </c>
      <c r="S26" s="715">
        <f t="shared" si="12"/>
        <v>100</v>
      </c>
      <c r="T26" s="714" t="s">
        <v>21</v>
      </c>
      <c r="U26" s="715">
        <f t="shared" si="13"/>
        <v>100</v>
      </c>
      <c r="V26" s="714" t="s">
        <v>21</v>
      </c>
      <c r="W26" s="715">
        <f t="shared" si="14"/>
        <v>100</v>
      </c>
      <c r="X26" s="1539"/>
      <c r="Y26" s="3475"/>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482"/>
      <c r="Q27" s="1527">
        <f t="shared" si="11"/>
        <v>111</v>
      </c>
      <c r="R27" s="710" t="s">
        <v>21</v>
      </c>
      <c r="S27" s="711">
        <f t="shared" si="12"/>
        <v>100</v>
      </c>
      <c r="T27" s="710" t="s">
        <v>21</v>
      </c>
      <c r="U27" s="711">
        <f t="shared" si="13"/>
        <v>100</v>
      </c>
      <c r="V27" s="710" t="s">
        <v>21</v>
      </c>
      <c r="W27" s="711">
        <f t="shared" si="14"/>
        <v>100</v>
      </c>
      <c r="X27" s="712"/>
      <c r="Y27" s="3475"/>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482"/>
      <c r="Q28" s="1536">
        <f t="shared" si="11"/>
        <v>111</v>
      </c>
      <c r="R28" s="714" t="s">
        <v>21</v>
      </c>
      <c r="S28" s="715">
        <f t="shared" si="12"/>
        <v>100</v>
      </c>
      <c r="T28" s="714" t="s">
        <v>21</v>
      </c>
      <c r="U28" s="715">
        <f t="shared" si="13"/>
        <v>100</v>
      </c>
      <c r="V28" s="714" t="s">
        <v>21</v>
      </c>
      <c r="W28" s="715">
        <f t="shared" si="14"/>
        <v>100</v>
      </c>
      <c r="X28" s="1539"/>
      <c r="Y28" s="3475"/>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482"/>
      <c r="Q29" s="1536">
        <f t="shared" si="11"/>
        <v>111</v>
      </c>
      <c r="R29" s="714" t="s">
        <v>21</v>
      </c>
      <c r="S29" s="715">
        <f t="shared" si="12"/>
        <v>100</v>
      </c>
      <c r="T29" s="714" t="s">
        <v>21</v>
      </c>
      <c r="U29" s="715">
        <f t="shared" si="13"/>
        <v>100</v>
      </c>
      <c r="V29" s="714" t="s">
        <v>21</v>
      </c>
      <c r="W29" s="715">
        <f t="shared" si="14"/>
        <v>100</v>
      </c>
      <c r="X29" s="1539"/>
      <c r="Y29" s="3475"/>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482"/>
      <c r="Q30" s="1536">
        <f t="shared" si="11"/>
        <v>111</v>
      </c>
      <c r="R30" s="714" t="s">
        <v>21</v>
      </c>
      <c r="S30" s="715">
        <f t="shared" si="12"/>
        <v>100</v>
      </c>
      <c r="T30" s="714" t="s">
        <v>21</v>
      </c>
      <c r="U30" s="715">
        <f t="shared" si="13"/>
        <v>100</v>
      </c>
      <c r="V30" s="714" t="s">
        <v>21</v>
      </c>
      <c r="W30" s="715">
        <f t="shared" si="14"/>
        <v>100</v>
      </c>
      <c r="X30" s="1539"/>
      <c r="Y30" s="3475"/>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482"/>
      <c r="Q31" s="1536">
        <f t="shared" si="11"/>
        <v>111</v>
      </c>
      <c r="R31" s="714" t="s">
        <v>21</v>
      </c>
      <c r="S31" s="715">
        <f t="shared" si="12"/>
        <v>100</v>
      </c>
      <c r="T31" s="714" t="s">
        <v>21</v>
      </c>
      <c r="U31" s="715">
        <f t="shared" si="13"/>
        <v>100</v>
      </c>
      <c r="V31" s="714" t="s">
        <v>21</v>
      </c>
      <c r="W31" s="715">
        <f t="shared" si="14"/>
        <v>100</v>
      </c>
      <c r="X31" s="1539"/>
      <c r="Y31" s="3475"/>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476" t="s">
        <v>2386</v>
      </c>
      <c r="Q32" s="1536" t="str">
        <f t="shared" si="11"/>
        <v>建筑类型</v>
      </c>
      <c r="R32" s="714" t="s">
        <v>21</v>
      </c>
      <c r="S32" s="715">
        <f t="shared" si="12"/>
        <v>100</v>
      </c>
      <c r="T32" s="714" t="s">
        <v>21</v>
      </c>
      <c r="U32" s="715">
        <f t="shared" si="13"/>
        <v>100</v>
      </c>
      <c r="V32" s="714" t="s">
        <v>21</v>
      </c>
      <c r="W32" s="715">
        <f t="shared" si="14"/>
        <v>100</v>
      </c>
      <c r="X32" s="1539"/>
      <c r="Y32" s="3479"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477"/>
      <c r="Q33" s="716" t="str">
        <f t="shared" si="11"/>
        <v>项目建筑规模</v>
      </c>
      <c r="R33" s="717" t="s">
        <v>21</v>
      </c>
      <c r="S33" s="718" t="e">
        <f t="shared" si="12"/>
        <v>#N/A</v>
      </c>
      <c r="T33" s="717" t="s">
        <v>21</v>
      </c>
      <c r="U33" s="718" t="e">
        <f t="shared" si="13"/>
        <v>#N/A</v>
      </c>
      <c r="V33" s="717" t="s">
        <v>21</v>
      </c>
      <c r="W33" s="718" t="e">
        <f t="shared" si="14"/>
        <v>#N/A</v>
      </c>
      <c r="X33" s="719"/>
      <c r="Y33" s="3479"/>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477"/>
      <c r="Q34" s="1536" t="str">
        <f t="shared" si="11"/>
        <v>建筑结构</v>
      </c>
      <c r="R34" s="714" t="s">
        <v>21</v>
      </c>
      <c r="S34" s="715">
        <f t="shared" si="12"/>
        <v>100</v>
      </c>
      <c r="T34" s="714" t="s">
        <v>21</v>
      </c>
      <c r="U34" s="715">
        <f t="shared" si="13"/>
        <v>100</v>
      </c>
      <c r="V34" s="714" t="s">
        <v>21</v>
      </c>
      <c r="W34" s="715">
        <f t="shared" si="14"/>
        <v>100</v>
      </c>
      <c r="X34" s="1539"/>
      <c r="Y34" s="3479"/>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477"/>
      <c r="Q35" s="1536" t="str">
        <f t="shared" si="11"/>
        <v>建筑品质</v>
      </c>
      <c r="R35" s="714" t="s">
        <v>21</v>
      </c>
      <c r="S35" s="715">
        <f t="shared" si="12"/>
        <v>100</v>
      </c>
      <c r="T35" s="714" t="s">
        <v>21</v>
      </c>
      <c r="U35" s="715">
        <f t="shared" si="13"/>
        <v>100</v>
      </c>
      <c r="V35" s="714" t="s">
        <v>21</v>
      </c>
      <c r="W35" s="715">
        <f t="shared" si="14"/>
        <v>100</v>
      </c>
      <c r="X35" s="1539"/>
      <c r="Y35" s="3479"/>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477"/>
      <c r="Q36" s="1536" t="str">
        <f t="shared" si="11"/>
        <v>公共部分装修</v>
      </c>
      <c r="R36" s="714" t="s">
        <v>21</v>
      </c>
      <c r="S36" s="715">
        <f t="shared" si="12"/>
        <v>100</v>
      </c>
      <c r="T36" s="714" t="s">
        <v>21</v>
      </c>
      <c r="U36" s="715">
        <f t="shared" si="13"/>
        <v>100</v>
      </c>
      <c r="V36" s="714" t="s">
        <v>21</v>
      </c>
      <c r="W36" s="715">
        <f t="shared" si="14"/>
        <v>100</v>
      </c>
      <c r="X36" s="1539"/>
      <c r="Y36" s="3479"/>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477"/>
      <c r="Q37" s="1527" t="str">
        <f t="shared" si="11"/>
        <v>成新度</v>
      </c>
      <c r="R37" s="710" t="s">
        <v>21</v>
      </c>
      <c r="S37" s="711" t="e">
        <f t="shared" si="12"/>
        <v>#N/A</v>
      </c>
      <c r="T37" s="710" t="s">
        <v>21</v>
      </c>
      <c r="U37" s="711" t="e">
        <f t="shared" si="13"/>
        <v>#N/A</v>
      </c>
      <c r="V37" s="710" t="s">
        <v>21</v>
      </c>
      <c r="W37" s="711" t="e">
        <f t="shared" si="14"/>
        <v>#N/A</v>
      </c>
      <c r="X37" s="712"/>
      <c r="Y37" s="3479"/>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477" t="s">
        <v>2386</v>
      </c>
      <c r="Q38" s="1536" t="str">
        <f t="shared" si="11"/>
        <v>物业管理</v>
      </c>
      <c r="R38" s="714" t="s">
        <v>21</v>
      </c>
      <c r="S38" s="715">
        <f t="shared" si="12"/>
        <v>100</v>
      </c>
      <c r="T38" s="714" t="s">
        <v>21</v>
      </c>
      <c r="U38" s="715">
        <f t="shared" si="13"/>
        <v>100</v>
      </c>
      <c r="V38" s="714" t="s">
        <v>21</v>
      </c>
      <c r="W38" s="715">
        <f t="shared" si="14"/>
        <v>100</v>
      </c>
      <c r="X38" s="1539"/>
      <c r="Y38" s="3479"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477"/>
      <c r="Q39" s="1536" t="str">
        <f t="shared" si="11"/>
        <v>市政基础设施</v>
      </c>
      <c r="R39" s="714" t="s">
        <v>21</v>
      </c>
      <c r="S39" s="715">
        <f t="shared" si="12"/>
        <v>100</v>
      </c>
      <c r="T39" s="714" t="s">
        <v>21</v>
      </c>
      <c r="U39" s="715">
        <f t="shared" si="13"/>
        <v>100</v>
      </c>
      <c r="V39" s="714" t="s">
        <v>21</v>
      </c>
      <c r="W39" s="715">
        <f t="shared" si="14"/>
        <v>100</v>
      </c>
      <c r="X39" s="1539"/>
      <c r="Y39" s="3479"/>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477"/>
      <c r="Q40" s="1536" t="str">
        <f t="shared" si="11"/>
        <v>房型</v>
      </c>
      <c r="R40" s="714" t="s">
        <v>21</v>
      </c>
      <c r="S40" s="715">
        <f t="shared" si="12"/>
        <v>100</v>
      </c>
      <c r="T40" s="714" t="s">
        <v>21</v>
      </c>
      <c r="U40" s="715">
        <f t="shared" si="13"/>
        <v>100</v>
      </c>
      <c r="V40" s="714" t="s">
        <v>21</v>
      </c>
      <c r="W40" s="715">
        <f t="shared" si="14"/>
        <v>100</v>
      </c>
      <c r="X40" s="1539"/>
      <c r="Y40" s="3479"/>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477"/>
      <c r="Q41" s="716" t="str">
        <f t="shared" si="11"/>
        <v>单套/主力户型建筑面积</v>
      </c>
      <c r="R41" s="717" t="s">
        <v>21</v>
      </c>
      <c r="S41" s="718">
        <f t="shared" si="12"/>
        <v>100</v>
      </c>
      <c r="T41" s="717" t="s">
        <v>21</v>
      </c>
      <c r="U41" s="718">
        <f t="shared" si="13"/>
        <v>100</v>
      </c>
      <c r="V41" s="717" t="s">
        <v>21</v>
      </c>
      <c r="W41" s="718">
        <f t="shared" si="14"/>
        <v>100</v>
      </c>
      <c r="X41" s="719"/>
      <c r="Y41" s="3479"/>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477"/>
      <c r="Q42" s="1536" t="str">
        <f t="shared" si="11"/>
        <v>内部装修</v>
      </c>
      <c r="R42" s="714" t="s">
        <v>21</v>
      </c>
      <c r="S42" s="715">
        <f t="shared" si="12"/>
        <v>100</v>
      </c>
      <c r="T42" s="714" t="s">
        <v>21</v>
      </c>
      <c r="U42" s="715">
        <f t="shared" si="13"/>
        <v>100</v>
      </c>
      <c r="V42" s="714" t="s">
        <v>21</v>
      </c>
      <c r="W42" s="715">
        <f t="shared" si="14"/>
        <v>100</v>
      </c>
      <c r="X42" s="1539"/>
      <c r="Y42" s="3479"/>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477"/>
      <c r="Q43" s="1536" t="str">
        <f t="shared" si="11"/>
        <v>内部装修维护情况</v>
      </c>
      <c r="R43" s="714" t="s">
        <v>21</v>
      </c>
      <c r="S43" s="715">
        <f t="shared" si="12"/>
        <v>100</v>
      </c>
      <c r="T43" s="714" t="s">
        <v>21</v>
      </c>
      <c r="U43" s="715">
        <f t="shared" si="13"/>
        <v>100</v>
      </c>
      <c r="V43" s="714" t="s">
        <v>21</v>
      </c>
      <c r="W43" s="715">
        <f t="shared" si="14"/>
        <v>100</v>
      </c>
      <c r="X43" s="1539"/>
      <c r="Y43" s="3479"/>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477"/>
      <c r="Q44" s="1527">
        <f t="shared" si="11"/>
        <v>111</v>
      </c>
      <c r="R44" s="710" t="s">
        <v>21</v>
      </c>
      <c r="S44" s="711">
        <f t="shared" si="12"/>
        <v>100</v>
      </c>
      <c r="T44" s="710" t="s">
        <v>21</v>
      </c>
      <c r="U44" s="711">
        <f t="shared" si="13"/>
        <v>100</v>
      </c>
      <c r="V44" s="710" t="s">
        <v>21</v>
      </c>
      <c r="W44" s="711">
        <f t="shared" si="14"/>
        <v>100</v>
      </c>
      <c r="X44" s="712"/>
      <c r="Y44" s="347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477"/>
      <c r="Q45" s="1536">
        <f t="shared" si="11"/>
        <v>111</v>
      </c>
      <c r="R45" s="714" t="s">
        <v>21</v>
      </c>
      <c r="S45" s="715">
        <f t="shared" si="12"/>
        <v>100</v>
      </c>
      <c r="T45" s="714" t="s">
        <v>21</v>
      </c>
      <c r="U45" s="715">
        <f t="shared" si="13"/>
        <v>100</v>
      </c>
      <c r="V45" s="714" t="s">
        <v>21</v>
      </c>
      <c r="W45" s="715">
        <f t="shared" si="14"/>
        <v>100</v>
      </c>
      <c r="X45" s="1539"/>
      <c r="Y45" s="3479"/>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478"/>
      <c r="Q46" s="1536">
        <f t="shared" si="11"/>
        <v>111</v>
      </c>
      <c r="R46" s="714" t="s">
        <v>20</v>
      </c>
      <c r="S46" s="715">
        <f t="shared" si="12"/>
        <v>100</v>
      </c>
      <c r="T46" s="714" t="s">
        <v>20</v>
      </c>
      <c r="U46" s="715">
        <f t="shared" si="13"/>
        <v>100</v>
      </c>
      <c r="V46" s="714" t="s">
        <v>20</v>
      </c>
      <c r="W46" s="715">
        <f t="shared" si="14"/>
        <v>100</v>
      </c>
      <c r="X46" s="1539"/>
      <c r="Y46" s="3480"/>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472" t="str">
        <f>A47</f>
        <v>成交单价（元/平方米）</v>
      </c>
      <c r="Q47" s="3472"/>
      <c r="R47" s="3473">
        <f>E47</f>
        <v>0</v>
      </c>
      <c r="S47" s="3473"/>
      <c r="T47" s="3473">
        <f>G47</f>
        <v>0</v>
      </c>
      <c r="U47" s="3473"/>
      <c r="V47" s="3473">
        <f>I47</f>
        <v>0</v>
      </c>
      <c r="W47" s="3473"/>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2021-8</v>
      </c>
      <c r="D58" s="1347">
        <f>EDATE(C58,-1)</f>
        <v>44378</v>
      </c>
      <c r="E58" s="1347">
        <f>EDATE(D58,-1)</f>
        <v>44348</v>
      </c>
      <c r="F58" s="1347">
        <f t="shared" ref="F58:O58" si="19">EDATE(E58,-1)</f>
        <v>44317</v>
      </c>
      <c r="G58" s="1347">
        <f t="shared" si="19"/>
        <v>44287</v>
      </c>
      <c r="H58" s="1347">
        <f t="shared" si="19"/>
        <v>44256</v>
      </c>
      <c r="I58" s="1347">
        <f t="shared" si="19"/>
        <v>44228</v>
      </c>
      <c r="J58" s="1347">
        <f t="shared" si="19"/>
        <v>44197</v>
      </c>
      <c r="K58" s="1347">
        <f t="shared" si="19"/>
        <v>44166</v>
      </c>
      <c r="L58" s="1347">
        <f t="shared" si="19"/>
        <v>44136</v>
      </c>
      <c r="M58" s="1347">
        <f t="shared" si="19"/>
        <v>44105</v>
      </c>
      <c r="N58" s="1347">
        <f t="shared" si="19"/>
        <v>44075</v>
      </c>
      <c r="O58" s="1347">
        <f t="shared" si="19"/>
        <v>44044</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140992.71000000002</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487" t="s">
        <v>2467</v>
      </c>
      <c r="D4" s="3488"/>
      <c r="E4" s="3489" t="s">
        <v>2468</v>
      </c>
      <c r="F4" s="3490"/>
      <c r="G4" s="3487" t="s">
        <v>2469</v>
      </c>
      <c r="H4" s="3488"/>
      <c r="I4" s="3487" t="s">
        <v>2470</v>
      </c>
      <c r="J4" s="3488"/>
      <c r="K4" s="567" t="s">
        <v>2471</v>
      </c>
      <c r="L4" s="2944"/>
      <c r="M4" s="2945"/>
      <c r="N4" s="2945"/>
      <c r="O4" s="2945"/>
      <c r="P4" s="3491" t="s">
        <v>2472</v>
      </c>
      <c r="Q4" s="3492"/>
      <c r="R4" s="3497" t="s">
        <v>2468</v>
      </c>
      <c r="S4" s="3498"/>
      <c r="T4" s="3497" t="s">
        <v>2469</v>
      </c>
      <c r="U4" s="3498"/>
      <c r="V4" s="3503" t="s">
        <v>2470</v>
      </c>
      <c r="W4" s="3503"/>
      <c r="X4" s="1539"/>
      <c r="Y4" s="3497" t="s">
        <v>2472</v>
      </c>
      <c r="Z4" s="3498"/>
      <c r="AA4" s="3484" t="s">
        <v>2468</v>
      </c>
      <c r="AB4" s="3503" t="s">
        <v>2469</v>
      </c>
      <c r="AC4" s="3484" t="s">
        <v>2470</v>
      </c>
    </row>
    <row r="5" spans="1:29" ht="15">
      <c r="A5" s="364"/>
      <c r="B5" s="365"/>
      <c r="C5" s="3506" t="s">
        <v>2363</v>
      </c>
      <c r="D5" s="3507"/>
      <c r="E5" s="3513" t="s">
        <v>2364</v>
      </c>
      <c r="F5" s="3514"/>
      <c r="G5" s="3506" t="s">
        <v>2365</v>
      </c>
      <c r="H5" s="3507"/>
      <c r="I5" s="3506" t="s">
        <v>2366</v>
      </c>
      <c r="J5" s="3507"/>
      <c r="K5" s="567"/>
      <c r="L5" s="2944"/>
      <c r="M5" s="2945"/>
      <c r="N5" s="2945"/>
      <c r="O5" s="2945"/>
      <c r="P5" s="3493"/>
      <c r="Q5" s="3494"/>
      <c r="R5" s="3499"/>
      <c r="S5" s="3500"/>
      <c r="T5" s="3499"/>
      <c r="U5" s="3500"/>
      <c r="V5" s="3503"/>
      <c r="W5" s="3503"/>
      <c r="X5" s="1539"/>
      <c r="Y5" s="3499"/>
      <c r="Z5" s="3500"/>
      <c r="AA5" s="3485"/>
      <c r="AB5" s="3503"/>
      <c r="AC5" s="3485"/>
    </row>
    <row r="6" spans="1:29" ht="15.75" thickBot="1">
      <c r="A6" s="366"/>
      <c r="B6" s="367"/>
      <c r="C6" s="3504" t="s">
        <v>2367</v>
      </c>
      <c r="D6" s="3505"/>
      <c r="E6" s="3511" t="s">
        <v>2367</v>
      </c>
      <c r="F6" s="3512"/>
      <c r="G6" s="3504" t="s">
        <v>2367</v>
      </c>
      <c r="H6" s="3505"/>
      <c r="I6" s="3504" t="s">
        <v>2367</v>
      </c>
      <c r="J6" s="3505"/>
      <c r="K6" s="567" t="s">
        <v>2368</v>
      </c>
      <c r="L6" s="2944"/>
      <c r="M6" s="2945"/>
      <c r="N6" s="2945"/>
      <c r="O6" s="2945"/>
      <c r="P6" s="3495"/>
      <c r="Q6" s="3496"/>
      <c r="R6" s="3499"/>
      <c r="S6" s="3500"/>
      <c r="T6" s="3501"/>
      <c r="U6" s="3502"/>
      <c r="V6" s="3503"/>
      <c r="W6" s="3503"/>
      <c r="X6" s="1539"/>
      <c r="Y6" s="3501"/>
      <c r="Z6" s="3502"/>
      <c r="AA6" s="3486"/>
      <c r="AB6" s="3503"/>
      <c r="AC6" s="3486"/>
    </row>
    <row r="7" spans="1:29" s="113" customFormat="1" ht="15.75" thickBot="1">
      <c r="A7" s="368" t="s">
        <v>2369</v>
      </c>
      <c r="B7" s="369"/>
      <c r="C7" s="370">
        <f>'数据-取费表'!B2</f>
        <v>44411</v>
      </c>
      <c r="D7" s="371">
        <v>100</v>
      </c>
      <c r="E7" s="372"/>
      <c r="F7" s="373">
        <f>SUMIF(58:58,YEAR(E7)&amp;"-"&amp;MONTH(E7),59:59)</f>
        <v>0</v>
      </c>
      <c r="G7" s="372"/>
      <c r="H7" s="371">
        <f>SUMIF(58:58,YEAR(G7)&amp;"-"&amp;MONTH(G7),59:59)</f>
        <v>0</v>
      </c>
      <c r="I7" s="372"/>
      <c r="J7" s="371">
        <f>SUMIF(58:58,YEAR(I7)&amp;"-"&amp;MONTH(I7),59:59)</f>
        <v>0</v>
      </c>
      <c r="K7" s="568"/>
      <c r="L7" s="2946"/>
      <c r="M7" s="2947"/>
      <c r="N7" s="2947"/>
      <c r="O7" s="2947"/>
      <c r="P7" s="3508" t="s">
        <v>2370</v>
      </c>
      <c r="Q7" s="3510"/>
      <c r="R7" s="710" t="s">
        <v>17</v>
      </c>
      <c r="S7" s="711">
        <f t="shared" ref="S7:S15" si="0">F7</f>
        <v>0</v>
      </c>
      <c r="T7" s="710" t="s">
        <v>17</v>
      </c>
      <c r="U7" s="711">
        <f t="shared" ref="U7:U15" si="1">H7</f>
        <v>0</v>
      </c>
      <c r="V7" s="710" t="s">
        <v>17</v>
      </c>
      <c r="W7" s="711">
        <f t="shared" ref="W7:W15" si="2">J7</f>
        <v>0</v>
      </c>
      <c r="X7" s="712"/>
      <c r="Y7" s="3508" t="s">
        <v>2370</v>
      </c>
      <c r="Z7" s="3509"/>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508" t="s">
        <v>2373</v>
      </c>
      <c r="Q8" s="3509"/>
      <c r="R8" s="710" t="s">
        <v>17</v>
      </c>
      <c r="S8" s="711">
        <f t="shared" si="0"/>
        <v>0</v>
      </c>
      <c r="T8" s="710" t="s">
        <v>17</v>
      </c>
      <c r="U8" s="711">
        <f t="shared" si="1"/>
        <v>0</v>
      </c>
      <c r="V8" s="710" t="s">
        <v>17</v>
      </c>
      <c r="W8" s="711">
        <f t="shared" si="2"/>
        <v>0</v>
      </c>
      <c r="X8" s="712"/>
      <c r="Y8" s="3508" t="s">
        <v>2373</v>
      </c>
      <c r="Z8" s="3509"/>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483" t="s">
        <v>2376</v>
      </c>
      <c r="Q9" s="1527" t="str">
        <f t="shared" ref="Q9:Q15" si="6">B9</f>
        <v>用途</v>
      </c>
      <c r="R9" s="710" t="s">
        <v>17</v>
      </c>
      <c r="S9" s="711">
        <f t="shared" si="0"/>
        <v>100</v>
      </c>
      <c r="T9" s="710" t="s">
        <v>17</v>
      </c>
      <c r="U9" s="711">
        <f t="shared" si="1"/>
        <v>100</v>
      </c>
      <c r="V9" s="710" t="s">
        <v>17</v>
      </c>
      <c r="W9" s="711">
        <f t="shared" si="2"/>
        <v>100</v>
      </c>
      <c r="X9" s="712"/>
      <c r="Y9" s="334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483"/>
      <c r="Q10" s="1527"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483"/>
      <c r="Q11" s="1527" t="str">
        <f t="shared" si="6"/>
        <v>容积率</v>
      </c>
      <c r="R11" s="710" t="s">
        <v>17</v>
      </c>
      <c r="S11" s="711" t="e">
        <f t="shared" si="0"/>
        <v>#N/A</v>
      </c>
      <c r="T11" s="710" t="s">
        <v>17</v>
      </c>
      <c r="U11" s="711" t="e">
        <f t="shared" si="1"/>
        <v>#N/A</v>
      </c>
      <c r="V11" s="710" t="s">
        <v>17</v>
      </c>
      <c r="W11" s="711" t="e">
        <f t="shared" si="2"/>
        <v>#N/A</v>
      </c>
      <c r="X11" s="712"/>
      <c r="Y11" s="334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483"/>
      <c r="Q12" s="1527">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483"/>
      <c r="Q13" s="1527">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483"/>
      <c r="Q14" s="1527">
        <f t="shared" si="6"/>
        <v>111</v>
      </c>
      <c r="R14" s="710" t="s">
        <v>17</v>
      </c>
      <c r="S14" s="711">
        <f t="shared" si="0"/>
        <v>100</v>
      </c>
      <c r="T14" s="710" t="s">
        <v>17</v>
      </c>
      <c r="U14" s="711">
        <f t="shared" si="1"/>
        <v>100</v>
      </c>
      <c r="V14" s="710" t="s">
        <v>17</v>
      </c>
      <c r="W14" s="711">
        <f t="shared" si="2"/>
        <v>100</v>
      </c>
      <c r="X14" s="712"/>
      <c r="Y14" s="3342"/>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481" t="s">
        <v>2381</v>
      </c>
      <c r="Q15" s="1536" t="str">
        <f t="shared" si="6"/>
        <v>商业繁华度</v>
      </c>
      <c r="R15" s="714" t="s">
        <v>17</v>
      </c>
      <c r="S15" s="715">
        <f t="shared" si="0"/>
        <v>100</v>
      </c>
      <c r="T15" s="714" t="s">
        <v>17</v>
      </c>
      <c r="U15" s="715">
        <f t="shared" si="1"/>
        <v>100</v>
      </c>
      <c r="V15" s="714" t="s">
        <v>17</v>
      </c>
      <c r="W15" s="715">
        <f t="shared" si="2"/>
        <v>100</v>
      </c>
      <c r="X15" s="1539"/>
      <c r="Y15" s="3474"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482"/>
      <c r="Q16" s="1536"/>
      <c r="R16" s="714"/>
      <c r="S16" s="715"/>
      <c r="T16" s="714"/>
      <c r="U16" s="715"/>
      <c r="V16" s="714"/>
      <c r="W16" s="715"/>
      <c r="X16" s="1539"/>
      <c r="Y16" s="3475"/>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482"/>
      <c r="Q17" s="1536" t="str">
        <f>B17</f>
        <v>交通便捷度</v>
      </c>
      <c r="R17" s="714" t="s">
        <v>17</v>
      </c>
      <c r="S17" s="715">
        <f>F17</f>
        <v>100</v>
      </c>
      <c r="T17" s="714" t="s">
        <v>17</v>
      </c>
      <c r="U17" s="715">
        <f>H17</f>
        <v>100</v>
      </c>
      <c r="V17" s="714" t="s">
        <v>17</v>
      </c>
      <c r="W17" s="715">
        <f>J17</f>
        <v>100</v>
      </c>
      <c r="X17" s="1539"/>
      <c r="Y17" s="347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482"/>
      <c r="Q18" s="1536"/>
      <c r="R18" s="714"/>
      <c r="S18" s="715"/>
      <c r="T18" s="714"/>
      <c r="U18" s="715"/>
      <c r="V18" s="714"/>
      <c r="W18" s="715"/>
      <c r="X18" s="1539"/>
      <c r="Y18" s="3475"/>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482"/>
      <c r="Q19" s="1536" t="str">
        <f>B19</f>
        <v>公共配套设施</v>
      </c>
      <c r="R19" s="714" t="s">
        <v>17</v>
      </c>
      <c r="S19" s="715">
        <f>F19</f>
        <v>100</v>
      </c>
      <c r="T19" s="714" t="s">
        <v>17</v>
      </c>
      <c r="U19" s="715">
        <f>H19</f>
        <v>100</v>
      </c>
      <c r="V19" s="714" t="s">
        <v>17</v>
      </c>
      <c r="W19" s="715">
        <f>J19</f>
        <v>100</v>
      </c>
      <c r="X19" s="1539"/>
      <c r="Y19" s="347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482"/>
      <c r="Q20" s="1536"/>
      <c r="R20" s="714"/>
      <c r="S20" s="715"/>
      <c r="T20" s="714"/>
      <c r="U20" s="715"/>
      <c r="V20" s="714"/>
      <c r="W20" s="715"/>
      <c r="X20" s="1539"/>
      <c r="Y20" s="3475"/>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482"/>
      <c r="Q21" s="1536" t="str">
        <f>B21</f>
        <v>基础设施水平</v>
      </c>
      <c r="R21" s="714" t="s">
        <v>17</v>
      </c>
      <c r="S21" s="715">
        <f>F21</f>
        <v>100</v>
      </c>
      <c r="T21" s="714" t="s">
        <v>17</v>
      </c>
      <c r="U21" s="715">
        <f>H21</f>
        <v>100</v>
      </c>
      <c r="V21" s="714" t="s">
        <v>17</v>
      </c>
      <c r="W21" s="715">
        <f>J21</f>
        <v>100</v>
      </c>
      <c r="X21" s="1539"/>
      <c r="Y21" s="347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482"/>
      <c r="Q22" s="1536"/>
      <c r="R22" s="714"/>
      <c r="S22" s="715"/>
      <c r="T22" s="714"/>
      <c r="U22" s="715"/>
      <c r="V22" s="714"/>
      <c r="W22" s="715"/>
      <c r="X22" s="1539"/>
      <c r="Y22" s="3475"/>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482"/>
      <c r="Q23" s="1536" t="str">
        <f>B23</f>
        <v>自然及人文环境</v>
      </c>
      <c r="R23" s="714" t="s">
        <v>17</v>
      </c>
      <c r="S23" s="715">
        <f>F23</f>
        <v>100</v>
      </c>
      <c r="T23" s="714" t="s">
        <v>17</v>
      </c>
      <c r="U23" s="715">
        <f>H23</f>
        <v>100</v>
      </c>
      <c r="V23" s="714" t="s">
        <v>17</v>
      </c>
      <c r="W23" s="715">
        <f>J23</f>
        <v>100</v>
      </c>
      <c r="X23" s="1539"/>
      <c r="Y23" s="3475"/>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482"/>
      <c r="Q24" s="1536"/>
      <c r="R24" s="714"/>
      <c r="S24" s="715"/>
      <c r="T24" s="714"/>
      <c r="U24" s="715"/>
      <c r="V24" s="714"/>
      <c r="W24" s="715"/>
      <c r="X24" s="1539"/>
      <c r="Y24" s="3475"/>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482"/>
      <c r="Q25" s="1536" t="str">
        <f t="shared" ref="Q25:Q46" si="11">B25</f>
        <v>临街状况</v>
      </c>
      <c r="R25" s="714" t="s">
        <v>17</v>
      </c>
      <c r="S25" s="715">
        <f>F25</f>
        <v>100</v>
      </c>
      <c r="T25" s="714" t="s">
        <v>17</v>
      </c>
      <c r="U25" s="715">
        <f>H25</f>
        <v>100</v>
      </c>
      <c r="V25" s="714" t="s">
        <v>17</v>
      </c>
      <c r="W25" s="715">
        <f>J25</f>
        <v>100</v>
      </c>
      <c r="X25" s="1539"/>
      <c r="Y25" s="3475"/>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482"/>
      <c r="Q26" s="1536" t="str">
        <f t="shared" si="11"/>
        <v>平面位置/可视性</v>
      </c>
      <c r="R26" s="714" t="s">
        <v>17</v>
      </c>
      <c r="S26" s="715">
        <f>F26</f>
        <v>100</v>
      </c>
      <c r="T26" s="714" t="s">
        <v>17</v>
      </c>
      <c r="U26" s="715">
        <f>H26</f>
        <v>100</v>
      </c>
      <c r="V26" s="714" t="s">
        <v>17</v>
      </c>
      <c r="W26" s="715">
        <f>J26</f>
        <v>100</v>
      </c>
      <c r="X26" s="1539"/>
      <c r="Y26" s="3475"/>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482"/>
      <c r="Q27" s="1527" t="str">
        <f t="shared" si="11"/>
        <v>人流量</v>
      </c>
      <c r="R27" s="710" t="s">
        <v>17</v>
      </c>
      <c r="S27" s="711">
        <f>F27</f>
        <v>100</v>
      </c>
      <c r="T27" s="710" t="s">
        <v>17</v>
      </c>
      <c r="U27" s="711">
        <f>H27</f>
        <v>100</v>
      </c>
      <c r="V27" s="710" t="s">
        <v>17</v>
      </c>
      <c r="W27" s="711">
        <f>J27</f>
        <v>100</v>
      </c>
      <c r="X27" s="712"/>
      <c r="Y27" s="3475"/>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482"/>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75"/>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482"/>
      <c r="Q29" s="1536">
        <f t="shared" si="11"/>
        <v>111</v>
      </c>
      <c r="R29" s="714" t="s">
        <v>17</v>
      </c>
      <c r="S29" s="715">
        <f t="shared" si="12"/>
        <v>100</v>
      </c>
      <c r="T29" s="714" t="s">
        <v>17</v>
      </c>
      <c r="U29" s="715">
        <f t="shared" si="13"/>
        <v>100</v>
      </c>
      <c r="V29" s="714" t="s">
        <v>17</v>
      </c>
      <c r="W29" s="715">
        <f t="shared" si="14"/>
        <v>100</v>
      </c>
      <c r="X29" s="1539"/>
      <c r="Y29" s="3475"/>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482"/>
      <c r="Q30" s="1536">
        <f t="shared" si="11"/>
        <v>111</v>
      </c>
      <c r="R30" s="714" t="s">
        <v>17</v>
      </c>
      <c r="S30" s="715">
        <f t="shared" si="12"/>
        <v>100</v>
      </c>
      <c r="T30" s="714" t="s">
        <v>17</v>
      </c>
      <c r="U30" s="715">
        <f t="shared" si="13"/>
        <v>100</v>
      </c>
      <c r="V30" s="714" t="s">
        <v>17</v>
      </c>
      <c r="W30" s="715">
        <f t="shared" si="14"/>
        <v>100</v>
      </c>
      <c r="X30" s="1539"/>
      <c r="Y30" s="3475"/>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482"/>
      <c r="Q31" s="1536">
        <f t="shared" si="11"/>
        <v>111</v>
      </c>
      <c r="R31" s="714" t="s">
        <v>17</v>
      </c>
      <c r="S31" s="715">
        <f t="shared" si="12"/>
        <v>100</v>
      </c>
      <c r="T31" s="714" t="s">
        <v>17</v>
      </c>
      <c r="U31" s="715">
        <f t="shared" si="13"/>
        <v>100</v>
      </c>
      <c r="V31" s="714" t="s">
        <v>17</v>
      </c>
      <c r="W31" s="715">
        <f t="shared" si="14"/>
        <v>100</v>
      </c>
      <c r="X31" s="1539"/>
      <c r="Y31" s="3475"/>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476" t="s">
        <v>2386</v>
      </c>
      <c r="Q32" s="1536" t="str">
        <f t="shared" si="11"/>
        <v>商业类型</v>
      </c>
      <c r="R32" s="714" t="s">
        <v>17</v>
      </c>
      <c r="S32" s="715">
        <f t="shared" si="12"/>
        <v>100</v>
      </c>
      <c r="T32" s="714" t="s">
        <v>17</v>
      </c>
      <c r="U32" s="715">
        <f t="shared" si="13"/>
        <v>100</v>
      </c>
      <c r="V32" s="714" t="s">
        <v>17</v>
      </c>
      <c r="W32" s="715">
        <f t="shared" si="14"/>
        <v>100</v>
      </c>
      <c r="X32" s="1539"/>
      <c r="Y32" s="3479"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477"/>
      <c r="Q33" s="716" t="str">
        <f t="shared" si="11"/>
        <v>项目建筑规模</v>
      </c>
      <c r="R33" s="717" t="s">
        <v>17</v>
      </c>
      <c r="S33" s="718" t="e">
        <f t="shared" si="12"/>
        <v>#N/A</v>
      </c>
      <c r="T33" s="717" t="s">
        <v>17</v>
      </c>
      <c r="U33" s="718" t="e">
        <f t="shared" si="13"/>
        <v>#N/A</v>
      </c>
      <c r="V33" s="717" t="s">
        <v>17</v>
      </c>
      <c r="W33" s="718" t="e">
        <f t="shared" si="14"/>
        <v>#N/A</v>
      </c>
      <c r="X33" s="719"/>
      <c r="Y33" s="3479"/>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477"/>
      <c r="Q34" s="1536" t="str">
        <f t="shared" si="11"/>
        <v>建筑结构</v>
      </c>
      <c r="R34" s="714" t="s">
        <v>17</v>
      </c>
      <c r="S34" s="715">
        <f t="shared" si="12"/>
        <v>100</v>
      </c>
      <c r="T34" s="714" t="s">
        <v>17</v>
      </c>
      <c r="U34" s="715">
        <f t="shared" si="13"/>
        <v>100</v>
      </c>
      <c r="V34" s="714" t="s">
        <v>17</v>
      </c>
      <c r="W34" s="715">
        <f t="shared" si="14"/>
        <v>100</v>
      </c>
      <c r="X34" s="1539"/>
      <c r="Y34" s="3479"/>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477"/>
      <c r="Q35" s="1536" t="str">
        <f t="shared" si="11"/>
        <v>公共部分装修</v>
      </c>
      <c r="R35" s="714" t="s">
        <v>17</v>
      </c>
      <c r="S35" s="715">
        <f t="shared" si="12"/>
        <v>100</v>
      </c>
      <c r="T35" s="714" t="s">
        <v>17</v>
      </c>
      <c r="U35" s="715">
        <f t="shared" si="13"/>
        <v>100</v>
      </c>
      <c r="V35" s="714" t="s">
        <v>17</v>
      </c>
      <c r="W35" s="715">
        <f t="shared" si="14"/>
        <v>100</v>
      </c>
      <c r="X35" s="1539"/>
      <c r="Y35" s="3479"/>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477"/>
      <c r="Q36" s="1536" t="str">
        <f t="shared" si="11"/>
        <v>成新度</v>
      </c>
      <c r="R36" s="714" t="s">
        <v>17</v>
      </c>
      <c r="S36" s="715" t="e">
        <f t="shared" si="12"/>
        <v>#N/A</v>
      </c>
      <c r="T36" s="714" t="s">
        <v>17</v>
      </c>
      <c r="U36" s="715" t="e">
        <f t="shared" si="13"/>
        <v>#N/A</v>
      </c>
      <c r="V36" s="714" t="s">
        <v>17</v>
      </c>
      <c r="W36" s="715" t="e">
        <f t="shared" si="14"/>
        <v>#N/A</v>
      </c>
      <c r="X36" s="1539"/>
      <c r="Y36" s="3479"/>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477"/>
      <c r="Q37" s="1527" t="str">
        <f t="shared" si="11"/>
        <v>市政基础设施</v>
      </c>
      <c r="R37" s="710" t="s">
        <v>17</v>
      </c>
      <c r="S37" s="711">
        <f t="shared" si="12"/>
        <v>100</v>
      </c>
      <c r="T37" s="710" t="s">
        <v>17</v>
      </c>
      <c r="U37" s="711">
        <f t="shared" si="13"/>
        <v>100</v>
      </c>
      <c r="V37" s="710" t="s">
        <v>17</v>
      </c>
      <c r="W37" s="711">
        <f t="shared" si="14"/>
        <v>100</v>
      </c>
      <c r="X37" s="712"/>
      <c r="Y37" s="3479"/>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477" t="s">
        <v>2386</v>
      </c>
      <c r="Q38" s="1536" t="str">
        <f t="shared" si="11"/>
        <v>业态</v>
      </c>
      <c r="R38" s="714" t="s">
        <v>17</v>
      </c>
      <c r="S38" s="715">
        <f t="shared" si="12"/>
        <v>100</v>
      </c>
      <c r="T38" s="714" t="s">
        <v>17</v>
      </c>
      <c r="U38" s="715">
        <f t="shared" si="13"/>
        <v>100</v>
      </c>
      <c r="V38" s="714" t="s">
        <v>17</v>
      </c>
      <c r="W38" s="715">
        <f t="shared" si="14"/>
        <v>100</v>
      </c>
      <c r="X38" s="1539"/>
      <c r="Y38" s="3479"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477"/>
      <c r="Q39" s="1536" t="str">
        <f t="shared" si="11"/>
        <v>层高</v>
      </c>
      <c r="R39" s="714" t="s">
        <v>17</v>
      </c>
      <c r="S39" s="715">
        <f t="shared" si="12"/>
        <v>100</v>
      </c>
      <c r="T39" s="714" t="s">
        <v>17</v>
      </c>
      <c r="U39" s="715">
        <f t="shared" si="13"/>
        <v>100</v>
      </c>
      <c r="V39" s="714" t="s">
        <v>17</v>
      </c>
      <c r="W39" s="715">
        <f t="shared" si="14"/>
        <v>100</v>
      </c>
      <c r="X39" s="1539"/>
      <c r="Y39" s="3479"/>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477"/>
      <c r="Q40" s="1536" t="str">
        <f t="shared" si="11"/>
        <v>单套建筑面积</v>
      </c>
      <c r="R40" s="714" t="s">
        <v>17</v>
      </c>
      <c r="S40" s="715">
        <f t="shared" si="12"/>
        <v>100</v>
      </c>
      <c r="T40" s="714" t="s">
        <v>17</v>
      </c>
      <c r="U40" s="715">
        <f t="shared" si="13"/>
        <v>100</v>
      </c>
      <c r="V40" s="714" t="s">
        <v>17</v>
      </c>
      <c r="W40" s="715">
        <f t="shared" si="14"/>
        <v>100</v>
      </c>
      <c r="X40" s="1539"/>
      <c r="Y40" s="3479"/>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477"/>
      <c r="Q41" s="716" t="str">
        <f t="shared" si="11"/>
        <v>进深比</v>
      </c>
      <c r="R41" s="717" t="s">
        <v>17</v>
      </c>
      <c r="S41" s="718">
        <f t="shared" si="12"/>
        <v>100</v>
      </c>
      <c r="T41" s="717" t="s">
        <v>17</v>
      </c>
      <c r="U41" s="718">
        <f t="shared" si="13"/>
        <v>100</v>
      </c>
      <c r="V41" s="717" t="s">
        <v>17</v>
      </c>
      <c r="W41" s="718">
        <f t="shared" si="14"/>
        <v>100</v>
      </c>
      <c r="X41" s="719"/>
      <c r="Y41" s="3479"/>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477"/>
      <c r="Q42" s="1536" t="str">
        <f t="shared" si="11"/>
        <v>内部装修</v>
      </c>
      <c r="R42" s="714" t="s">
        <v>17</v>
      </c>
      <c r="S42" s="715">
        <f t="shared" si="12"/>
        <v>100</v>
      </c>
      <c r="T42" s="714" t="s">
        <v>17</v>
      </c>
      <c r="U42" s="715">
        <f t="shared" si="13"/>
        <v>100</v>
      </c>
      <c r="V42" s="714" t="s">
        <v>17</v>
      </c>
      <c r="W42" s="715">
        <f t="shared" si="14"/>
        <v>100</v>
      </c>
      <c r="X42" s="1539"/>
      <c r="Y42" s="3479"/>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477"/>
      <c r="Q43" s="1536" t="str">
        <f t="shared" si="11"/>
        <v>内部装修维护情况</v>
      </c>
      <c r="R43" s="714" t="s">
        <v>17</v>
      </c>
      <c r="S43" s="715">
        <f t="shared" si="12"/>
        <v>100</v>
      </c>
      <c r="T43" s="714" t="s">
        <v>17</v>
      </c>
      <c r="U43" s="715">
        <f t="shared" si="13"/>
        <v>100</v>
      </c>
      <c r="V43" s="714" t="s">
        <v>17</v>
      </c>
      <c r="W43" s="715">
        <f t="shared" si="14"/>
        <v>100</v>
      </c>
      <c r="X43" s="1539"/>
      <c r="Y43" s="3479"/>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477"/>
      <c r="Q44" s="1527">
        <f t="shared" si="11"/>
        <v>111</v>
      </c>
      <c r="R44" s="710" t="s">
        <v>17</v>
      </c>
      <c r="S44" s="711">
        <f t="shared" si="12"/>
        <v>100</v>
      </c>
      <c r="T44" s="710" t="s">
        <v>17</v>
      </c>
      <c r="U44" s="711">
        <f t="shared" si="13"/>
        <v>100</v>
      </c>
      <c r="V44" s="710" t="s">
        <v>17</v>
      </c>
      <c r="W44" s="711">
        <f t="shared" si="14"/>
        <v>100</v>
      </c>
      <c r="X44" s="712"/>
      <c r="Y44" s="347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477"/>
      <c r="Q45" s="1536">
        <f t="shared" si="11"/>
        <v>111</v>
      </c>
      <c r="R45" s="714" t="s">
        <v>17</v>
      </c>
      <c r="S45" s="715">
        <f t="shared" si="12"/>
        <v>100</v>
      </c>
      <c r="T45" s="714" t="s">
        <v>17</v>
      </c>
      <c r="U45" s="715">
        <f t="shared" si="13"/>
        <v>100</v>
      </c>
      <c r="V45" s="714" t="s">
        <v>17</v>
      </c>
      <c r="W45" s="715">
        <f t="shared" si="14"/>
        <v>100</v>
      </c>
      <c r="X45" s="1539"/>
      <c r="Y45" s="3479"/>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478"/>
      <c r="Q46" s="1536">
        <f t="shared" si="11"/>
        <v>111</v>
      </c>
      <c r="R46" s="714" t="s">
        <v>17</v>
      </c>
      <c r="S46" s="715">
        <f t="shared" si="12"/>
        <v>100</v>
      </c>
      <c r="T46" s="714" t="s">
        <v>17</v>
      </c>
      <c r="U46" s="715">
        <f t="shared" si="13"/>
        <v>100</v>
      </c>
      <c r="V46" s="714" t="s">
        <v>17</v>
      </c>
      <c r="W46" s="715">
        <f t="shared" si="14"/>
        <v>100</v>
      </c>
      <c r="X46" s="1539"/>
      <c r="Y46" s="3480"/>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472" t="str">
        <f>A47</f>
        <v>成交单价（元/平方米）</v>
      </c>
      <c r="Q47" s="3472"/>
      <c r="R47" s="3503">
        <f>E47</f>
        <v>0</v>
      </c>
      <c r="S47" s="3503"/>
      <c r="T47" s="3503">
        <f>G47</f>
        <v>0</v>
      </c>
      <c r="U47" s="3503"/>
      <c r="V47" s="3503">
        <f>I47</f>
        <v>0</v>
      </c>
      <c r="W47" s="3503"/>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2021-8</v>
      </c>
      <c r="D58" s="1347">
        <f>EDATE(C58,-1)</f>
        <v>44378</v>
      </c>
      <c r="E58" s="1347">
        <f t="shared" ref="E58:N58" si="16">EDATE(D58,-1)</f>
        <v>44348</v>
      </c>
      <c r="F58" s="1347">
        <f t="shared" si="16"/>
        <v>44317</v>
      </c>
      <c r="G58" s="1347">
        <f t="shared" si="16"/>
        <v>44287</v>
      </c>
      <c r="H58" s="1347">
        <f t="shared" si="16"/>
        <v>44256</v>
      </c>
      <c r="I58" s="1347">
        <f t="shared" si="16"/>
        <v>44228</v>
      </c>
      <c r="J58" s="1347">
        <f t="shared" si="16"/>
        <v>44197</v>
      </c>
      <c r="K58" s="1347">
        <f t="shared" si="16"/>
        <v>44166</v>
      </c>
      <c r="L58" s="1347">
        <f t="shared" si="16"/>
        <v>44136</v>
      </c>
      <c r="M58" s="1347">
        <f t="shared" si="16"/>
        <v>44105</v>
      </c>
      <c r="N58" s="1347">
        <f t="shared" si="16"/>
        <v>44075</v>
      </c>
      <c r="O58" s="1347">
        <f>EDATE(N58,-1)</f>
        <v>44044</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140992.71000000002</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487" t="s">
        <v>2467</v>
      </c>
      <c r="D4" s="3488"/>
      <c r="E4" s="3489" t="s">
        <v>2468</v>
      </c>
      <c r="F4" s="3490"/>
      <c r="G4" s="3487" t="s">
        <v>2469</v>
      </c>
      <c r="H4" s="3488"/>
      <c r="I4" s="3487" t="s">
        <v>2470</v>
      </c>
      <c r="J4" s="3488"/>
      <c r="K4" s="567" t="s">
        <v>2471</v>
      </c>
      <c r="L4" s="2944"/>
      <c r="M4" s="2945"/>
      <c r="N4" s="2945"/>
      <c r="O4" s="2945"/>
      <c r="P4" s="3521" t="s">
        <v>2472</v>
      </c>
      <c r="Q4" s="3522"/>
      <c r="R4" s="3525" t="s">
        <v>2468</v>
      </c>
      <c r="S4" s="3526"/>
      <c r="T4" s="3525" t="s">
        <v>2469</v>
      </c>
      <c r="U4" s="3526"/>
      <c r="V4" s="3527" t="s">
        <v>2470</v>
      </c>
      <c r="W4" s="3527"/>
      <c r="X4" s="2144"/>
      <c r="Y4" s="3525" t="s">
        <v>2472</v>
      </c>
      <c r="Z4" s="3526"/>
      <c r="AA4" s="3529" t="s">
        <v>2468</v>
      </c>
      <c r="AB4" s="3529" t="s">
        <v>2469</v>
      </c>
      <c r="AC4" s="3518" t="s">
        <v>2470</v>
      </c>
    </row>
    <row r="5" spans="1:29" ht="15">
      <c r="A5" s="364"/>
      <c r="B5" s="365"/>
      <c r="C5" s="3506" t="s">
        <v>2363</v>
      </c>
      <c r="D5" s="3507"/>
      <c r="E5" s="3513" t="s">
        <v>2364</v>
      </c>
      <c r="F5" s="3514"/>
      <c r="G5" s="3506" t="s">
        <v>2365</v>
      </c>
      <c r="H5" s="3507"/>
      <c r="I5" s="3506" t="s">
        <v>2366</v>
      </c>
      <c r="J5" s="3507"/>
      <c r="K5" s="567"/>
      <c r="L5" s="2944"/>
      <c r="M5" s="2945"/>
      <c r="N5" s="2945"/>
      <c r="O5" s="2945"/>
      <c r="P5" s="3523"/>
      <c r="Q5" s="3494"/>
      <c r="R5" s="3499"/>
      <c r="S5" s="3500"/>
      <c r="T5" s="3499"/>
      <c r="U5" s="3500"/>
      <c r="V5" s="3503"/>
      <c r="W5" s="3503"/>
      <c r="X5" s="1539"/>
      <c r="Y5" s="3499"/>
      <c r="Z5" s="3500"/>
      <c r="AA5" s="3485"/>
      <c r="AB5" s="3485"/>
      <c r="AC5" s="3519"/>
    </row>
    <row r="6" spans="1:29" ht="15.75" thickBot="1">
      <c r="A6" s="366"/>
      <c r="B6" s="367"/>
      <c r="C6" s="3504" t="s">
        <v>2367</v>
      </c>
      <c r="D6" s="3505"/>
      <c r="E6" s="3511" t="s">
        <v>2367</v>
      </c>
      <c r="F6" s="3512"/>
      <c r="G6" s="3504" t="s">
        <v>2367</v>
      </c>
      <c r="H6" s="3505"/>
      <c r="I6" s="3504" t="s">
        <v>2367</v>
      </c>
      <c r="J6" s="3505"/>
      <c r="K6" s="567" t="s">
        <v>2368</v>
      </c>
      <c r="L6" s="2944"/>
      <c r="M6" s="2945"/>
      <c r="N6" s="2945"/>
      <c r="O6" s="2945"/>
      <c r="P6" s="3524"/>
      <c r="Q6" s="3496"/>
      <c r="R6" s="3499"/>
      <c r="S6" s="3500"/>
      <c r="T6" s="3501"/>
      <c r="U6" s="3502"/>
      <c r="V6" s="3503"/>
      <c r="W6" s="3503"/>
      <c r="X6" s="1539"/>
      <c r="Y6" s="3501"/>
      <c r="Z6" s="3502"/>
      <c r="AA6" s="3486"/>
      <c r="AB6" s="3486"/>
      <c r="AC6" s="3520"/>
    </row>
    <row r="7" spans="1:29" s="113" customFormat="1" ht="15.75" thickBot="1">
      <c r="A7" s="368" t="s">
        <v>2369</v>
      </c>
      <c r="B7" s="369"/>
      <c r="C7" s="370">
        <f>'数据-取费表'!B2</f>
        <v>44411</v>
      </c>
      <c r="D7" s="371">
        <v>100</v>
      </c>
      <c r="E7" s="372"/>
      <c r="F7" s="373">
        <f>SUMIF(59:59,YEAR(E7)&amp;"-"&amp;MONTH(E7),60:60)</f>
        <v>0</v>
      </c>
      <c r="G7" s="372"/>
      <c r="H7" s="371">
        <f>SUMIF(59:59,YEAR(G7)&amp;"-"&amp;MONTH(G7),60:60)</f>
        <v>0</v>
      </c>
      <c r="I7" s="372"/>
      <c r="J7" s="371">
        <f>SUMIF(59:59,YEAR(I7)&amp;"-"&amp;MONTH(I7),60:60)</f>
        <v>0</v>
      </c>
      <c r="K7" s="568"/>
      <c r="L7" s="2946"/>
      <c r="M7" s="2947"/>
      <c r="N7" s="2947"/>
      <c r="O7" s="2947"/>
      <c r="P7" s="3528" t="s">
        <v>2370</v>
      </c>
      <c r="Q7" s="3510"/>
      <c r="R7" s="710" t="s">
        <v>17</v>
      </c>
      <c r="S7" s="711">
        <f t="shared" ref="S7:S15" si="0">F7</f>
        <v>0</v>
      </c>
      <c r="T7" s="710" t="s">
        <v>17</v>
      </c>
      <c r="U7" s="711">
        <f t="shared" ref="U7:U15" si="1">H7</f>
        <v>0</v>
      </c>
      <c r="V7" s="710" t="s">
        <v>17</v>
      </c>
      <c r="W7" s="711">
        <f t="shared" ref="W7:W15" si="2">J7</f>
        <v>0</v>
      </c>
      <c r="X7" s="712"/>
      <c r="Y7" s="3508" t="s">
        <v>2370</v>
      </c>
      <c r="Z7" s="3509"/>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528" t="s">
        <v>2373</v>
      </c>
      <c r="Q8" s="3509"/>
      <c r="R8" s="710" t="s">
        <v>17</v>
      </c>
      <c r="S8" s="711">
        <f t="shared" si="0"/>
        <v>0</v>
      </c>
      <c r="T8" s="710" t="s">
        <v>17</v>
      </c>
      <c r="U8" s="711">
        <f t="shared" si="1"/>
        <v>0</v>
      </c>
      <c r="V8" s="710" t="s">
        <v>17</v>
      </c>
      <c r="W8" s="711">
        <f t="shared" si="2"/>
        <v>0</v>
      </c>
      <c r="X8" s="712"/>
      <c r="Y8" s="3508" t="s">
        <v>2373</v>
      </c>
      <c r="Z8" s="3509"/>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483" t="s">
        <v>2376</v>
      </c>
      <c r="Q9" s="1527" t="str">
        <f t="shared" ref="Q9:Q15" si="6">B9</f>
        <v>用途</v>
      </c>
      <c r="R9" s="710" t="s">
        <v>17</v>
      </c>
      <c r="S9" s="711">
        <f t="shared" si="0"/>
        <v>100</v>
      </c>
      <c r="T9" s="710" t="s">
        <v>17</v>
      </c>
      <c r="U9" s="711">
        <f t="shared" si="1"/>
        <v>100</v>
      </c>
      <c r="V9" s="710" t="s">
        <v>17</v>
      </c>
      <c r="W9" s="711">
        <f t="shared" si="2"/>
        <v>100</v>
      </c>
      <c r="X9" s="712"/>
      <c r="Y9" s="3342"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483"/>
      <c r="Q10" s="1527"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483"/>
      <c r="Q11" s="1527" t="str">
        <f t="shared" si="6"/>
        <v>容积率</v>
      </c>
      <c r="R11" s="710" t="s">
        <v>17</v>
      </c>
      <c r="S11" s="711" t="e">
        <f t="shared" si="0"/>
        <v>#N/A</v>
      </c>
      <c r="T11" s="710" t="s">
        <v>17</v>
      </c>
      <c r="U11" s="711" t="e">
        <f t="shared" si="1"/>
        <v>#N/A</v>
      </c>
      <c r="V11" s="710" t="s">
        <v>17</v>
      </c>
      <c r="W11" s="711" t="e">
        <f t="shared" si="2"/>
        <v>#N/A</v>
      </c>
      <c r="X11" s="712"/>
      <c r="Y11" s="3342"/>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483"/>
      <c r="Q12" s="1527">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483"/>
      <c r="Q13" s="1527">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483"/>
      <c r="Q14" s="1527">
        <f t="shared" si="6"/>
        <v>111</v>
      </c>
      <c r="R14" s="710" t="s">
        <v>17</v>
      </c>
      <c r="S14" s="711">
        <f t="shared" si="0"/>
        <v>100</v>
      </c>
      <c r="T14" s="710" t="s">
        <v>17</v>
      </c>
      <c r="U14" s="711">
        <f t="shared" si="1"/>
        <v>100</v>
      </c>
      <c r="V14" s="710" t="s">
        <v>17</v>
      </c>
      <c r="W14" s="711">
        <f t="shared" si="2"/>
        <v>100</v>
      </c>
      <c r="X14" s="712"/>
      <c r="Y14" s="3342"/>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481" t="s">
        <v>2381</v>
      </c>
      <c r="Q15" s="1536" t="str">
        <f t="shared" si="6"/>
        <v>办公集聚程度</v>
      </c>
      <c r="R15" s="714" t="s">
        <v>17</v>
      </c>
      <c r="S15" s="715">
        <f t="shared" si="0"/>
        <v>100</v>
      </c>
      <c r="T15" s="714" t="s">
        <v>17</v>
      </c>
      <c r="U15" s="715">
        <f t="shared" si="1"/>
        <v>100</v>
      </c>
      <c r="V15" s="714" t="s">
        <v>17</v>
      </c>
      <c r="W15" s="715">
        <f t="shared" si="2"/>
        <v>100</v>
      </c>
      <c r="X15" s="1539"/>
      <c r="Y15" s="3474"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482"/>
      <c r="Q16" s="1536"/>
      <c r="R16" s="714"/>
      <c r="S16" s="715"/>
      <c r="T16" s="714"/>
      <c r="U16" s="715"/>
      <c r="V16" s="714"/>
      <c r="W16" s="715"/>
      <c r="X16" s="1539"/>
      <c r="Y16" s="3475"/>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482"/>
      <c r="Q17" s="1536" t="str">
        <f>B17</f>
        <v>交通便捷度</v>
      </c>
      <c r="R17" s="714" t="s">
        <v>17</v>
      </c>
      <c r="S17" s="715">
        <f>F17</f>
        <v>100</v>
      </c>
      <c r="T17" s="714" t="s">
        <v>17</v>
      </c>
      <c r="U17" s="715">
        <f>H17</f>
        <v>100</v>
      </c>
      <c r="V17" s="714" t="s">
        <v>17</v>
      </c>
      <c r="W17" s="715">
        <f>J17</f>
        <v>100</v>
      </c>
      <c r="X17" s="1539"/>
      <c r="Y17" s="3475"/>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482"/>
      <c r="Q18" s="1536"/>
      <c r="R18" s="714"/>
      <c r="S18" s="715"/>
      <c r="T18" s="714"/>
      <c r="U18" s="715"/>
      <c r="V18" s="714"/>
      <c r="W18" s="715"/>
      <c r="X18" s="1539"/>
      <c r="Y18" s="3475"/>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482"/>
      <c r="Q19" s="1536" t="str">
        <f>B19</f>
        <v>公共配套设施</v>
      </c>
      <c r="R19" s="714" t="s">
        <v>17</v>
      </c>
      <c r="S19" s="715">
        <f>F19</f>
        <v>100</v>
      </c>
      <c r="T19" s="714" t="s">
        <v>17</v>
      </c>
      <c r="U19" s="715">
        <f>H19</f>
        <v>100</v>
      </c>
      <c r="V19" s="714" t="s">
        <v>17</v>
      </c>
      <c r="W19" s="715">
        <f>J19</f>
        <v>100</v>
      </c>
      <c r="X19" s="1539"/>
      <c r="Y19" s="3475"/>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482"/>
      <c r="Q20" s="1536"/>
      <c r="R20" s="714"/>
      <c r="S20" s="715"/>
      <c r="T20" s="714"/>
      <c r="U20" s="715"/>
      <c r="V20" s="714"/>
      <c r="W20" s="715"/>
      <c r="X20" s="1539"/>
      <c r="Y20" s="3475"/>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482"/>
      <c r="Q21" s="1536" t="str">
        <f>B21</f>
        <v>基础设施水平</v>
      </c>
      <c r="R21" s="714" t="s">
        <v>17</v>
      </c>
      <c r="S21" s="715">
        <f>F21</f>
        <v>100</v>
      </c>
      <c r="T21" s="714" t="s">
        <v>17</v>
      </c>
      <c r="U21" s="715">
        <f>H21</f>
        <v>100</v>
      </c>
      <c r="V21" s="714" t="s">
        <v>17</v>
      </c>
      <c r="W21" s="715">
        <f>J21</f>
        <v>100</v>
      </c>
      <c r="X21" s="1539"/>
      <c r="Y21" s="3475"/>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482"/>
      <c r="Q22" s="1536"/>
      <c r="R22" s="714"/>
      <c r="S22" s="715"/>
      <c r="T22" s="714"/>
      <c r="U22" s="715"/>
      <c r="V22" s="714"/>
      <c r="W22" s="715"/>
      <c r="X22" s="1539"/>
      <c r="Y22" s="3475"/>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482"/>
      <c r="Q23" s="1536" t="str">
        <f>B23</f>
        <v>环境质量</v>
      </c>
      <c r="R23" s="714" t="s">
        <v>17</v>
      </c>
      <c r="S23" s="715">
        <f>F23</f>
        <v>100</v>
      </c>
      <c r="T23" s="714" t="s">
        <v>17</v>
      </c>
      <c r="U23" s="715">
        <f>H23</f>
        <v>100</v>
      </c>
      <c r="V23" s="714" t="s">
        <v>17</v>
      </c>
      <c r="W23" s="715">
        <f>J23</f>
        <v>100</v>
      </c>
      <c r="X23" s="1539"/>
      <c r="Y23" s="3475"/>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482"/>
      <c r="Q24" s="1536"/>
      <c r="R24" s="714"/>
      <c r="S24" s="715"/>
      <c r="T24" s="714"/>
      <c r="U24" s="715"/>
      <c r="V24" s="714"/>
      <c r="W24" s="715"/>
      <c r="X24" s="1539"/>
      <c r="Y24" s="3475"/>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482"/>
      <c r="Q25" s="1536" t="str">
        <f>B25</f>
        <v>毗邻道路的类型与等级</v>
      </c>
      <c r="R25" s="714" t="s">
        <v>17</v>
      </c>
      <c r="S25" s="715">
        <f>F25</f>
        <v>100</v>
      </c>
      <c r="T25" s="714" t="s">
        <v>17</v>
      </c>
      <c r="U25" s="715">
        <f>H25</f>
        <v>100</v>
      </c>
      <c r="V25" s="714" t="s">
        <v>17</v>
      </c>
      <c r="W25" s="715">
        <f>J25</f>
        <v>100</v>
      </c>
      <c r="X25" s="1539"/>
      <c r="Y25" s="3475"/>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482"/>
      <c r="Q26" s="1536"/>
      <c r="R26" s="714"/>
      <c r="S26" s="715"/>
      <c r="T26" s="714"/>
      <c r="U26" s="715"/>
      <c r="V26" s="714"/>
      <c r="W26" s="715"/>
      <c r="X26" s="1539"/>
      <c r="Y26" s="3475"/>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482"/>
      <c r="Q27" s="1536" t="str">
        <f t="shared" ref="Q27:Q47" si="11">B27</f>
        <v>楼层</v>
      </c>
      <c r="R27" s="714" t="s">
        <v>17</v>
      </c>
      <c r="S27" s="715">
        <f>F27</f>
        <v>100</v>
      </c>
      <c r="T27" s="714" t="s">
        <v>17</v>
      </c>
      <c r="U27" s="715">
        <f>H27</f>
        <v>100</v>
      </c>
      <c r="V27" s="714" t="s">
        <v>17</v>
      </c>
      <c r="W27" s="715">
        <f>J27</f>
        <v>100</v>
      </c>
      <c r="X27" s="1539"/>
      <c r="Y27" s="3475"/>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482"/>
      <c r="Q28" s="1527" t="str">
        <f t="shared" si="11"/>
        <v>朝向</v>
      </c>
      <c r="R28" s="710" t="s">
        <v>17</v>
      </c>
      <c r="S28" s="711">
        <f>F28</f>
        <v>100</v>
      </c>
      <c r="T28" s="710" t="s">
        <v>17</v>
      </c>
      <c r="U28" s="711">
        <f>H28</f>
        <v>100</v>
      </c>
      <c r="V28" s="710" t="s">
        <v>17</v>
      </c>
      <c r="W28" s="711">
        <f>J28</f>
        <v>100</v>
      </c>
      <c r="X28" s="712"/>
      <c r="Y28" s="3475"/>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482"/>
      <c r="Q29" s="1536">
        <f t="shared" si="11"/>
        <v>111</v>
      </c>
      <c r="R29" s="714" t="s">
        <v>17</v>
      </c>
      <c r="S29" s="715">
        <f t="shared" ref="S29:S47" si="12">F29</f>
        <v>100</v>
      </c>
      <c r="T29" s="714" t="s">
        <v>17</v>
      </c>
      <c r="U29" s="715">
        <f t="shared" ref="U29:U47" si="13">H29</f>
        <v>100</v>
      </c>
      <c r="V29" s="714" t="s">
        <v>17</v>
      </c>
      <c r="W29" s="715">
        <f t="shared" ref="W29:W47" si="14">J29</f>
        <v>100</v>
      </c>
      <c r="X29" s="1539"/>
      <c r="Y29" s="3475"/>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482"/>
      <c r="Q30" s="1536">
        <f t="shared" si="11"/>
        <v>111</v>
      </c>
      <c r="R30" s="714" t="s">
        <v>17</v>
      </c>
      <c r="S30" s="715">
        <f t="shared" si="12"/>
        <v>100</v>
      </c>
      <c r="T30" s="714" t="s">
        <v>17</v>
      </c>
      <c r="U30" s="715">
        <f t="shared" si="13"/>
        <v>100</v>
      </c>
      <c r="V30" s="714" t="s">
        <v>17</v>
      </c>
      <c r="W30" s="715">
        <f t="shared" si="14"/>
        <v>100</v>
      </c>
      <c r="X30" s="1539"/>
      <c r="Y30" s="3475"/>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482"/>
      <c r="Q31" s="1536">
        <f t="shared" si="11"/>
        <v>111</v>
      </c>
      <c r="R31" s="714" t="s">
        <v>17</v>
      </c>
      <c r="S31" s="715">
        <f t="shared" si="12"/>
        <v>100</v>
      </c>
      <c r="T31" s="714" t="s">
        <v>17</v>
      </c>
      <c r="U31" s="715">
        <f t="shared" si="13"/>
        <v>100</v>
      </c>
      <c r="V31" s="714" t="s">
        <v>17</v>
      </c>
      <c r="W31" s="715">
        <f t="shared" si="14"/>
        <v>100</v>
      </c>
      <c r="X31" s="1539"/>
      <c r="Y31" s="3475"/>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482"/>
      <c r="Q32" s="1536">
        <f t="shared" si="11"/>
        <v>111</v>
      </c>
      <c r="R32" s="714" t="s">
        <v>17</v>
      </c>
      <c r="S32" s="715">
        <f t="shared" si="12"/>
        <v>100</v>
      </c>
      <c r="T32" s="714" t="s">
        <v>17</v>
      </c>
      <c r="U32" s="715">
        <f t="shared" si="13"/>
        <v>100</v>
      </c>
      <c r="V32" s="714" t="s">
        <v>17</v>
      </c>
      <c r="W32" s="715">
        <f t="shared" si="14"/>
        <v>100</v>
      </c>
      <c r="X32" s="1539"/>
      <c r="Y32" s="3475"/>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476" t="s">
        <v>2386</v>
      </c>
      <c r="Q33" s="1536" t="str">
        <f t="shared" si="11"/>
        <v>建筑类型</v>
      </c>
      <c r="R33" s="714" t="s">
        <v>17</v>
      </c>
      <c r="S33" s="715">
        <f t="shared" si="12"/>
        <v>100</v>
      </c>
      <c r="T33" s="714" t="s">
        <v>17</v>
      </c>
      <c r="U33" s="715">
        <f t="shared" si="13"/>
        <v>100</v>
      </c>
      <c r="V33" s="714" t="s">
        <v>17</v>
      </c>
      <c r="W33" s="715">
        <f t="shared" si="14"/>
        <v>100</v>
      </c>
      <c r="X33" s="1539"/>
      <c r="Y33" s="3479"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477"/>
      <c r="Q34" s="716" t="str">
        <f t="shared" si="11"/>
        <v>项目建筑规模</v>
      </c>
      <c r="R34" s="717" t="s">
        <v>17</v>
      </c>
      <c r="S34" s="718" t="e">
        <f t="shared" si="12"/>
        <v>#N/A</v>
      </c>
      <c r="T34" s="717" t="s">
        <v>17</v>
      </c>
      <c r="U34" s="718" t="e">
        <f t="shared" si="13"/>
        <v>#N/A</v>
      </c>
      <c r="V34" s="717" t="s">
        <v>17</v>
      </c>
      <c r="W34" s="718" t="e">
        <f t="shared" si="14"/>
        <v>#N/A</v>
      </c>
      <c r="X34" s="719"/>
      <c r="Y34" s="3479"/>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477"/>
      <c r="Q35" s="1536" t="str">
        <f t="shared" si="11"/>
        <v>建筑结构</v>
      </c>
      <c r="R35" s="714" t="s">
        <v>17</v>
      </c>
      <c r="S35" s="715">
        <f t="shared" si="12"/>
        <v>100</v>
      </c>
      <c r="T35" s="714" t="s">
        <v>17</v>
      </c>
      <c r="U35" s="715">
        <f t="shared" si="13"/>
        <v>100</v>
      </c>
      <c r="V35" s="714" t="s">
        <v>17</v>
      </c>
      <c r="W35" s="715">
        <f t="shared" si="14"/>
        <v>100</v>
      </c>
      <c r="X35" s="1539"/>
      <c r="Y35" s="3479"/>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477"/>
      <c r="Q36" s="1536" t="str">
        <f t="shared" si="11"/>
        <v>公共部分装修</v>
      </c>
      <c r="R36" s="714" t="s">
        <v>17</v>
      </c>
      <c r="S36" s="715">
        <f t="shared" si="12"/>
        <v>100</v>
      </c>
      <c r="T36" s="714" t="s">
        <v>17</v>
      </c>
      <c r="U36" s="715">
        <f t="shared" si="13"/>
        <v>100</v>
      </c>
      <c r="V36" s="714" t="s">
        <v>17</v>
      </c>
      <c r="W36" s="715">
        <f t="shared" si="14"/>
        <v>100</v>
      </c>
      <c r="X36" s="1539"/>
      <c r="Y36" s="3479"/>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477"/>
      <c r="Q37" s="1536" t="str">
        <f t="shared" si="11"/>
        <v>成新度</v>
      </c>
      <c r="R37" s="714" t="s">
        <v>17</v>
      </c>
      <c r="S37" s="715" t="e">
        <f t="shared" si="12"/>
        <v>#N/A</v>
      </c>
      <c r="T37" s="714" t="s">
        <v>17</v>
      </c>
      <c r="U37" s="715" t="e">
        <f t="shared" si="13"/>
        <v>#N/A</v>
      </c>
      <c r="V37" s="714" t="s">
        <v>17</v>
      </c>
      <c r="W37" s="715" t="e">
        <f t="shared" si="14"/>
        <v>#N/A</v>
      </c>
      <c r="X37" s="1539"/>
      <c r="Y37" s="3479"/>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477"/>
      <c r="Q38" s="1527" t="str">
        <f t="shared" si="11"/>
        <v>写字楼等级</v>
      </c>
      <c r="R38" s="710" t="s">
        <v>17</v>
      </c>
      <c r="S38" s="711">
        <f t="shared" si="12"/>
        <v>100</v>
      </c>
      <c r="T38" s="710" t="s">
        <v>17</v>
      </c>
      <c r="U38" s="711">
        <f t="shared" si="13"/>
        <v>100</v>
      </c>
      <c r="V38" s="710" t="s">
        <v>17</v>
      </c>
      <c r="W38" s="711">
        <f t="shared" si="14"/>
        <v>100</v>
      </c>
      <c r="X38" s="712"/>
      <c r="Y38" s="3479"/>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477" t="s">
        <v>2386</v>
      </c>
      <c r="Q39" s="1536" t="str">
        <f t="shared" si="11"/>
        <v>物业管理</v>
      </c>
      <c r="R39" s="714" t="s">
        <v>17</v>
      </c>
      <c r="S39" s="715">
        <f t="shared" si="12"/>
        <v>100</v>
      </c>
      <c r="T39" s="714" t="s">
        <v>17</v>
      </c>
      <c r="U39" s="715">
        <f t="shared" si="13"/>
        <v>100</v>
      </c>
      <c r="V39" s="714" t="s">
        <v>17</v>
      </c>
      <c r="W39" s="715">
        <f t="shared" si="14"/>
        <v>100</v>
      </c>
      <c r="X39" s="1539"/>
      <c r="Y39" s="3479"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477"/>
      <c r="Q40" s="1536" t="str">
        <f t="shared" si="11"/>
        <v>市政基础设施</v>
      </c>
      <c r="R40" s="714" t="s">
        <v>17</v>
      </c>
      <c r="S40" s="715">
        <f t="shared" si="12"/>
        <v>100</v>
      </c>
      <c r="T40" s="714" t="s">
        <v>17</v>
      </c>
      <c r="U40" s="715">
        <f t="shared" si="13"/>
        <v>100</v>
      </c>
      <c r="V40" s="714" t="s">
        <v>17</v>
      </c>
      <c r="W40" s="715">
        <f t="shared" si="14"/>
        <v>100</v>
      </c>
      <c r="X40" s="1539"/>
      <c r="Y40" s="3479"/>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477"/>
      <c r="Q41" s="1536" t="str">
        <f t="shared" si="11"/>
        <v>层高</v>
      </c>
      <c r="R41" s="714" t="s">
        <v>17</v>
      </c>
      <c r="S41" s="715">
        <f t="shared" si="12"/>
        <v>100</v>
      </c>
      <c r="T41" s="714" t="s">
        <v>17</v>
      </c>
      <c r="U41" s="715">
        <f t="shared" si="13"/>
        <v>100</v>
      </c>
      <c r="V41" s="714" t="s">
        <v>17</v>
      </c>
      <c r="W41" s="715">
        <f t="shared" si="14"/>
        <v>100</v>
      </c>
      <c r="X41" s="1539"/>
      <c r="Y41" s="3479"/>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477"/>
      <c r="Q42" s="716" t="str">
        <f t="shared" si="11"/>
        <v>单套建筑面积</v>
      </c>
      <c r="R42" s="717" t="s">
        <v>17</v>
      </c>
      <c r="S42" s="718">
        <f t="shared" si="12"/>
        <v>100</v>
      </c>
      <c r="T42" s="717" t="s">
        <v>17</v>
      </c>
      <c r="U42" s="718">
        <f t="shared" si="13"/>
        <v>100</v>
      </c>
      <c r="V42" s="717" t="s">
        <v>17</v>
      </c>
      <c r="W42" s="718">
        <f t="shared" si="14"/>
        <v>100</v>
      </c>
      <c r="X42" s="719"/>
      <c r="Y42" s="3479"/>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477"/>
      <c r="Q43" s="1536" t="str">
        <f t="shared" si="11"/>
        <v>内部装修</v>
      </c>
      <c r="R43" s="714" t="s">
        <v>17</v>
      </c>
      <c r="S43" s="715">
        <f t="shared" si="12"/>
        <v>100</v>
      </c>
      <c r="T43" s="714" t="s">
        <v>17</v>
      </c>
      <c r="U43" s="715">
        <f t="shared" si="13"/>
        <v>100</v>
      </c>
      <c r="V43" s="714" t="s">
        <v>17</v>
      </c>
      <c r="W43" s="715">
        <f t="shared" si="14"/>
        <v>100</v>
      </c>
      <c r="X43" s="1539"/>
      <c r="Y43" s="3479"/>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477"/>
      <c r="Q44" s="1536" t="str">
        <f t="shared" si="11"/>
        <v>内部装修维护情况</v>
      </c>
      <c r="R44" s="714" t="s">
        <v>17</v>
      </c>
      <c r="S44" s="715">
        <f t="shared" si="12"/>
        <v>100</v>
      </c>
      <c r="T44" s="714" t="s">
        <v>17</v>
      </c>
      <c r="U44" s="715">
        <f t="shared" si="13"/>
        <v>100</v>
      </c>
      <c r="V44" s="714" t="s">
        <v>17</v>
      </c>
      <c r="W44" s="715">
        <f t="shared" si="14"/>
        <v>100</v>
      </c>
      <c r="X44" s="1539"/>
      <c r="Y44" s="3479"/>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477"/>
      <c r="Q45" s="1527">
        <f t="shared" si="11"/>
        <v>111</v>
      </c>
      <c r="R45" s="710" t="s">
        <v>17</v>
      </c>
      <c r="S45" s="711">
        <f t="shared" si="12"/>
        <v>100</v>
      </c>
      <c r="T45" s="710" t="s">
        <v>17</v>
      </c>
      <c r="U45" s="711">
        <f t="shared" si="13"/>
        <v>100</v>
      </c>
      <c r="V45" s="710" t="s">
        <v>17</v>
      </c>
      <c r="W45" s="711">
        <f t="shared" si="14"/>
        <v>100</v>
      </c>
      <c r="X45" s="712"/>
      <c r="Y45" s="3479"/>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477"/>
      <c r="Q46" s="1536">
        <f t="shared" si="11"/>
        <v>111</v>
      </c>
      <c r="R46" s="714" t="s">
        <v>17</v>
      </c>
      <c r="S46" s="715">
        <f t="shared" si="12"/>
        <v>100</v>
      </c>
      <c r="T46" s="714" t="s">
        <v>17</v>
      </c>
      <c r="U46" s="715">
        <f t="shared" si="13"/>
        <v>100</v>
      </c>
      <c r="V46" s="714" t="s">
        <v>17</v>
      </c>
      <c r="W46" s="715">
        <f t="shared" si="14"/>
        <v>100</v>
      </c>
      <c r="X46" s="1539"/>
      <c r="Y46" s="3479"/>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478"/>
      <c r="Q47" s="1536">
        <f t="shared" si="11"/>
        <v>111</v>
      </c>
      <c r="R47" s="714" t="s">
        <v>17</v>
      </c>
      <c r="S47" s="715">
        <f t="shared" si="12"/>
        <v>100</v>
      </c>
      <c r="T47" s="714" t="s">
        <v>17</v>
      </c>
      <c r="U47" s="715">
        <f t="shared" si="13"/>
        <v>100</v>
      </c>
      <c r="V47" s="714" t="s">
        <v>17</v>
      </c>
      <c r="W47" s="715">
        <f t="shared" si="14"/>
        <v>100</v>
      </c>
      <c r="X47" s="1539"/>
      <c r="Y47" s="3480"/>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483" t="str">
        <f>A48</f>
        <v>成交单价（元/平方米）</v>
      </c>
      <c r="Q48" s="3472"/>
      <c r="R48" s="3473">
        <f>E48</f>
        <v>0</v>
      </c>
      <c r="S48" s="3473"/>
      <c r="T48" s="3473">
        <f>G48</f>
        <v>0</v>
      </c>
      <c r="U48" s="3473"/>
      <c r="V48" s="3473">
        <f>I48</f>
        <v>0</v>
      </c>
      <c r="W48" s="3473"/>
      <c r="X48" s="405"/>
      <c r="Y48" s="721"/>
      <c r="Z48" s="405"/>
      <c r="AA48" s="405"/>
      <c r="AB48" s="405"/>
      <c r="AC48" s="586"/>
    </row>
    <row r="49" spans="1:29" ht="15.75" thickBot="1">
      <c r="A49" s="445" t="s">
        <v>2490</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483" t="str">
        <f>A49</f>
        <v>比较价值（元/平方米）</v>
      </c>
      <c r="Q49" s="34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2021-8</v>
      </c>
      <c r="D59" s="1347">
        <f>EDATE(C59,-1)</f>
        <v>44378</v>
      </c>
      <c r="E59" s="1347">
        <f>EDATE(D59,-1)</f>
        <v>44348</v>
      </c>
      <c r="F59" s="1347">
        <f t="shared" ref="F59:O59" si="16">EDATE(E59,-1)</f>
        <v>44317</v>
      </c>
      <c r="G59" s="1347">
        <f t="shared" si="16"/>
        <v>44287</v>
      </c>
      <c r="H59" s="1347">
        <f t="shared" si="16"/>
        <v>44256</v>
      </c>
      <c r="I59" s="1347">
        <f t="shared" si="16"/>
        <v>44228</v>
      </c>
      <c r="J59" s="1347">
        <f t="shared" si="16"/>
        <v>44197</v>
      </c>
      <c r="K59" s="1347">
        <f t="shared" si="16"/>
        <v>44166</v>
      </c>
      <c r="L59" s="1347">
        <f t="shared" si="16"/>
        <v>44136</v>
      </c>
      <c r="M59" s="1347">
        <f t="shared" si="16"/>
        <v>44105</v>
      </c>
      <c r="N59" s="1347">
        <f t="shared" si="16"/>
        <v>44075</v>
      </c>
      <c r="O59" s="1347">
        <f t="shared" si="16"/>
        <v>44044</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140992.71000000002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87" t="s">
        <v>2467</v>
      </c>
      <c r="D4" s="3488"/>
      <c r="E4" s="3489" t="s">
        <v>2468</v>
      </c>
      <c r="F4" s="3490"/>
      <c r="G4" s="3487" t="s">
        <v>2469</v>
      </c>
      <c r="H4" s="3488"/>
      <c r="I4" s="3487" t="s">
        <v>2470</v>
      </c>
      <c r="J4" s="3488"/>
      <c r="K4" s="567" t="s">
        <v>2471</v>
      </c>
      <c r="L4" s="1044"/>
      <c r="M4" s="1045"/>
      <c r="N4" s="1045"/>
      <c r="O4" s="1045"/>
      <c r="P4" s="3491" t="s">
        <v>2472</v>
      </c>
      <c r="Q4" s="3492"/>
      <c r="R4" s="3497" t="s">
        <v>2468</v>
      </c>
      <c r="S4" s="3498"/>
      <c r="T4" s="3497" t="s">
        <v>2469</v>
      </c>
      <c r="U4" s="3498"/>
      <c r="V4" s="3503" t="s">
        <v>2470</v>
      </c>
      <c r="W4" s="3503"/>
      <c r="X4" s="1539"/>
      <c r="Y4" s="3497" t="s">
        <v>2472</v>
      </c>
      <c r="Z4" s="3498"/>
      <c r="AA4" s="3484" t="s">
        <v>2468</v>
      </c>
      <c r="AB4" s="3485" t="s">
        <v>2469</v>
      </c>
      <c r="AC4" s="3484" t="s">
        <v>2470</v>
      </c>
    </row>
    <row r="5" spans="1:29" ht="15">
      <c r="A5" s="364"/>
      <c r="B5" s="365"/>
      <c r="C5" s="3506" t="s">
        <v>2363</v>
      </c>
      <c r="D5" s="3507"/>
      <c r="E5" s="3513" t="s">
        <v>2364</v>
      </c>
      <c r="F5" s="3514"/>
      <c r="G5" s="3506" t="s">
        <v>2365</v>
      </c>
      <c r="H5" s="3507"/>
      <c r="I5" s="3506" t="s">
        <v>2366</v>
      </c>
      <c r="J5" s="3507"/>
      <c r="K5" s="567"/>
      <c r="L5" s="1044"/>
      <c r="M5" s="1045"/>
      <c r="N5" s="1045"/>
      <c r="O5" s="1045"/>
      <c r="P5" s="3493"/>
      <c r="Q5" s="3494"/>
      <c r="R5" s="3499"/>
      <c r="S5" s="3500"/>
      <c r="T5" s="3499"/>
      <c r="U5" s="3500"/>
      <c r="V5" s="3503"/>
      <c r="W5" s="3503"/>
      <c r="X5" s="1539"/>
      <c r="Y5" s="3499"/>
      <c r="Z5" s="3500"/>
      <c r="AA5" s="3485"/>
      <c r="AB5" s="3485"/>
      <c r="AC5" s="3485"/>
    </row>
    <row r="6" spans="1:29" ht="15.75" thickBot="1">
      <c r="A6" s="366"/>
      <c r="B6" s="367"/>
      <c r="C6" s="3504" t="s">
        <v>2367</v>
      </c>
      <c r="D6" s="3505"/>
      <c r="E6" s="3511" t="s">
        <v>2367</v>
      </c>
      <c r="F6" s="3512"/>
      <c r="G6" s="3504" t="s">
        <v>2367</v>
      </c>
      <c r="H6" s="3505"/>
      <c r="I6" s="3504" t="s">
        <v>2367</v>
      </c>
      <c r="J6" s="3505"/>
      <c r="K6" s="567" t="s">
        <v>2368</v>
      </c>
      <c r="L6" s="1044"/>
      <c r="M6" s="1045"/>
      <c r="N6" s="1045"/>
      <c r="O6" s="1045"/>
      <c r="P6" s="3495"/>
      <c r="Q6" s="3496"/>
      <c r="R6" s="3499"/>
      <c r="S6" s="3500"/>
      <c r="T6" s="3501"/>
      <c r="U6" s="3502"/>
      <c r="V6" s="3503"/>
      <c r="W6" s="3503"/>
      <c r="X6" s="1539"/>
      <c r="Y6" s="3501"/>
      <c r="Z6" s="3502"/>
      <c r="AA6" s="3486"/>
      <c r="AB6" s="3486"/>
      <c r="AC6" s="3486"/>
    </row>
    <row r="7" spans="1:29" s="113" customFormat="1" ht="15.75" thickBot="1">
      <c r="A7" s="368" t="s">
        <v>2369</v>
      </c>
      <c r="B7" s="369"/>
      <c r="C7" s="370">
        <f>'数据-取费表'!B2</f>
        <v>44411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8" t="s">
        <v>2370</v>
      </c>
      <c r="Q7" s="3510"/>
      <c r="R7" s="710" t="s">
        <v>17</v>
      </c>
      <c r="S7" s="711">
        <f t="shared" ref="S7:S15" si="0">F7</f>
        <v>0</v>
      </c>
      <c r="T7" s="710" t="s">
        <v>17</v>
      </c>
      <c r="U7" s="711">
        <f t="shared" ref="U7:U15" si="1">H7</f>
        <v>0</v>
      </c>
      <c r="V7" s="710" t="s">
        <v>17</v>
      </c>
      <c r="W7" s="711">
        <f t="shared" ref="W7:W15" si="2">J7</f>
        <v>0</v>
      </c>
      <c r="X7" s="712"/>
      <c r="Y7" s="3508" t="s">
        <v>2370</v>
      </c>
      <c r="Z7" s="350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8" t="s">
        <v>2373</v>
      </c>
      <c r="Q8" s="3509"/>
      <c r="R8" s="710" t="s">
        <v>17</v>
      </c>
      <c r="S8" s="711">
        <f t="shared" si="0"/>
        <v>0</v>
      </c>
      <c r="T8" s="710" t="s">
        <v>17</v>
      </c>
      <c r="U8" s="711">
        <f t="shared" si="1"/>
        <v>0</v>
      </c>
      <c r="V8" s="710" t="s">
        <v>17</v>
      </c>
      <c r="W8" s="711">
        <f t="shared" si="2"/>
        <v>0</v>
      </c>
      <c r="X8" s="712"/>
      <c r="Y8" s="3508" t="s">
        <v>2373</v>
      </c>
      <c r="Z8" s="350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2" t="s">
        <v>2376</v>
      </c>
      <c r="Q9" s="1527" t="str">
        <f t="shared" ref="Q9:Q15" si="6">B9</f>
        <v>用途</v>
      </c>
      <c r="R9" s="710" t="s">
        <v>17</v>
      </c>
      <c r="S9" s="711">
        <f t="shared" si="0"/>
        <v>100</v>
      </c>
      <c r="T9" s="710" t="s">
        <v>17</v>
      </c>
      <c r="U9" s="711">
        <f t="shared" si="1"/>
        <v>100</v>
      </c>
      <c r="V9" s="710" t="s">
        <v>17</v>
      </c>
      <c r="W9" s="711">
        <f t="shared" si="2"/>
        <v>100</v>
      </c>
      <c r="X9" s="712"/>
      <c r="Y9" s="3342"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2"/>
      <c r="Q10" s="1527"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2"/>
      <c r="Q11" s="1527" t="str">
        <f t="shared" si="6"/>
        <v>容积率</v>
      </c>
      <c r="R11" s="710" t="s">
        <v>17</v>
      </c>
      <c r="S11" s="711" t="e">
        <f t="shared" si="0"/>
        <v>#N/A</v>
      </c>
      <c r="T11" s="710" t="s">
        <v>17</v>
      </c>
      <c r="U11" s="711" t="e">
        <f t="shared" si="1"/>
        <v>#N/A</v>
      </c>
      <c r="V11" s="710" t="s">
        <v>17</v>
      </c>
      <c r="W11" s="711" t="e">
        <f t="shared" si="2"/>
        <v>#N/A</v>
      </c>
      <c r="X11" s="712"/>
      <c r="Y11" s="334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72"/>
      <c r="Q12" s="1527">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72"/>
      <c r="Q13" s="1527">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72"/>
      <c r="Q14" s="1527">
        <f t="shared" si="6"/>
        <v>111</v>
      </c>
      <c r="R14" s="710" t="s">
        <v>17</v>
      </c>
      <c r="S14" s="711">
        <f t="shared" si="0"/>
        <v>100</v>
      </c>
      <c r="T14" s="710" t="s">
        <v>17</v>
      </c>
      <c r="U14" s="711">
        <f t="shared" si="1"/>
        <v>100</v>
      </c>
      <c r="V14" s="710" t="s">
        <v>17</v>
      </c>
      <c r="W14" s="711">
        <f t="shared" si="2"/>
        <v>100</v>
      </c>
      <c r="X14" s="712"/>
      <c r="Y14" s="3342"/>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4" t="s">
        <v>2381</v>
      </c>
      <c r="Q15" s="1536" t="str">
        <f t="shared" si="6"/>
        <v>产业集聚程度</v>
      </c>
      <c r="R15" s="714" t="s">
        <v>17</v>
      </c>
      <c r="S15" s="715">
        <f t="shared" si="0"/>
        <v>100</v>
      </c>
      <c r="T15" s="714" t="s">
        <v>17</v>
      </c>
      <c r="U15" s="715">
        <f t="shared" si="1"/>
        <v>100</v>
      </c>
      <c r="V15" s="714" t="s">
        <v>17</v>
      </c>
      <c r="W15" s="715">
        <f t="shared" si="2"/>
        <v>100</v>
      </c>
      <c r="X15" s="1539"/>
      <c r="Y15" s="3474"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75"/>
      <c r="Q16" s="1536"/>
      <c r="R16" s="714"/>
      <c r="S16" s="715"/>
      <c r="T16" s="714"/>
      <c r="U16" s="715"/>
      <c r="V16" s="714"/>
      <c r="W16" s="715"/>
      <c r="X16" s="1539"/>
      <c r="Y16" s="3475"/>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5"/>
      <c r="Q17" s="1536" t="str">
        <f>B17</f>
        <v>交通便捷度</v>
      </c>
      <c r="R17" s="714" t="s">
        <v>17</v>
      </c>
      <c r="S17" s="715">
        <f>F17</f>
        <v>100</v>
      </c>
      <c r="T17" s="714" t="s">
        <v>17</v>
      </c>
      <c r="U17" s="715">
        <f>H17</f>
        <v>100</v>
      </c>
      <c r="V17" s="714" t="s">
        <v>17</v>
      </c>
      <c r="W17" s="715">
        <f>J17</f>
        <v>100</v>
      </c>
      <c r="X17" s="1539"/>
      <c r="Y17" s="3475"/>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75"/>
      <c r="Q18" s="1536"/>
      <c r="R18" s="714"/>
      <c r="S18" s="715"/>
      <c r="T18" s="714"/>
      <c r="U18" s="715"/>
      <c r="V18" s="714"/>
      <c r="W18" s="715"/>
      <c r="X18" s="1539"/>
      <c r="Y18" s="3475"/>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5"/>
      <c r="Q19" s="1536" t="str">
        <f>B19</f>
        <v>公共配套设施</v>
      </c>
      <c r="R19" s="714" t="s">
        <v>17</v>
      </c>
      <c r="S19" s="715">
        <f>F19</f>
        <v>100</v>
      </c>
      <c r="T19" s="714" t="s">
        <v>17</v>
      </c>
      <c r="U19" s="715">
        <f>H19</f>
        <v>100</v>
      </c>
      <c r="V19" s="714" t="s">
        <v>17</v>
      </c>
      <c r="W19" s="715">
        <f>J19</f>
        <v>100</v>
      </c>
      <c r="X19" s="1539"/>
      <c r="Y19" s="3475"/>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75"/>
      <c r="Q20" s="1536"/>
      <c r="R20" s="714"/>
      <c r="S20" s="715"/>
      <c r="T20" s="714"/>
      <c r="U20" s="715"/>
      <c r="V20" s="714"/>
      <c r="W20" s="715"/>
      <c r="X20" s="1539"/>
      <c r="Y20" s="3475"/>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5"/>
      <c r="Q21" s="1536" t="str">
        <f>B21</f>
        <v>基础设施水平</v>
      </c>
      <c r="R21" s="714" t="s">
        <v>17</v>
      </c>
      <c r="S21" s="715">
        <f>F21</f>
        <v>100</v>
      </c>
      <c r="T21" s="714" t="s">
        <v>17</v>
      </c>
      <c r="U21" s="715">
        <f>H21</f>
        <v>100</v>
      </c>
      <c r="V21" s="714" t="s">
        <v>17</v>
      </c>
      <c r="W21" s="715">
        <f>J21</f>
        <v>100</v>
      </c>
      <c r="X21" s="1539"/>
      <c r="Y21" s="3475"/>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75"/>
      <c r="Q22" s="1536"/>
      <c r="R22" s="714"/>
      <c r="S22" s="715"/>
      <c r="T22" s="714"/>
      <c r="U22" s="715"/>
      <c r="V22" s="714"/>
      <c r="W22" s="715"/>
      <c r="X22" s="1539"/>
      <c r="Y22" s="3475"/>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5"/>
      <c r="Q23" s="1536" t="str">
        <f>B23</f>
        <v>环境质量</v>
      </c>
      <c r="R23" s="714" t="s">
        <v>17</v>
      </c>
      <c r="S23" s="715">
        <f>F23</f>
        <v>100</v>
      </c>
      <c r="T23" s="714" t="s">
        <v>17</v>
      </c>
      <c r="U23" s="715">
        <f>H23</f>
        <v>100</v>
      </c>
      <c r="V23" s="714" t="s">
        <v>17</v>
      </c>
      <c r="W23" s="715">
        <f>J23</f>
        <v>100</v>
      </c>
      <c r="X23" s="1539"/>
      <c r="Y23" s="3475"/>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75"/>
      <c r="Q24" s="1536"/>
      <c r="R24" s="714"/>
      <c r="S24" s="715"/>
      <c r="T24" s="714"/>
      <c r="U24" s="715"/>
      <c r="V24" s="714"/>
      <c r="W24" s="715"/>
      <c r="X24" s="1539"/>
      <c r="Y24" s="3475"/>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5"/>
      <c r="Q25" s="1536">
        <f>B25</f>
        <v>111</v>
      </c>
      <c r="R25" s="714" t="s">
        <v>17</v>
      </c>
      <c r="S25" s="715">
        <f>F25</f>
        <v>100</v>
      </c>
      <c r="T25" s="714" t="s">
        <v>17</v>
      </c>
      <c r="U25" s="715">
        <f>H25</f>
        <v>100</v>
      </c>
      <c r="V25" s="714" t="s">
        <v>17</v>
      </c>
      <c r="W25" s="715">
        <f>J25</f>
        <v>100</v>
      </c>
      <c r="X25" s="1539"/>
      <c r="Y25" s="3475"/>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5"/>
      <c r="Q26" s="1536">
        <f t="shared" ref="Q26:Q40" si="11">B26</f>
        <v>111</v>
      </c>
      <c r="R26" s="714" t="s">
        <v>17</v>
      </c>
      <c r="S26" s="715">
        <f>F26</f>
        <v>100</v>
      </c>
      <c r="T26" s="714" t="s">
        <v>17</v>
      </c>
      <c r="U26" s="715">
        <f>H26</f>
        <v>100</v>
      </c>
      <c r="V26" s="714" t="s">
        <v>17</v>
      </c>
      <c r="W26" s="715">
        <f>J26</f>
        <v>100</v>
      </c>
      <c r="X26" s="1539"/>
      <c r="Y26" s="3475"/>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5"/>
      <c r="Q27" s="1527">
        <f t="shared" si="11"/>
        <v>111</v>
      </c>
      <c r="R27" s="710" t="s">
        <v>17</v>
      </c>
      <c r="S27" s="711">
        <f>F27</f>
        <v>100</v>
      </c>
      <c r="T27" s="710" t="s">
        <v>17</v>
      </c>
      <c r="U27" s="711">
        <f>H27</f>
        <v>100</v>
      </c>
      <c r="V27" s="710" t="s">
        <v>17</v>
      </c>
      <c r="W27" s="711">
        <f>J27</f>
        <v>100</v>
      </c>
      <c r="X27" s="712"/>
      <c r="Y27" s="3475"/>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5"/>
      <c r="Q28" s="1536">
        <f t="shared" si="11"/>
        <v>111</v>
      </c>
      <c r="R28" s="714" t="s">
        <v>17</v>
      </c>
      <c r="S28" s="715">
        <f t="shared" ref="S28:S40" si="12">F28</f>
        <v>100</v>
      </c>
      <c r="T28" s="714" t="s">
        <v>17</v>
      </c>
      <c r="U28" s="715">
        <f t="shared" ref="U28:U40" si="13">H28</f>
        <v>100</v>
      </c>
      <c r="V28" s="714" t="s">
        <v>17</v>
      </c>
      <c r="W28" s="715">
        <f t="shared" ref="W28:W40" si="14">J28</f>
        <v>100</v>
      </c>
      <c r="X28" s="1539"/>
      <c r="Y28" s="3475"/>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530" t="s">
        <v>2386</v>
      </c>
      <c r="Q29" s="1536" t="str">
        <f t="shared" si="11"/>
        <v>建筑类型</v>
      </c>
      <c r="R29" s="714" t="s">
        <v>17</v>
      </c>
      <c r="S29" s="715">
        <f t="shared" si="12"/>
        <v>100</v>
      </c>
      <c r="T29" s="714" t="s">
        <v>17</v>
      </c>
      <c r="U29" s="715">
        <f t="shared" si="13"/>
        <v>100</v>
      </c>
      <c r="V29" s="714" t="s">
        <v>17</v>
      </c>
      <c r="W29" s="715">
        <f t="shared" si="14"/>
        <v>100</v>
      </c>
      <c r="X29" s="1539"/>
      <c r="Y29" s="3479"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9"/>
      <c r="Q30" s="716" t="str">
        <f t="shared" si="11"/>
        <v>项目建筑规模</v>
      </c>
      <c r="R30" s="717" t="s">
        <v>17</v>
      </c>
      <c r="S30" s="718" t="e">
        <f t="shared" si="12"/>
        <v>#N/A</v>
      </c>
      <c r="T30" s="717" t="s">
        <v>17</v>
      </c>
      <c r="U30" s="718" t="e">
        <f t="shared" si="13"/>
        <v>#N/A</v>
      </c>
      <c r="V30" s="717" t="s">
        <v>17</v>
      </c>
      <c r="W30" s="718" t="e">
        <f t="shared" si="14"/>
        <v>#N/A</v>
      </c>
      <c r="X30" s="719"/>
      <c r="Y30" s="3479"/>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9"/>
      <c r="Q31" s="1536" t="str">
        <f t="shared" si="11"/>
        <v>建筑结构</v>
      </c>
      <c r="R31" s="714" t="s">
        <v>17</v>
      </c>
      <c r="S31" s="715">
        <f t="shared" si="12"/>
        <v>100</v>
      </c>
      <c r="T31" s="714" t="s">
        <v>17</v>
      </c>
      <c r="U31" s="715">
        <f t="shared" si="13"/>
        <v>100</v>
      </c>
      <c r="V31" s="714" t="s">
        <v>17</v>
      </c>
      <c r="W31" s="715">
        <f t="shared" si="14"/>
        <v>100</v>
      </c>
      <c r="X31" s="1539"/>
      <c r="Y31" s="3479"/>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9"/>
      <c r="Q32" s="1536" t="str">
        <f t="shared" si="11"/>
        <v>公共部分装修</v>
      </c>
      <c r="R32" s="714" t="s">
        <v>17</v>
      </c>
      <c r="S32" s="715">
        <f t="shared" si="12"/>
        <v>100</v>
      </c>
      <c r="T32" s="714" t="s">
        <v>17</v>
      </c>
      <c r="U32" s="715">
        <f t="shared" si="13"/>
        <v>100</v>
      </c>
      <c r="V32" s="714" t="s">
        <v>17</v>
      </c>
      <c r="W32" s="715">
        <f t="shared" si="14"/>
        <v>100</v>
      </c>
      <c r="X32" s="1539"/>
      <c r="Y32" s="3479"/>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9"/>
      <c r="Q33" s="1536" t="str">
        <f t="shared" si="11"/>
        <v>成新度</v>
      </c>
      <c r="R33" s="714" t="s">
        <v>17</v>
      </c>
      <c r="S33" s="715" t="e">
        <f t="shared" si="12"/>
        <v>#N/A</v>
      </c>
      <c r="T33" s="714" t="s">
        <v>17</v>
      </c>
      <c r="U33" s="715" t="e">
        <f t="shared" si="13"/>
        <v>#N/A</v>
      </c>
      <c r="V33" s="714" t="s">
        <v>17</v>
      </c>
      <c r="W33" s="715" t="e">
        <f t="shared" si="14"/>
        <v>#N/A</v>
      </c>
      <c r="X33" s="1539"/>
      <c r="Y33" s="3479"/>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9"/>
      <c r="Q34" s="1527" t="str">
        <f t="shared" si="11"/>
        <v>物业管理</v>
      </c>
      <c r="R34" s="710" t="s">
        <v>17</v>
      </c>
      <c r="S34" s="711">
        <f t="shared" si="12"/>
        <v>100</v>
      </c>
      <c r="T34" s="710" t="s">
        <v>17</v>
      </c>
      <c r="U34" s="711">
        <f t="shared" si="13"/>
        <v>100</v>
      </c>
      <c r="V34" s="710" t="s">
        <v>17</v>
      </c>
      <c r="W34" s="711">
        <f t="shared" si="14"/>
        <v>100</v>
      </c>
      <c r="X34" s="712"/>
      <c r="Y34" s="3479"/>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9" t="s">
        <v>2386</v>
      </c>
      <c r="Q35" s="1536" t="str">
        <f t="shared" si="11"/>
        <v>市政基础设施</v>
      </c>
      <c r="R35" s="714" t="s">
        <v>17</v>
      </c>
      <c r="S35" s="715">
        <f t="shared" si="12"/>
        <v>100</v>
      </c>
      <c r="T35" s="714" t="s">
        <v>17</v>
      </c>
      <c r="U35" s="715">
        <f t="shared" si="13"/>
        <v>100</v>
      </c>
      <c r="V35" s="714" t="s">
        <v>17</v>
      </c>
      <c r="W35" s="715">
        <f t="shared" si="14"/>
        <v>100</v>
      </c>
      <c r="X35" s="1539"/>
      <c r="Y35" s="3479"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9"/>
      <c r="Q36" s="1536" t="str">
        <f t="shared" si="11"/>
        <v>内部装修</v>
      </c>
      <c r="R36" s="714" t="s">
        <v>17</v>
      </c>
      <c r="S36" s="715">
        <f t="shared" si="12"/>
        <v>100</v>
      </c>
      <c r="T36" s="714" t="s">
        <v>17</v>
      </c>
      <c r="U36" s="715">
        <f t="shared" si="13"/>
        <v>100</v>
      </c>
      <c r="V36" s="714" t="s">
        <v>17</v>
      </c>
      <c r="W36" s="715">
        <f t="shared" si="14"/>
        <v>100</v>
      </c>
      <c r="X36" s="1539"/>
      <c r="Y36" s="3479"/>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9"/>
      <c r="Q37" s="1536" t="str">
        <f t="shared" si="11"/>
        <v>内部装修状况</v>
      </c>
      <c r="R37" s="714" t="s">
        <v>17</v>
      </c>
      <c r="S37" s="715">
        <f t="shared" si="12"/>
        <v>100</v>
      </c>
      <c r="T37" s="714" t="s">
        <v>17</v>
      </c>
      <c r="U37" s="715">
        <f t="shared" si="13"/>
        <v>100</v>
      </c>
      <c r="V37" s="714" t="s">
        <v>17</v>
      </c>
      <c r="W37" s="715">
        <f t="shared" si="14"/>
        <v>100</v>
      </c>
      <c r="X37" s="1539"/>
      <c r="Y37" s="3479"/>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9"/>
      <c r="Q38" s="716">
        <f t="shared" si="11"/>
        <v>111</v>
      </c>
      <c r="R38" s="717" t="s">
        <v>17</v>
      </c>
      <c r="S38" s="718">
        <f t="shared" si="12"/>
        <v>100</v>
      </c>
      <c r="T38" s="717" t="s">
        <v>17</v>
      </c>
      <c r="U38" s="718">
        <f t="shared" si="13"/>
        <v>100</v>
      </c>
      <c r="V38" s="717" t="s">
        <v>17</v>
      </c>
      <c r="W38" s="718">
        <f t="shared" si="14"/>
        <v>100</v>
      </c>
      <c r="X38" s="719"/>
      <c r="Y38" s="3479"/>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9"/>
      <c r="Q39" s="1536">
        <f t="shared" si="11"/>
        <v>111</v>
      </c>
      <c r="R39" s="714" t="s">
        <v>17</v>
      </c>
      <c r="S39" s="715">
        <f t="shared" si="12"/>
        <v>100</v>
      </c>
      <c r="T39" s="714" t="s">
        <v>17</v>
      </c>
      <c r="U39" s="715">
        <f t="shared" si="13"/>
        <v>100</v>
      </c>
      <c r="V39" s="714" t="s">
        <v>17</v>
      </c>
      <c r="W39" s="715">
        <f t="shared" si="14"/>
        <v>100</v>
      </c>
      <c r="X39" s="1539"/>
      <c r="Y39" s="3479"/>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0"/>
      <c r="Q40" s="1536">
        <f t="shared" si="11"/>
        <v>111</v>
      </c>
      <c r="R40" s="714" t="s">
        <v>17</v>
      </c>
      <c r="S40" s="715">
        <f t="shared" si="12"/>
        <v>100</v>
      </c>
      <c r="T40" s="714" t="s">
        <v>17</v>
      </c>
      <c r="U40" s="715">
        <f t="shared" si="13"/>
        <v>100</v>
      </c>
      <c r="V40" s="714" t="s">
        <v>17</v>
      </c>
      <c r="W40" s="715">
        <f t="shared" si="14"/>
        <v>100</v>
      </c>
      <c r="X40" s="1539"/>
      <c r="Y40" s="3480"/>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472" t="str">
        <f>A41</f>
        <v>成交单价（元/平方米）</v>
      </c>
      <c r="Q41" s="3472"/>
      <c r="R41" s="3473">
        <f>E41</f>
        <v>0</v>
      </c>
      <c r="S41" s="3473"/>
      <c r="T41" s="3473">
        <f>G41</f>
        <v>0</v>
      </c>
      <c r="U41" s="3473"/>
      <c r="V41" s="3473">
        <f>I41</f>
        <v>0</v>
      </c>
      <c r="W41" s="3473"/>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2021-8</v>
      </c>
      <c r="D52" s="1347">
        <f>EDATE(C52,-1)</f>
        <v>44378</v>
      </c>
      <c r="E52" s="1347">
        <f t="shared" ref="E52:O52" si="16">EDATE(D52,-1)</f>
        <v>44348</v>
      </c>
      <c r="F52" s="1347">
        <f t="shared" si="16"/>
        <v>44317</v>
      </c>
      <c r="G52" s="1347">
        <f t="shared" si="16"/>
        <v>44287</v>
      </c>
      <c r="H52" s="1347">
        <f t="shared" si="16"/>
        <v>44256</v>
      </c>
      <c r="I52" s="1347">
        <f t="shared" si="16"/>
        <v>44228</v>
      </c>
      <c r="J52" s="1347">
        <f t="shared" si="16"/>
        <v>44197</v>
      </c>
      <c r="K52" s="1347">
        <f t="shared" si="16"/>
        <v>44166</v>
      </c>
      <c r="L52" s="1347">
        <f t="shared" si="16"/>
        <v>44136</v>
      </c>
      <c r="M52" s="1347">
        <f t="shared" si="16"/>
        <v>44105</v>
      </c>
      <c r="N52" s="1347">
        <f t="shared" si="16"/>
        <v>44075</v>
      </c>
      <c r="O52" s="1347">
        <f t="shared" si="16"/>
        <v>44044</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受贵公司委托，我公司对房地产抵押价值进行了预评估。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估价对象为房地产，为所有。根据《国有土地使用证》[]，估价对象（分摊）出让国有建设用地使用权面积为47741.4平方米，建筑面积为140992.71平方米。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估价对象为房地产,属开发建设的商业项目，该项目尚在开发建设中。根据《国有土地使用证》[]，估价对象（分摊）出让国有建设用地使用权面积为47741.4平方米，规划建筑面积为140992.71平方米。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2021年8月3日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487" t="s">
        <v>2467</v>
      </c>
      <c r="D4" s="3488"/>
      <c r="E4" s="3489" t="s">
        <v>2468</v>
      </c>
      <c r="F4" s="3490"/>
      <c r="G4" s="3487" t="s">
        <v>2469</v>
      </c>
      <c r="H4" s="3488"/>
      <c r="I4" s="3487" t="s">
        <v>2470</v>
      </c>
      <c r="J4" s="3488"/>
      <c r="K4" s="567" t="s">
        <v>2471</v>
      </c>
      <c r="L4" s="2944"/>
      <c r="M4" s="2945"/>
      <c r="N4" s="2945"/>
      <c r="O4" s="2945"/>
      <c r="P4" s="3491" t="s">
        <v>2472</v>
      </c>
      <c r="Q4" s="3492"/>
      <c r="R4" s="3497" t="s">
        <v>2468</v>
      </c>
      <c r="S4" s="3498"/>
      <c r="T4" s="3497" t="s">
        <v>2469</v>
      </c>
      <c r="U4" s="3498"/>
      <c r="V4" s="3503" t="s">
        <v>2470</v>
      </c>
      <c r="W4" s="3503"/>
      <c r="X4" s="1539"/>
      <c r="Y4" s="3497" t="s">
        <v>2472</v>
      </c>
      <c r="Z4" s="3498"/>
      <c r="AA4" s="3484" t="s">
        <v>2468</v>
      </c>
      <c r="AB4" s="3485" t="s">
        <v>2469</v>
      </c>
      <c r="AC4" s="3484" t="s">
        <v>2470</v>
      </c>
    </row>
    <row r="5" spans="1:29" ht="15">
      <c r="A5" s="364"/>
      <c r="B5" s="365"/>
      <c r="C5" s="3506" t="s">
        <v>2363</v>
      </c>
      <c r="D5" s="3507"/>
      <c r="E5" s="3513" t="s">
        <v>2364</v>
      </c>
      <c r="F5" s="3514"/>
      <c r="G5" s="3506" t="s">
        <v>2365</v>
      </c>
      <c r="H5" s="3507"/>
      <c r="I5" s="3506" t="s">
        <v>2366</v>
      </c>
      <c r="J5" s="3507"/>
      <c r="K5" s="567"/>
      <c r="L5" s="2944"/>
      <c r="M5" s="2945"/>
      <c r="N5" s="2945"/>
      <c r="O5" s="2945"/>
      <c r="P5" s="3493"/>
      <c r="Q5" s="3494"/>
      <c r="R5" s="3499"/>
      <c r="S5" s="3500"/>
      <c r="T5" s="3499"/>
      <c r="U5" s="3500"/>
      <c r="V5" s="3503"/>
      <c r="W5" s="3503"/>
      <c r="X5" s="1539"/>
      <c r="Y5" s="3499"/>
      <c r="Z5" s="3500"/>
      <c r="AA5" s="3485"/>
      <c r="AB5" s="3485"/>
      <c r="AC5" s="3485"/>
    </row>
    <row r="6" spans="1:29" ht="15.75" thickBot="1">
      <c r="A6" s="366"/>
      <c r="B6" s="367"/>
      <c r="C6" s="3504" t="s">
        <v>2367</v>
      </c>
      <c r="D6" s="3505"/>
      <c r="E6" s="3511" t="s">
        <v>2367</v>
      </c>
      <c r="F6" s="3512"/>
      <c r="G6" s="3504" t="s">
        <v>2367</v>
      </c>
      <c r="H6" s="3505"/>
      <c r="I6" s="3504" t="s">
        <v>2367</v>
      </c>
      <c r="J6" s="3505"/>
      <c r="K6" s="567" t="s">
        <v>2368</v>
      </c>
      <c r="L6" s="2944"/>
      <c r="M6" s="2945"/>
      <c r="N6" s="2945"/>
      <c r="O6" s="2945"/>
      <c r="P6" s="3495"/>
      <c r="Q6" s="3496"/>
      <c r="R6" s="3499"/>
      <c r="S6" s="3500"/>
      <c r="T6" s="3501"/>
      <c r="U6" s="3502"/>
      <c r="V6" s="3503"/>
      <c r="W6" s="3503"/>
      <c r="X6" s="1539"/>
      <c r="Y6" s="3501"/>
      <c r="Z6" s="3502"/>
      <c r="AA6" s="3486"/>
      <c r="AB6" s="3486"/>
      <c r="AC6" s="3486"/>
    </row>
    <row r="7" spans="1:29" s="113" customFormat="1" ht="15.75" thickBot="1">
      <c r="A7" s="368" t="s">
        <v>2369</v>
      </c>
      <c r="B7" s="369"/>
      <c r="C7" s="370">
        <f>'数据-取费表'!B2</f>
        <v>44411</v>
      </c>
      <c r="D7" s="371">
        <v>100</v>
      </c>
      <c r="E7" s="372"/>
      <c r="F7" s="373">
        <f>SUMIF(48:48,YEAR(E7)&amp;"-"&amp;MONTH(E7),49:49)</f>
        <v>0</v>
      </c>
      <c r="G7" s="372"/>
      <c r="H7" s="371">
        <f>SUMIF(48:48,YEAR(G7)&amp;"-"&amp;MONTH(G7),49:49)</f>
        <v>0</v>
      </c>
      <c r="I7" s="372"/>
      <c r="J7" s="371">
        <f>SUMIF(48:48,YEAR(I7)&amp;"-"&amp;MONTH(I7),49:49)</f>
        <v>0</v>
      </c>
      <c r="K7" s="568"/>
      <c r="L7" s="2946"/>
      <c r="M7" s="2947"/>
      <c r="N7" s="2947"/>
      <c r="O7" s="2947"/>
      <c r="P7" s="3508" t="s">
        <v>2370</v>
      </c>
      <c r="Q7" s="3510"/>
      <c r="R7" s="710" t="s">
        <v>17</v>
      </c>
      <c r="S7" s="711">
        <f t="shared" ref="S7:S14" si="0">F7</f>
        <v>0</v>
      </c>
      <c r="T7" s="710" t="s">
        <v>17</v>
      </c>
      <c r="U7" s="711">
        <f t="shared" ref="U7:U14" si="1">H7</f>
        <v>0</v>
      </c>
      <c r="V7" s="710" t="s">
        <v>17</v>
      </c>
      <c r="W7" s="711">
        <f t="shared" ref="W7:W14" si="2">J7</f>
        <v>0</v>
      </c>
      <c r="X7" s="712"/>
      <c r="Y7" s="3508" t="s">
        <v>2370</v>
      </c>
      <c r="Z7" s="350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508" t="s">
        <v>2373</v>
      </c>
      <c r="Q8" s="3509"/>
      <c r="R8" s="710" t="s">
        <v>17</v>
      </c>
      <c r="S8" s="711">
        <f t="shared" si="0"/>
        <v>0</v>
      </c>
      <c r="T8" s="710" t="s">
        <v>17</v>
      </c>
      <c r="U8" s="711">
        <f t="shared" si="1"/>
        <v>0</v>
      </c>
      <c r="V8" s="710" t="s">
        <v>17</v>
      </c>
      <c r="W8" s="711">
        <f t="shared" si="2"/>
        <v>0</v>
      </c>
      <c r="X8" s="712"/>
      <c r="Y8" s="3508" t="s">
        <v>2373</v>
      </c>
      <c r="Z8" s="350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472" t="s">
        <v>2376</v>
      </c>
      <c r="Q9" s="1527" t="str">
        <f t="shared" ref="Q9:Q14" si="6">B9</f>
        <v>用途</v>
      </c>
      <c r="R9" s="710" t="s">
        <v>17</v>
      </c>
      <c r="S9" s="711">
        <f t="shared" si="0"/>
        <v>100</v>
      </c>
      <c r="T9" s="710" t="s">
        <v>17</v>
      </c>
      <c r="U9" s="711">
        <f t="shared" si="1"/>
        <v>100</v>
      </c>
      <c r="V9" s="710" t="s">
        <v>17</v>
      </c>
      <c r="W9" s="711">
        <f t="shared" si="2"/>
        <v>100</v>
      </c>
      <c r="X9" s="712"/>
      <c r="Y9" s="3342"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472"/>
      <c r="Q10" s="1527"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472"/>
      <c r="Q11" s="1527">
        <f t="shared" si="6"/>
        <v>111</v>
      </c>
      <c r="R11" s="710" t="s">
        <v>17</v>
      </c>
      <c r="S11" s="711">
        <f t="shared" si="0"/>
        <v>100</v>
      </c>
      <c r="T11" s="710" t="s">
        <v>17</v>
      </c>
      <c r="U11" s="711">
        <f t="shared" si="1"/>
        <v>100</v>
      </c>
      <c r="V11" s="710" t="s">
        <v>17</v>
      </c>
      <c r="W11" s="711">
        <f t="shared" si="2"/>
        <v>100</v>
      </c>
      <c r="X11" s="712"/>
      <c r="Y11" s="334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472"/>
      <c r="Q12" s="1527">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472"/>
      <c r="Q13" s="1527">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474" t="s">
        <v>2381</v>
      </c>
      <c r="Q14" s="1536" t="str">
        <f t="shared" si="6"/>
        <v>交通便捷度</v>
      </c>
      <c r="R14" s="714" t="s">
        <v>17</v>
      </c>
      <c r="S14" s="715">
        <f t="shared" si="0"/>
        <v>100</v>
      </c>
      <c r="T14" s="714" t="s">
        <v>17</v>
      </c>
      <c r="U14" s="715">
        <f t="shared" si="1"/>
        <v>100</v>
      </c>
      <c r="V14" s="714" t="s">
        <v>17</v>
      </c>
      <c r="W14" s="715">
        <f t="shared" si="2"/>
        <v>100</v>
      </c>
      <c r="X14" s="1539"/>
      <c r="Y14" s="3474"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475"/>
      <c r="Q15" s="1536"/>
      <c r="R15" s="714"/>
      <c r="S15" s="715"/>
      <c r="T15" s="714"/>
      <c r="U15" s="715"/>
      <c r="V15" s="714"/>
      <c r="W15" s="715"/>
      <c r="X15" s="1539"/>
      <c r="Y15" s="3475"/>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475"/>
      <c r="Q16" s="1536" t="str">
        <f>B16</f>
        <v>公共配套设施</v>
      </c>
      <c r="R16" s="714" t="s">
        <v>17</v>
      </c>
      <c r="S16" s="715">
        <f>F16</f>
        <v>100</v>
      </c>
      <c r="T16" s="714" t="s">
        <v>17</v>
      </c>
      <c r="U16" s="715">
        <f>H16</f>
        <v>100</v>
      </c>
      <c r="V16" s="714" t="s">
        <v>17</v>
      </c>
      <c r="W16" s="715">
        <f>J16</f>
        <v>100</v>
      </c>
      <c r="X16" s="1539"/>
      <c r="Y16" s="3475"/>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475"/>
      <c r="Q17" s="1536"/>
      <c r="R17" s="714"/>
      <c r="S17" s="715"/>
      <c r="T17" s="714"/>
      <c r="U17" s="715"/>
      <c r="V17" s="714"/>
      <c r="W17" s="715"/>
      <c r="X17" s="1539"/>
      <c r="Y17" s="3475"/>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475"/>
      <c r="Q18" s="1536" t="str">
        <f>B18</f>
        <v>基础设施水平</v>
      </c>
      <c r="R18" s="714" t="s">
        <v>17</v>
      </c>
      <c r="S18" s="715">
        <f>F18</f>
        <v>100</v>
      </c>
      <c r="T18" s="714" t="s">
        <v>17</v>
      </c>
      <c r="U18" s="715">
        <f>H18</f>
        <v>100</v>
      </c>
      <c r="V18" s="714" t="s">
        <v>17</v>
      </c>
      <c r="W18" s="715">
        <f>J18</f>
        <v>100</v>
      </c>
      <c r="X18" s="1539"/>
      <c r="Y18" s="3475"/>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475"/>
      <c r="Q19" s="1536"/>
      <c r="R19" s="714"/>
      <c r="S19" s="715"/>
      <c r="T19" s="714"/>
      <c r="U19" s="715"/>
      <c r="V19" s="714"/>
      <c r="W19" s="715"/>
      <c r="X19" s="1539"/>
      <c r="Y19" s="3475"/>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475"/>
      <c r="Q20" s="1536" t="str">
        <f>B20</f>
        <v>自然及人文环境</v>
      </c>
      <c r="R20" s="714" t="s">
        <v>17</v>
      </c>
      <c r="S20" s="715">
        <f>F20</f>
        <v>100</v>
      </c>
      <c r="T20" s="714" t="s">
        <v>17</v>
      </c>
      <c r="U20" s="715">
        <f>H20</f>
        <v>100</v>
      </c>
      <c r="V20" s="714" t="s">
        <v>17</v>
      </c>
      <c r="W20" s="715">
        <f>J20</f>
        <v>100</v>
      </c>
      <c r="X20" s="1539"/>
      <c r="Y20" s="3475"/>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475"/>
      <c r="Q21" s="1536"/>
      <c r="R21" s="714"/>
      <c r="S21" s="715"/>
      <c r="T21" s="714"/>
      <c r="U21" s="715"/>
      <c r="V21" s="714"/>
      <c r="W21" s="715"/>
      <c r="X21" s="1539"/>
      <c r="Y21" s="3475"/>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475"/>
      <c r="Q22" s="1536" t="str">
        <f>B22</f>
        <v>楼层</v>
      </c>
      <c r="R22" s="714" t="s">
        <v>17</v>
      </c>
      <c r="S22" s="715">
        <f>F22</f>
        <v>100</v>
      </c>
      <c r="T22" s="714" t="s">
        <v>17</v>
      </c>
      <c r="U22" s="715">
        <f>H22</f>
        <v>100</v>
      </c>
      <c r="V22" s="714" t="s">
        <v>17</v>
      </c>
      <c r="W22" s="715">
        <f>J22</f>
        <v>100</v>
      </c>
      <c r="X22" s="1539"/>
      <c r="Y22" s="3475"/>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475"/>
      <c r="Q23" s="1536">
        <f>B23</f>
        <v>111</v>
      </c>
      <c r="R23" s="714" t="s">
        <v>17</v>
      </c>
      <c r="S23" s="715">
        <f>F23</f>
        <v>100</v>
      </c>
      <c r="T23" s="714" t="s">
        <v>17</v>
      </c>
      <c r="U23" s="715">
        <f>H23</f>
        <v>100</v>
      </c>
      <c r="V23" s="714" t="s">
        <v>17</v>
      </c>
      <c r="W23" s="715">
        <f>J23</f>
        <v>100</v>
      </c>
      <c r="X23" s="1539"/>
      <c r="Y23" s="3475"/>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475"/>
      <c r="Q24" s="1536">
        <f t="shared" ref="Q24:Q36" si="11">B24</f>
        <v>111</v>
      </c>
      <c r="R24" s="714" t="s">
        <v>17</v>
      </c>
      <c r="S24" s="715">
        <f>F24</f>
        <v>100</v>
      </c>
      <c r="T24" s="714" t="s">
        <v>17</v>
      </c>
      <c r="U24" s="715">
        <f>H24</f>
        <v>100</v>
      </c>
      <c r="V24" s="714" t="s">
        <v>17</v>
      </c>
      <c r="W24" s="715">
        <f>J24</f>
        <v>100</v>
      </c>
      <c r="X24" s="1539"/>
      <c r="Y24" s="3475"/>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475"/>
      <c r="Q25" s="1527">
        <f t="shared" si="11"/>
        <v>111</v>
      </c>
      <c r="R25" s="710" t="s">
        <v>17</v>
      </c>
      <c r="S25" s="711">
        <f>F25</f>
        <v>100</v>
      </c>
      <c r="T25" s="710" t="s">
        <v>17</v>
      </c>
      <c r="U25" s="711">
        <f>H25</f>
        <v>100</v>
      </c>
      <c r="V25" s="710" t="s">
        <v>17</v>
      </c>
      <c r="W25" s="711">
        <f>J25</f>
        <v>100</v>
      </c>
      <c r="X25" s="712"/>
      <c r="Y25" s="3475"/>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530"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79"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479"/>
      <c r="Q27" s="716" t="str">
        <f t="shared" si="11"/>
        <v>项目停车位配比</v>
      </c>
      <c r="R27" s="717" t="s">
        <v>17</v>
      </c>
      <c r="S27" s="718">
        <f t="shared" si="12"/>
        <v>100</v>
      </c>
      <c r="T27" s="717" t="s">
        <v>17</v>
      </c>
      <c r="U27" s="718">
        <f t="shared" si="13"/>
        <v>100</v>
      </c>
      <c r="V27" s="717" t="s">
        <v>17</v>
      </c>
      <c r="W27" s="718">
        <f t="shared" si="14"/>
        <v>100</v>
      </c>
      <c r="X27" s="719"/>
      <c r="Y27" s="3479"/>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479"/>
      <c r="Q28" s="1536" t="str">
        <f t="shared" si="11"/>
        <v>公共部分装修</v>
      </c>
      <c r="R28" s="714" t="s">
        <v>17</v>
      </c>
      <c r="S28" s="715">
        <f t="shared" si="12"/>
        <v>100</v>
      </c>
      <c r="T28" s="714" t="s">
        <v>17</v>
      </c>
      <c r="U28" s="715">
        <f t="shared" si="13"/>
        <v>100</v>
      </c>
      <c r="V28" s="714" t="s">
        <v>17</v>
      </c>
      <c r="W28" s="715">
        <f t="shared" si="14"/>
        <v>100</v>
      </c>
      <c r="X28" s="1539"/>
      <c r="Y28" s="3479"/>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479"/>
      <c r="Q29" s="1536" t="str">
        <f t="shared" si="11"/>
        <v>成新率</v>
      </c>
      <c r="R29" s="714" t="s">
        <v>17</v>
      </c>
      <c r="S29" s="715" t="e">
        <f t="shared" si="12"/>
        <v>#N/A</v>
      </c>
      <c r="T29" s="714" t="s">
        <v>17</v>
      </c>
      <c r="U29" s="715" t="e">
        <f t="shared" si="13"/>
        <v>#N/A</v>
      </c>
      <c r="V29" s="714" t="s">
        <v>17</v>
      </c>
      <c r="W29" s="715" t="e">
        <f t="shared" si="14"/>
        <v>#N/A</v>
      </c>
      <c r="X29" s="1539"/>
      <c r="Y29" s="3479"/>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479"/>
      <c r="Q30" s="1536" t="str">
        <f t="shared" si="11"/>
        <v>物业等级</v>
      </c>
      <c r="R30" s="714" t="s">
        <v>17</v>
      </c>
      <c r="S30" s="715">
        <f t="shared" si="12"/>
        <v>100</v>
      </c>
      <c r="T30" s="714" t="s">
        <v>17</v>
      </c>
      <c r="U30" s="715">
        <f t="shared" si="13"/>
        <v>100</v>
      </c>
      <c r="V30" s="714" t="s">
        <v>17</v>
      </c>
      <c r="W30" s="715">
        <f t="shared" si="14"/>
        <v>100</v>
      </c>
      <c r="X30" s="1539"/>
      <c r="Y30" s="3479"/>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479"/>
      <c r="Q31" s="1527" t="str">
        <f t="shared" si="11"/>
        <v>停车位面积</v>
      </c>
      <c r="R31" s="710" t="s">
        <v>17</v>
      </c>
      <c r="S31" s="711" t="e">
        <f t="shared" si="12"/>
        <v>#N/A</v>
      </c>
      <c r="T31" s="710" t="s">
        <v>17</v>
      </c>
      <c r="U31" s="711" t="e">
        <f t="shared" si="13"/>
        <v>#N/A</v>
      </c>
      <c r="V31" s="710" t="s">
        <v>17</v>
      </c>
      <c r="W31" s="711" t="e">
        <f t="shared" si="14"/>
        <v>#N/A</v>
      </c>
      <c r="X31" s="712"/>
      <c r="Y31" s="3479"/>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479" t="s">
        <v>2386</v>
      </c>
      <c r="Q32" s="1536" t="str">
        <f t="shared" si="11"/>
        <v>车位类型</v>
      </c>
      <c r="R32" s="714" t="s">
        <v>17</v>
      </c>
      <c r="S32" s="715">
        <f t="shared" si="12"/>
        <v>100</v>
      </c>
      <c r="T32" s="714" t="s">
        <v>17</v>
      </c>
      <c r="U32" s="715">
        <f t="shared" si="13"/>
        <v>100</v>
      </c>
      <c r="V32" s="714" t="s">
        <v>17</v>
      </c>
      <c r="W32" s="715">
        <f t="shared" si="14"/>
        <v>100</v>
      </c>
      <c r="X32" s="1539"/>
      <c r="Y32" s="3479"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479"/>
      <c r="Q33" s="1536" t="str">
        <f t="shared" si="11"/>
        <v>是否直接入户</v>
      </c>
      <c r="R33" s="714" t="s">
        <v>17</v>
      </c>
      <c r="S33" s="715">
        <f t="shared" si="12"/>
        <v>100</v>
      </c>
      <c r="T33" s="714" t="s">
        <v>17</v>
      </c>
      <c r="U33" s="715">
        <f t="shared" si="13"/>
        <v>100</v>
      </c>
      <c r="V33" s="714" t="s">
        <v>17</v>
      </c>
      <c r="W33" s="715">
        <f t="shared" si="14"/>
        <v>100</v>
      </c>
      <c r="X33" s="1539"/>
      <c r="Y33" s="3479"/>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479"/>
      <c r="Q34" s="1536">
        <f t="shared" si="11"/>
        <v>111</v>
      </c>
      <c r="R34" s="714" t="s">
        <v>17</v>
      </c>
      <c r="S34" s="715">
        <f t="shared" si="12"/>
        <v>100</v>
      </c>
      <c r="T34" s="714" t="s">
        <v>17</v>
      </c>
      <c r="U34" s="715">
        <f t="shared" si="13"/>
        <v>100</v>
      </c>
      <c r="V34" s="714" t="s">
        <v>17</v>
      </c>
      <c r="W34" s="715">
        <f t="shared" si="14"/>
        <v>100</v>
      </c>
      <c r="X34" s="1539"/>
      <c r="Y34" s="3479"/>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479"/>
      <c r="Q35" s="716">
        <f t="shared" si="11"/>
        <v>111</v>
      </c>
      <c r="R35" s="717" t="s">
        <v>17</v>
      </c>
      <c r="S35" s="718">
        <f t="shared" si="12"/>
        <v>100</v>
      </c>
      <c r="T35" s="717" t="s">
        <v>17</v>
      </c>
      <c r="U35" s="718">
        <f t="shared" si="13"/>
        <v>100</v>
      </c>
      <c r="V35" s="717" t="s">
        <v>17</v>
      </c>
      <c r="W35" s="718">
        <f t="shared" si="14"/>
        <v>100</v>
      </c>
      <c r="X35" s="719"/>
      <c r="Y35" s="3479"/>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479"/>
      <c r="Q36" s="1536">
        <f t="shared" si="11"/>
        <v>111</v>
      </c>
      <c r="R36" s="714" t="s">
        <v>17</v>
      </c>
      <c r="S36" s="715">
        <f t="shared" si="12"/>
        <v>100</v>
      </c>
      <c r="T36" s="714" t="s">
        <v>17</v>
      </c>
      <c r="U36" s="715">
        <f t="shared" si="13"/>
        <v>100</v>
      </c>
      <c r="V36" s="714" t="s">
        <v>17</v>
      </c>
      <c r="W36" s="715">
        <f t="shared" si="14"/>
        <v>100</v>
      </c>
      <c r="X36" s="1539"/>
      <c r="Y36" s="3479"/>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472" t="str">
        <f>A37</f>
        <v>成交单价</v>
      </c>
      <c r="Q37" s="3472"/>
      <c r="R37" s="3473">
        <f>E37</f>
        <v>0</v>
      </c>
      <c r="S37" s="3473"/>
      <c r="T37" s="3473">
        <f>G37</f>
        <v>0</v>
      </c>
      <c r="U37" s="3473"/>
      <c r="V37" s="3473">
        <f>I37</f>
        <v>0</v>
      </c>
      <c r="W37" s="3473"/>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472" t="str">
        <f>A38</f>
        <v>比较价值（元/平方米）</v>
      </c>
      <c r="Q38" s="34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469" t="str">
        <f>A39</f>
        <v>估价对象XX用房的比较价值（楼面单价，元/平方米）</v>
      </c>
      <c r="Q39" s="3470"/>
      <c r="R39" s="3531" t="e">
        <f>IF(F1="售价",ROUND(IF(D38="简单平均",AVERAGE(R38:W38),R38*F38+T38*H38+V38*J38),0),ROUND(IF(D38="简单平均",AVERAGE(R38:V38),R38*F38+T38*H38+V38*J38),1))</f>
        <v>#DIV/0!</v>
      </c>
      <c r="S39" s="3531"/>
      <c r="T39" s="3531"/>
      <c r="U39" s="3531"/>
      <c r="V39" s="3531"/>
      <c r="W39" s="353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2021-8</v>
      </c>
      <c r="D48" s="1347">
        <f>EDATE(C48,-1)</f>
        <v>44378</v>
      </c>
      <c r="E48" s="1347">
        <f t="shared" ref="E48:O48" si="16">EDATE(D48,-1)</f>
        <v>44348</v>
      </c>
      <c r="F48" s="1347">
        <f t="shared" si="16"/>
        <v>44317</v>
      </c>
      <c r="G48" s="1347">
        <f t="shared" si="16"/>
        <v>44287</v>
      </c>
      <c r="H48" s="1347">
        <f t="shared" si="16"/>
        <v>44256</v>
      </c>
      <c r="I48" s="1347">
        <f t="shared" si="16"/>
        <v>44228</v>
      </c>
      <c r="J48" s="1347">
        <f t="shared" si="16"/>
        <v>44197</v>
      </c>
      <c r="K48" s="1347">
        <f t="shared" si="16"/>
        <v>44166</v>
      </c>
      <c r="L48" s="1347">
        <f t="shared" si="16"/>
        <v>44136</v>
      </c>
      <c r="M48" s="1347">
        <f t="shared" si="16"/>
        <v>44105</v>
      </c>
      <c r="N48" s="1347">
        <f t="shared" si="16"/>
        <v>44075</v>
      </c>
      <c r="O48" s="1347">
        <f t="shared" si="16"/>
        <v>44044</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87" t="s">
        <v>2467</v>
      </c>
      <c r="D4" s="3488"/>
      <c r="E4" s="3489" t="s">
        <v>2468</v>
      </c>
      <c r="F4" s="3490"/>
      <c r="G4" s="3487" t="s">
        <v>2469</v>
      </c>
      <c r="H4" s="3488"/>
      <c r="I4" s="3487" t="s">
        <v>2470</v>
      </c>
      <c r="J4" s="3488"/>
      <c r="K4" s="567" t="s">
        <v>2471</v>
      </c>
      <c r="L4" s="2944"/>
      <c r="M4" s="2945"/>
      <c r="N4" s="2945"/>
      <c r="O4" s="2945"/>
      <c r="P4" s="3491" t="s">
        <v>2472</v>
      </c>
      <c r="Q4" s="3492"/>
      <c r="R4" s="3497" t="s">
        <v>2468</v>
      </c>
      <c r="S4" s="3498"/>
      <c r="T4" s="3497" t="s">
        <v>2469</v>
      </c>
      <c r="U4" s="3498"/>
      <c r="V4" s="3503" t="s">
        <v>2470</v>
      </c>
      <c r="W4" s="3503"/>
      <c r="X4" s="1539"/>
      <c r="Y4" s="3497" t="s">
        <v>2472</v>
      </c>
      <c r="Z4" s="3498"/>
      <c r="AA4" s="3484" t="s">
        <v>2468</v>
      </c>
      <c r="AB4" s="3485" t="s">
        <v>2469</v>
      </c>
      <c r="AC4" s="3484" t="s">
        <v>2470</v>
      </c>
    </row>
    <row r="5" spans="1:29" ht="15">
      <c r="A5" s="364"/>
      <c r="B5" s="365"/>
      <c r="C5" s="3506" t="s">
        <v>2363</v>
      </c>
      <c r="D5" s="3507"/>
      <c r="E5" s="3513" t="s">
        <v>2364</v>
      </c>
      <c r="F5" s="3514"/>
      <c r="G5" s="3506" t="s">
        <v>2365</v>
      </c>
      <c r="H5" s="3507"/>
      <c r="I5" s="3506" t="s">
        <v>2366</v>
      </c>
      <c r="J5" s="3507"/>
      <c r="K5" s="567"/>
      <c r="L5" s="2944"/>
      <c r="M5" s="2945"/>
      <c r="N5" s="2945"/>
      <c r="O5" s="2945"/>
      <c r="P5" s="3493"/>
      <c r="Q5" s="3494"/>
      <c r="R5" s="3499"/>
      <c r="S5" s="3500"/>
      <c r="T5" s="3499"/>
      <c r="U5" s="3500"/>
      <c r="V5" s="3503"/>
      <c r="W5" s="3503"/>
      <c r="X5" s="1539"/>
      <c r="Y5" s="3499"/>
      <c r="Z5" s="3500"/>
      <c r="AA5" s="3485"/>
      <c r="AB5" s="3485"/>
      <c r="AC5" s="3485"/>
    </row>
    <row r="6" spans="1:29" ht="15.75" thickBot="1">
      <c r="A6" s="366"/>
      <c r="B6" s="367"/>
      <c r="C6" s="3504" t="s">
        <v>2367</v>
      </c>
      <c r="D6" s="3505"/>
      <c r="E6" s="3511" t="s">
        <v>2367</v>
      </c>
      <c r="F6" s="3512"/>
      <c r="G6" s="3504" t="s">
        <v>2367</v>
      </c>
      <c r="H6" s="3505"/>
      <c r="I6" s="3504" t="s">
        <v>2367</v>
      </c>
      <c r="J6" s="3505"/>
      <c r="K6" s="567" t="s">
        <v>2368</v>
      </c>
      <c r="L6" s="2944"/>
      <c r="M6" s="2945"/>
      <c r="N6" s="2945"/>
      <c r="O6" s="2945"/>
      <c r="P6" s="3495"/>
      <c r="Q6" s="3496"/>
      <c r="R6" s="3499"/>
      <c r="S6" s="3500"/>
      <c r="T6" s="3501"/>
      <c r="U6" s="3502"/>
      <c r="V6" s="3503"/>
      <c r="W6" s="3503"/>
      <c r="X6" s="1539"/>
      <c r="Y6" s="3501"/>
      <c r="Z6" s="3502"/>
      <c r="AA6" s="3486"/>
      <c r="AB6" s="3486"/>
      <c r="AC6" s="3486"/>
    </row>
    <row r="7" spans="1:29" s="113" customFormat="1" ht="15.75" thickBot="1">
      <c r="A7" s="368" t="s">
        <v>2369</v>
      </c>
      <c r="B7" s="369"/>
      <c r="C7" s="370">
        <f>'数据-取费表'!B2</f>
        <v>44411</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508" t="s">
        <v>2370</v>
      </c>
      <c r="Q7" s="3510"/>
      <c r="R7" s="710" t="s">
        <v>17</v>
      </c>
      <c r="S7" s="711">
        <f t="shared" ref="S7:S14" si="0">F7</f>
        <v>0</v>
      </c>
      <c r="T7" s="710" t="s">
        <v>17</v>
      </c>
      <c r="U7" s="711">
        <f t="shared" ref="U7:U14" si="1">H7</f>
        <v>0</v>
      </c>
      <c r="V7" s="710" t="s">
        <v>17</v>
      </c>
      <c r="W7" s="711">
        <f t="shared" ref="W7:W14" si="2">J7</f>
        <v>0</v>
      </c>
      <c r="X7" s="712"/>
      <c r="Y7" s="3508" t="s">
        <v>2370</v>
      </c>
      <c r="Z7" s="350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508" t="s">
        <v>2373</v>
      </c>
      <c r="Q8" s="3509"/>
      <c r="R8" s="710" t="s">
        <v>17</v>
      </c>
      <c r="S8" s="711">
        <f t="shared" si="0"/>
        <v>0</v>
      </c>
      <c r="T8" s="710" t="s">
        <v>17</v>
      </c>
      <c r="U8" s="711">
        <f t="shared" si="1"/>
        <v>0</v>
      </c>
      <c r="V8" s="710" t="s">
        <v>17</v>
      </c>
      <c r="W8" s="711">
        <f t="shared" si="2"/>
        <v>0</v>
      </c>
      <c r="X8" s="712"/>
      <c r="Y8" s="3508" t="s">
        <v>2373</v>
      </c>
      <c r="Z8" s="350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472" t="s">
        <v>2376</v>
      </c>
      <c r="Q9" s="1527" t="str">
        <f t="shared" ref="Q9:Q14" si="6">B9</f>
        <v>用途</v>
      </c>
      <c r="R9" s="710" t="s">
        <v>17</v>
      </c>
      <c r="S9" s="711">
        <f t="shared" si="0"/>
        <v>100</v>
      </c>
      <c r="T9" s="710" t="s">
        <v>17</v>
      </c>
      <c r="U9" s="711">
        <f t="shared" si="1"/>
        <v>100</v>
      </c>
      <c r="V9" s="710" t="s">
        <v>17</v>
      </c>
      <c r="W9" s="711">
        <f t="shared" si="2"/>
        <v>100</v>
      </c>
      <c r="X9" s="712"/>
      <c r="Y9" s="3342"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472"/>
      <c r="Q10" s="1527" t="str">
        <f t="shared" si="6"/>
        <v>土地使用年限（年）</v>
      </c>
      <c r="R10" s="710" t="s">
        <v>17</v>
      </c>
      <c r="S10" s="711">
        <f t="shared" si="0"/>
        <v>100</v>
      </c>
      <c r="T10" s="710" t="s">
        <v>17</v>
      </c>
      <c r="U10" s="711">
        <f t="shared" si="1"/>
        <v>100</v>
      </c>
      <c r="V10" s="710" t="s">
        <v>17</v>
      </c>
      <c r="W10" s="711">
        <f t="shared" si="2"/>
        <v>100</v>
      </c>
      <c r="X10" s="712"/>
      <c r="Y10" s="334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472"/>
      <c r="Q11" s="1527">
        <f t="shared" si="6"/>
        <v>111</v>
      </c>
      <c r="R11" s="710" t="s">
        <v>17</v>
      </c>
      <c r="S11" s="711">
        <f t="shared" si="0"/>
        <v>100</v>
      </c>
      <c r="T11" s="710" t="s">
        <v>17</v>
      </c>
      <c r="U11" s="711">
        <f t="shared" si="1"/>
        <v>100</v>
      </c>
      <c r="V11" s="710" t="s">
        <v>17</v>
      </c>
      <c r="W11" s="711">
        <f t="shared" si="2"/>
        <v>100</v>
      </c>
      <c r="X11" s="712"/>
      <c r="Y11" s="334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472"/>
      <c r="Q12" s="1527">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472"/>
      <c r="Q13" s="1527">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474" t="s">
        <v>2381</v>
      </c>
      <c r="Q14" s="1536" t="str">
        <f t="shared" si="6"/>
        <v>交通便捷度</v>
      </c>
      <c r="R14" s="714" t="s">
        <v>17</v>
      </c>
      <c r="S14" s="715">
        <f t="shared" si="0"/>
        <v>100</v>
      </c>
      <c r="T14" s="714" t="s">
        <v>17</v>
      </c>
      <c r="U14" s="715">
        <f t="shared" si="1"/>
        <v>100</v>
      </c>
      <c r="V14" s="714" t="s">
        <v>17</v>
      </c>
      <c r="W14" s="715">
        <f t="shared" si="2"/>
        <v>100</v>
      </c>
      <c r="X14" s="1539"/>
      <c r="Y14" s="3474"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475"/>
      <c r="Q15" s="1536"/>
      <c r="R15" s="714"/>
      <c r="S15" s="715"/>
      <c r="T15" s="714"/>
      <c r="U15" s="715"/>
      <c r="V15" s="714"/>
      <c r="W15" s="715"/>
      <c r="X15" s="1539"/>
      <c r="Y15" s="3475"/>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475"/>
      <c r="Q16" s="1536" t="str">
        <f>B16</f>
        <v>公共配套设施</v>
      </c>
      <c r="R16" s="714" t="s">
        <v>17</v>
      </c>
      <c r="S16" s="715">
        <f>F16</f>
        <v>100</v>
      </c>
      <c r="T16" s="714" t="s">
        <v>17</v>
      </c>
      <c r="U16" s="715">
        <f>H16</f>
        <v>100</v>
      </c>
      <c r="V16" s="714" t="s">
        <v>17</v>
      </c>
      <c r="W16" s="715">
        <f>J16</f>
        <v>100</v>
      </c>
      <c r="X16" s="1539"/>
      <c r="Y16" s="3475"/>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475"/>
      <c r="Q17" s="1536"/>
      <c r="R17" s="714"/>
      <c r="S17" s="715"/>
      <c r="T17" s="714"/>
      <c r="U17" s="715"/>
      <c r="V17" s="714"/>
      <c r="W17" s="715"/>
      <c r="X17" s="1539"/>
      <c r="Y17" s="3475"/>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475"/>
      <c r="Q18" s="1536" t="str">
        <f>B18</f>
        <v>基础设施水平</v>
      </c>
      <c r="R18" s="714" t="s">
        <v>17</v>
      </c>
      <c r="S18" s="715">
        <f>F18</f>
        <v>100</v>
      </c>
      <c r="T18" s="714" t="s">
        <v>17</v>
      </c>
      <c r="U18" s="715">
        <f>H18</f>
        <v>100</v>
      </c>
      <c r="V18" s="714" t="s">
        <v>17</v>
      </c>
      <c r="W18" s="715">
        <f>J18</f>
        <v>100</v>
      </c>
      <c r="X18" s="1539"/>
      <c r="Y18" s="3475"/>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475"/>
      <c r="Q19" s="1536"/>
      <c r="R19" s="714"/>
      <c r="S19" s="715"/>
      <c r="T19" s="714"/>
      <c r="U19" s="715"/>
      <c r="V19" s="714"/>
      <c r="W19" s="715"/>
      <c r="X19" s="1539"/>
      <c r="Y19" s="3475"/>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475"/>
      <c r="Q20" s="1536" t="str">
        <f>B20</f>
        <v>自然及人文环境</v>
      </c>
      <c r="R20" s="714" t="s">
        <v>17</v>
      </c>
      <c r="S20" s="715">
        <f>F20</f>
        <v>100</v>
      </c>
      <c r="T20" s="714" t="s">
        <v>17</v>
      </c>
      <c r="U20" s="715">
        <f>H20</f>
        <v>100</v>
      </c>
      <c r="V20" s="714" t="s">
        <v>17</v>
      </c>
      <c r="W20" s="715">
        <f>J20</f>
        <v>100</v>
      </c>
      <c r="X20" s="1539"/>
      <c r="Y20" s="3475"/>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475"/>
      <c r="Q21" s="1536"/>
      <c r="R21" s="714"/>
      <c r="S21" s="715"/>
      <c r="T21" s="714"/>
      <c r="U21" s="715"/>
      <c r="V21" s="714"/>
      <c r="W21" s="715"/>
      <c r="X21" s="1539"/>
      <c r="Y21" s="3475"/>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475"/>
      <c r="Q22" s="1536" t="str">
        <f>B22</f>
        <v>楼层</v>
      </c>
      <c r="R22" s="714" t="s">
        <v>17</v>
      </c>
      <c r="S22" s="715">
        <f>F22</f>
        <v>100</v>
      </c>
      <c r="T22" s="714" t="s">
        <v>17</v>
      </c>
      <c r="U22" s="715">
        <f>H22</f>
        <v>100</v>
      </c>
      <c r="V22" s="714" t="s">
        <v>17</v>
      </c>
      <c r="W22" s="715">
        <f>J22</f>
        <v>100</v>
      </c>
      <c r="X22" s="1539"/>
      <c r="Y22" s="3475"/>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475"/>
      <c r="Q23" s="1536">
        <f>B23</f>
        <v>111</v>
      </c>
      <c r="R23" s="714" t="s">
        <v>17</v>
      </c>
      <c r="S23" s="715">
        <f>F23</f>
        <v>100</v>
      </c>
      <c r="T23" s="714" t="s">
        <v>17</v>
      </c>
      <c r="U23" s="715">
        <f>H23</f>
        <v>100</v>
      </c>
      <c r="V23" s="714" t="s">
        <v>17</v>
      </c>
      <c r="W23" s="715">
        <f>J23</f>
        <v>100</v>
      </c>
      <c r="X23" s="1539"/>
      <c r="Y23" s="3475"/>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475"/>
      <c r="Q24" s="1536">
        <f t="shared" ref="Q24:Q34" si="11">B24</f>
        <v>111</v>
      </c>
      <c r="R24" s="714" t="s">
        <v>17</v>
      </c>
      <c r="S24" s="715">
        <f>F24</f>
        <v>100</v>
      </c>
      <c r="T24" s="714" t="s">
        <v>17</v>
      </c>
      <c r="U24" s="715">
        <f>H24</f>
        <v>100</v>
      </c>
      <c r="V24" s="714" t="s">
        <v>17</v>
      </c>
      <c r="W24" s="715">
        <f>J24</f>
        <v>100</v>
      </c>
      <c r="X24" s="1539"/>
      <c r="Y24" s="3475"/>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475"/>
      <c r="Q25" s="1527">
        <f t="shared" si="11"/>
        <v>111</v>
      </c>
      <c r="R25" s="710" t="s">
        <v>17</v>
      </c>
      <c r="S25" s="711">
        <f>F25</f>
        <v>100</v>
      </c>
      <c r="T25" s="710" t="s">
        <v>17</v>
      </c>
      <c r="U25" s="711">
        <f>H25</f>
        <v>100</v>
      </c>
      <c r="V25" s="710" t="s">
        <v>17</v>
      </c>
      <c r="W25" s="711">
        <f>J25</f>
        <v>100</v>
      </c>
      <c r="X25" s="712"/>
      <c r="Y25" s="3475"/>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530"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79"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479"/>
      <c r="Q27" s="716" t="str">
        <f t="shared" si="11"/>
        <v>成新率</v>
      </c>
      <c r="R27" s="717" t="s">
        <v>17</v>
      </c>
      <c r="S27" s="718" t="e">
        <f t="shared" si="12"/>
        <v>#N/A</v>
      </c>
      <c r="T27" s="717" t="s">
        <v>17</v>
      </c>
      <c r="U27" s="718" t="e">
        <f t="shared" si="13"/>
        <v>#N/A</v>
      </c>
      <c r="V27" s="717" t="s">
        <v>17</v>
      </c>
      <c r="W27" s="718" t="e">
        <f t="shared" si="14"/>
        <v>#N/A</v>
      </c>
      <c r="X27" s="719"/>
      <c r="Y27" s="3479"/>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479"/>
      <c r="Q28" s="1536" t="str">
        <f t="shared" si="11"/>
        <v>物业等级</v>
      </c>
      <c r="R28" s="714" t="s">
        <v>17</v>
      </c>
      <c r="S28" s="715">
        <f t="shared" si="12"/>
        <v>100</v>
      </c>
      <c r="T28" s="714" t="s">
        <v>17</v>
      </c>
      <c r="U28" s="715">
        <f t="shared" si="13"/>
        <v>100</v>
      </c>
      <c r="V28" s="714" t="s">
        <v>17</v>
      </c>
      <c r="W28" s="715">
        <f t="shared" si="14"/>
        <v>100</v>
      </c>
      <c r="X28" s="1539"/>
      <c r="Y28" s="3479"/>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479"/>
      <c r="Q29" s="1536" t="str">
        <f t="shared" si="11"/>
        <v>有无电梯</v>
      </c>
      <c r="R29" s="714" t="s">
        <v>17</v>
      </c>
      <c r="S29" s="715">
        <f t="shared" si="12"/>
        <v>100</v>
      </c>
      <c r="T29" s="714" t="s">
        <v>17</v>
      </c>
      <c r="U29" s="715">
        <f t="shared" si="13"/>
        <v>100</v>
      </c>
      <c r="V29" s="714" t="s">
        <v>17</v>
      </c>
      <c r="W29" s="715">
        <f t="shared" si="14"/>
        <v>100</v>
      </c>
      <c r="X29" s="1539"/>
      <c r="Y29" s="3479"/>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479"/>
      <c r="Q30" s="1536" t="str">
        <f t="shared" si="11"/>
        <v>建筑面积</v>
      </c>
      <c r="R30" s="714" t="s">
        <v>17</v>
      </c>
      <c r="S30" s="715" t="e">
        <f t="shared" si="12"/>
        <v>#N/A</v>
      </c>
      <c r="T30" s="714" t="s">
        <v>17</v>
      </c>
      <c r="U30" s="715" t="e">
        <f t="shared" si="13"/>
        <v>#N/A</v>
      </c>
      <c r="V30" s="714" t="s">
        <v>17</v>
      </c>
      <c r="W30" s="715" t="e">
        <f t="shared" si="14"/>
        <v>#N/A</v>
      </c>
      <c r="X30" s="1539"/>
      <c r="Y30" s="3479"/>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479"/>
      <c r="Q31" s="1527" t="str">
        <f t="shared" si="11"/>
        <v>是否封闭</v>
      </c>
      <c r="R31" s="710" t="s">
        <v>17</v>
      </c>
      <c r="S31" s="711">
        <f t="shared" si="12"/>
        <v>100</v>
      </c>
      <c r="T31" s="710" t="s">
        <v>17</v>
      </c>
      <c r="U31" s="711">
        <f t="shared" si="13"/>
        <v>100</v>
      </c>
      <c r="V31" s="710" t="s">
        <v>17</v>
      </c>
      <c r="W31" s="711">
        <f t="shared" si="14"/>
        <v>100</v>
      </c>
      <c r="X31" s="712"/>
      <c r="Y31" s="3479"/>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479" t="s">
        <v>2386</v>
      </c>
      <c r="Q32" s="1536">
        <f t="shared" si="11"/>
        <v>111</v>
      </c>
      <c r="R32" s="714" t="s">
        <v>17</v>
      </c>
      <c r="S32" s="715">
        <f t="shared" si="12"/>
        <v>100</v>
      </c>
      <c r="T32" s="714" t="s">
        <v>17</v>
      </c>
      <c r="U32" s="715">
        <f t="shared" si="13"/>
        <v>100</v>
      </c>
      <c r="V32" s="714" t="s">
        <v>17</v>
      </c>
      <c r="W32" s="715">
        <f t="shared" si="14"/>
        <v>100</v>
      </c>
      <c r="X32" s="1539"/>
      <c r="Y32" s="3479"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479"/>
      <c r="Q33" s="1536">
        <f t="shared" si="11"/>
        <v>111</v>
      </c>
      <c r="R33" s="714" t="s">
        <v>17</v>
      </c>
      <c r="S33" s="715">
        <f t="shared" si="12"/>
        <v>100</v>
      </c>
      <c r="T33" s="714" t="s">
        <v>17</v>
      </c>
      <c r="U33" s="715">
        <f t="shared" si="13"/>
        <v>100</v>
      </c>
      <c r="V33" s="714" t="s">
        <v>17</v>
      </c>
      <c r="W33" s="715">
        <f t="shared" si="14"/>
        <v>100</v>
      </c>
      <c r="X33" s="1539"/>
      <c r="Y33" s="3479"/>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479"/>
      <c r="Q34" s="1536">
        <f t="shared" si="11"/>
        <v>111</v>
      </c>
      <c r="R34" s="714" t="s">
        <v>17</v>
      </c>
      <c r="S34" s="715">
        <f t="shared" si="12"/>
        <v>100</v>
      </c>
      <c r="T34" s="714" t="s">
        <v>17</v>
      </c>
      <c r="U34" s="715">
        <f t="shared" si="13"/>
        <v>100</v>
      </c>
      <c r="V34" s="714" t="s">
        <v>17</v>
      </c>
      <c r="W34" s="715">
        <f t="shared" si="14"/>
        <v>100</v>
      </c>
      <c r="X34" s="1539"/>
      <c r="Y34" s="3479"/>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472" t="str">
        <f>A35</f>
        <v>成交单价（元/平方米）</v>
      </c>
      <c r="Q35" s="3472"/>
      <c r="R35" s="3473">
        <f>E35</f>
        <v>0</v>
      </c>
      <c r="S35" s="3473"/>
      <c r="T35" s="3473">
        <f>G35</f>
        <v>0</v>
      </c>
      <c r="U35" s="3473"/>
      <c r="V35" s="3473">
        <f>I35</f>
        <v>0</v>
      </c>
      <c r="W35" s="3473"/>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472" t="str">
        <f>A36</f>
        <v>比较价值（元/平方米）</v>
      </c>
      <c r="Q36" s="34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469" t="str">
        <f>A37</f>
        <v>估价对象XX用房的比较价值（楼面单价，元/平方米）</v>
      </c>
      <c r="Q37" s="3470"/>
      <c r="R37" s="3531" t="e">
        <f>IF(F1="售价",ROUND(IF(D36="简单平均",AVERAGE(R36:W36),R36*F36+T36*H36+V36*J36),0),ROUND(IF(D36="简单平均",AVERAGE(R36:V36),R36*F36+T36*H36+V36*J36),1))</f>
        <v>#DIV/0!</v>
      </c>
      <c r="S37" s="3531"/>
      <c r="T37" s="3531"/>
      <c r="U37" s="3531"/>
      <c r="V37" s="3531"/>
      <c r="W37" s="353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2021-8</v>
      </c>
      <c r="D46" s="1347">
        <f>EDATE(C46,-1)</f>
        <v>44378</v>
      </c>
      <c r="E46" s="1347">
        <f t="shared" ref="E46:O46" si="16">EDATE(D46,-1)</f>
        <v>44348</v>
      </c>
      <c r="F46" s="1347">
        <f t="shared" si="16"/>
        <v>44317</v>
      </c>
      <c r="G46" s="1347">
        <f t="shared" si="16"/>
        <v>44287</v>
      </c>
      <c r="H46" s="1347">
        <f t="shared" si="16"/>
        <v>44256</v>
      </c>
      <c r="I46" s="1347">
        <f t="shared" si="16"/>
        <v>44228</v>
      </c>
      <c r="J46" s="1347">
        <f t="shared" si="16"/>
        <v>44197</v>
      </c>
      <c r="K46" s="1347">
        <f t="shared" si="16"/>
        <v>44166</v>
      </c>
      <c r="L46" s="1347">
        <f t="shared" si="16"/>
        <v>44136</v>
      </c>
      <c r="M46" s="1347">
        <f t="shared" si="16"/>
        <v>44105</v>
      </c>
      <c r="N46" s="1347">
        <f t="shared" si="16"/>
        <v>44075</v>
      </c>
      <c r="O46" s="1347">
        <f t="shared" si="16"/>
        <v>44044</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4" zoomScale="80" zoomScaleNormal="60" zoomScaleSheetLayoutView="80" workbookViewId="0">
      <selection activeCell="I38" sqref="I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25749</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1826</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487" t="s">
        <v>2467</v>
      </c>
      <c r="D4" s="3488"/>
      <c r="E4" s="3489" t="s">
        <v>2468</v>
      </c>
      <c r="F4" s="3490"/>
      <c r="G4" s="3487" t="s">
        <v>2469</v>
      </c>
      <c r="H4" s="3488"/>
      <c r="I4" s="3487" t="s">
        <v>2470</v>
      </c>
      <c r="J4" s="3488"/>
      <c r="K4" s="567" t="s">
        <v>2471</v>
      </c>
      <c r="L4" s="2944"/>
      <c r="M4" s="2945"/>
      <c r="N4" s="2945"/>
      <c r="O4" s="2945"/>
      <c r="P4" s="3491" t="s">
        <v>2472</v>
      </c>
      <c r="Q4" s="3492"/>
      <c r="R4" s="3497" t="s">
        <v>2468</v>
      </c>
      <c r="S4" s="3498"/>
      <c r="T4" s="3497" t="s">
        <v>2469</v>
      </c>
      <c r="U4" s="3498"/>
      <c r="V4" s="3503" t="s">
        <v>2470</v>
      </c>
      <c r="W4" s="3503"/>
      <c r="X4" s="1539"/>
      <c r="Y4" s="3497" t="s">
        <v>2472</v>
      </c>
      <c r="Z4" s="3498"/>
      <c r="AA4" s="3484" t="s">
        <v>2468</v>
      </c>
      <c r="AB4" s="3485" t="s">
        <v>2469</v>
      </c>
      <c r="AC4" s="3484" t="s">
        <v>2470</v>
      </c>
    </row>
    <row r="5" spans="1:30" ht="15">
      <c r="A5" s="364"/>
      <c r="B5" s="365"/>
      <c r="C5" s="3506" t="s">
        <v>2363</v>
      </c>
      <c r="D5" s="3507"/>
      <c r="E5" s="3513" t="str">
        <f>土地案例!A3</f>
        <v>经开区震泽路与清舒道交叉口西南侧</v>
      </c>
      <c r="F5" s="3514"/>
      <c r="G5" s="3506" t="str">
        <f>土地案例!A6</f>
        <v>新吴区兴昌路东侧、金城路南侧</v>
      </c>
      <c r="H5" s="3507"/>
      <c r="I5" s="3506" t="str">
        <f>土地案例!A7</f>
        <v>新吴区兴昌路东侧、前卫路北侧</v>
      </c>
      <c r="J5" s="3507"/>
      <c r="K5" s="567"/>
      <c r="L5" s="2944"/>
      <c r="M5" s="2945"/>
      <c r="N5" s="2945"/>
      <c r="O5" s="2945"/>
      <c r="P5" s="3493"/>
      <c r="Q5" s="3494"/>
      <c r="R5" s="3499"/>
      <c r="S5" s="3500"/>
      <c r="T5" s="3499"/>
      <c r="U5" s="3500"/>
      <c r="V5" s="3503"/>
      <c r="W5" s="3503"/>
      <c r="X5" s="1539"/>
      <c r="Y5" s="3499"/>
      <c r="Z5" s="3500"/>
      <c r="AA5" s="3485"/>
      <c r="AB5" s="3485"/>
      <c r="AC5" s="3485"/>
    </row>
    <row r="6" spans="1:30" ht="15.75" thickBot="1">
      <c r="A6" s="366"/>
      <c r="B6" s="367"/>
      <c r="C6" s="3504" t="s">
        <v>2367</v>
      </c>
      <c r="D6" s="3505"/>
      <c r="E6" s="3511" t="s">
        <v>2367</v>
      </c>
      <c r="F6" s="3512"/>
      <c r="G6" s="3504" t="s">
        <v>2367</v>
      </c>
      <c r="H6" s="3505"/>
      <c r="I6" s="3504" t="s">
        <v>2367</v>
      </c>
      <c r="J6" s="3505"/>
      <c r="K6" s="567" t="s">
        <v>2368</v>
      </c>
      <c r="L6" s="2944"/>
      <c r="M6" s="2945"/>
      <c r="N6" s="2945"/>
      <c r="O6" s="2945"/>
      <c r="P6" s="3495"/>
      <c r="Q6" s="3496"/>
      <c r="R6" s="3499"/>
      <c r="S6" s="3500"/>
      <c r="T6" s="3501"/>
      <c r="U6" s="3502"/>
      <c r="V6" s="3503"/>
      <c r="W6" s="3503"/>
      <c r="X6" s="1539"/>
      <c r="Y6" s="3501"/>
      <c r="Z6" s="3502"/>
      <c r="AA6" s="3486"/>
      <c r="AB6" s="3486"/>
      <c r="AC6" s="3486"/>
    </row>
    <row r="7" spans="1:30" s="113" customFormat="1" ht="15.75" thickBot="1">
      <c r="A7" s="368" t="s">
        <v>2369</v>
      </c>
      <c r="B7" s="369"/>
      <c r="C7" s="370">
        <f>'数据-取费表'!B2</f>
        <v>44411</v>
      </c>
      <c r="D7" s="371">
        <v>100</v>
      </c>
      <c r="E7" s="372" t="str">
        <f>土地案例!K3</f>
        <v>2020-06-23</v>
      </c>
      <c r="F7" s="373">
        <f>SUMIF(70:70,YEAR(E7)&amp;"-"&amp;INT((MONTH(E7)+2)/3),71:71)</f>
        <v>97.5</v>
      </c>
      <c r="G7" s="2160" t="str">
        <f>土地案例!K6</f>
        <v>2019-09-04</v>
      </c>
      <c r="H7" s="371">
        <f>SUMIF(70:70,YEAR(G7)&amp;"-"&amp;INT((MONTH(G7)+2)/3),71:71)</f>
        <v>96</v>
      </c>
      <c r="I7" s="2160" t="str">
        <f>土地案例!K7</f>
        <v>2019-09-04</v>
      </c>
      <c r="J7" s="371">
        <f>SUMIF(70:70,YEAR(I7)&amp;"-"&amp;INT((MONTH(I7)+2)/3),71:71)</f>
        <v>96</v>
      </c>
      <c r="K7" s="568"/>
      <c r="L7" s="2946"/>
      <c r="M7" s="2947"/>
      <c r="N7" s="2947"/>
      <c r="O7" s="2947"/>
      <c r="P7" s="3508" t="s">
        <v>2370</v>
      </c>
      <c r="Q7" s="3510"/>
      <c r="R7" s="710" t="s">
        <v>17</v>
      </c>
      <c r="S7" s="711">
        <f t="shared" ref="S7:S15" si="0">F7</f>
        <v>97.5</v>
      </c>
      <c r="T7" s="710" t="s">
        <v>17</v>
      </c>
      <c r="U7" s="711">
        <f t="shared" ref="U7:U15" si="1">H7</f>
        <v>96</v>
      </c>
      <c r="V7" s="710" t="s">
        <v>17</v>
      </c>
      <c r="W7" s="711">
        <f t="shared" ref="W7:W15" si="2">J7</f>
        <v>96</v>
      </c>
      <c r="X7" s="712"/>
      <c r="Y7" s="3508" t="s">
        <v>2370</v>
      </c>
      <c r="Z7" s="3509"/>
      <c r="AA7" s="713">
        <f>D7/F7</f>
        <v>1.0256410256410255</v>
      </c>
      <c r="AB7" s="713">
        <f>D7/H7</f>
        <v>1.0416666666666667</v>
      </c>
      <c r="AC7" s="713">
        <f>D7/J7</f>
        <v>1.0416666666666667</v>
      </c>
    </row>
    <row r="8" spans="1:30" s="113" customFormat="1" ht="15.75" thickBot="1">
      <c r="A8" s="368" t="s">
        <v>2371</v>
      </c>
      <c r="B8" s="369"/>
      <c r="C8" s="374" t="s">
        <v>2372</v>
      </c>
      <c r="D8" s="371">
        <v>100</v>
      </c>
      <c r="E8" s="374" t="s">
        <v>3150</v>
      </c>
      <c r="F8" s="373">
        <f>SUMIF(73:73,E8,74:74)-SUMIF(73:73,C8,74:74)+100</f>
        <v>100</v>
      </c>
      <c r="G8" s="374" t="s">
        <v>3150</v>
      </c>
      <c r="H8" s="371">
        <f>SUMIF(73:73,G8,74:74)-SUMIF(73:73,C8,74:74)+100</f>
        <v>100</v>
      </c>
      <c r="I8" s="374" t="s">
        <v>3150</v>
      </c>
      <c r="J8" s="371">
        <f>SUMIF(73:73,I8,74:74)-SUMIF(73:73,C8,74:74)+100</f>
        <v>100</v>
      </c>
      <c r="K8" s="568"/>
      <c r="L8" s="2946"/>
      <c r="M8" s="2947"/>
      <c r="N8" s="2947"/>
      <c r="O8" s="2947"/>
      <c r="P8" s="3508" t="s">
        <v>2373</v>
      </c>
      <c r="Q8" s="3509"/>
      <c r="R8" s="710" t="s">
        <v>17</v>
      </c>
      <c r="S8" s="711">
        <f t="shared" si="0"/>
        <v>100</v>
      </c>
      <c r="T8" s="710" t="s">
        <v>17</v>
      </c>
      <c r="U8" s="711">
        <f t="shared" si="1"/>
        <v>100</v>
      </c>
      <c r="V8" s="710" t="s">
        <v>17</v>
      </c>
      <c r="W8" s="711">
        <f t="shared" si="2"/>
        <v>100</v>
      </c>
      <c r="X8" s="712"/>
      <c r="Y8" s="3508" t="s">
        <v>2373</v>
      </c>
      <c r="Z8" s="3509"/>
      <c r="AA8" s="713">
        <f t="shared" ref="AA8:AA45" si="3">D8/F8</f>
        <v>1</v>
      </c>
      <c r="AB8" s="713">
        <f t="shared" ref="AB8:AB45" si="4">D8/H8</f>
        <v>1</v>
      </c>
      <c r="AC8" s="713">
        <f t="shared" ref="AC8:AC45" si="5">D8/J8</f>
        <v>1</v>
      </c>
    </row>
    <row r="9" spans="1:30" s="113" customFormat="1">
      <c r="A9" s="375" t="s">
        <v>2374</v>
      </c>
      <c r="B9" s="67" t="s">
        <v>2375</v>
      </c>
      <c r="C9" s="3068" t="s">
        <v>3151</v>
      </c>
      <c r="D9" s="131">
        <v>100</v>
      </c>
      <c r="E9" s="3068" t="s">
        <v>3151</v>
      </c>
      <c r="F9" s="131">
        <f>SUMIF(75:75,E9,76:76)-SUMIF(75:75,C9,76:76)+100</f>
        <v>100</v>
      </c>
      <c r="G9" s="3068" t="s">
        <v>3151</v>
      </c>
      <c r="H9" s="131">
        <f>SUMIF(75:75,G9,76:76)-SUMIF(75:75,C9,76:76)+100</f>
        <v>100</v>
      </c>
      <c r="I9" s="3068" t="s">
        <v>3151</v>
      </c>
      <c r="J9" s="131">
        <f>SUMIF(75:75,I9,76:76)-SUMIF(75:75,C9,76:76)+100</f>
        <v>100</v>
      </c>
      <c r="K9" s="568"/>
      <c r="L9" s="2946"/>
      <c r="M9" s="2947"/>
      <c r="N9" s="2947"/>
      <c r="O9" s="3001"/>
      <c r="P9" s="3472" t="s">
        <v>2376</v>
      </c>
      <c r="Q9" s="1527" t="str">
        <f t="shared" ref="Q9:Q15" si="6">B9</f>
        <v>用途</v>
      </c>
      <c r="R9" s="710" t="s">
        <v>17</v>
      </c>
      <c r="S9" s="711">
        <f t="shared" si="0"/>
        <v>100</v>
      </c>
      <c r="T9" s="710" t="s">
        <v>17</v>
      </c>
      <c r="U9" s="711">
        <f t="shared" si="1"/>
        <v>100</v>
      </c>
      <c r="V9" s="710" t="s">
        <v>17</v>
      </c>
      <c r="W9" s="711">
        <f t="shared" si="2"/>
        <v>100</v>
      </c>
      <c r="X9" s="712"/>
      <c r="Y9" s="3342"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102</v>
      </c>
      <c r="G10" s="422"/>
      <c r="H10" s="132">
        <f>ROUND(100/'数据-取费表'!G16,0)</f>
        <v>102</v>
      </c>
      <c r="I10" s="422"/>
      <c r="J10" s="132">
        <f>ROUND(100/'数据-取费表'!G16,0)</f>
        <v>102</v>
      </c>
      <c r="K10" s="628"/>
      <c r="L10" s="2948"/>
      <c r="M10" s="2949"/>
      <c r="N10" s="2949"/>
      <c r="O10" s="3002"/>
      <c r="P10" s="3472"/>
      <c r="Q10" s="1527" t="str">
        <f t="shared" si="6"/>
        <v>土地使用年限（年）</v>
      </c>
      <c r="R10" s="710" t="s">
        <v>17</v>
      </c>
      <c r="S10" s="711">
        <f t="shared" si="0"/>
        <v>102</v>
      </c>
      <c r="T10" s="710" t="s">
        <v>17</v>
      </c>
      <c r="U10" s="711">
        <f t="shared" si="1"/>
        <v>102</v>
      </c>
      <c r="V10" s="710" t="s">
        <v>17</v>
      </c>
      <c r="W10" s="711">
        <f t="shared" si="2"/>
        <v>102</v>
      </c>
      <c r="X10" s="712"/>
      <c r="Y10" s="3342"/>
      <c r="Z10" s="55" t="str">
        <f t="shared" si="7"/>
        <v>土地使用年限（年）</v>
      </c>
      <c r="AA10" s="713">
        <f t="shared" si="3"/>
        <v>0.98039215686274506</v>
      </c>
      <c r="AB10" s="713">
        <f t="shared" si="4"/>
        <v>0.98039215686274506</v>
      </c>
      <c r="AC10" s="713">
        <f t="shared" si="5"/>
        <v>0.98039215686274506</v>
      </c>
    </row>
    <row r="11" spans="1:30" ht="15">
      <c r="A11" s="387"/>
      <c r="B11" s="381" t="s">
        <v>2379</v>
      </c>
      <c r="C11" s="388">
        <f>'数据-汇总表'!I6</f>
        <v>2.1</v>
      </c>
      <c r="D11" s="132">
        <v>100</v>
      </c>
      <c r="E11" s="388">
        <v>1.3</v>
      </c>
      <c r="F11" s="132">
        <f>LOOKUP(E11,80:80,81:81)-LOOKUP(C11,80:80,81:81)+100</f>
        <v>110</v>
      </c>
      <c r="G11" s="389">
        <v>1</v>
      </c>
      <c r="H11" s="132">
        <f>LOOKUP(G11,80:80,81:81)-LOOKUP(C11,80:80,81:81)+100</f>
        <v>110</v>
      </c>
      <c r="I11" s="388">
        <v>1</v>
      </c>
      <c r="J11" s="132">
        <f>LOOKUP(I11,80:80,81:81)-LOOKUP(C11,80:80,81:81)+100</f>
        <v>110</v>
      </c>
      <c r="K11" s="629">
        <v>10</v>
      </c>
      <c r="L11" s="2950"/>
      <c r="M11" s="2945"/>
      <c r="N11" s="2945"/>
      <c r="O11" s="3003"/>
      <c r="P11" s="3472"/>
      <c r="Q11" s="1527" t="str">
        <f t="shared" si="6"/>
        <v>容积率</v>
      </c>
      <c r="R11" s="710" t="s">
        <v>17</v>
      </c>
      <c r="S11" s="711">
        <f t="shared" si="0"/>
        <v>110</v>
      </c>
      <c r="T11" s="710" t="s">
        <v>17</v>
      </c>
      <c r="U11" s="711">
        <f t="shared" si="1"/>
        <v>110</v>
      </c>
      <c r="V11" s="710" t="s">
        <v>17</v>
      </c>
      <c r="W11" s="711">
        <f t="shared" si="2"/>
        <v>110</v>
      </c>
      <c r="X11" s="712"/>
      <c r="Y11" s="3342"/>
      <c r="Z11" s="55" t="str">
        <f t="shared" si="7"/>
        <v>容积率</v>
      </c>
      <c r="AA11" s="713">
        <f t="shared" si="3"/>
        <v>0.90909090909090906</v>
      </c>
      <c r="AB11" s="713">
        <f t="shared" si="4"/>
        <v>0.90909090909090906</v>
      </c>
      <c r="AC11" s="713">
        <f t="shared" si="5"/>
        <v>0.90909090909090906</v>
      </c>
    </row>
    <row r="12" spans="1:30" s="113" customFormat="1" ht="15" hidden="1">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472"/>
      <c r="Q12" s="1527" t="str">
        <f t="shared" si="6"/>
        <v>配建</v>
      </c>
      <c r="R12" s="710" t="s">
        <v>17</v>
      </c>
      <c r="S12" s="711">
        <f t="shared" si="0"/>
        <v>100</v>
      </c>
      <c r="T12" s="710" t="s">
        <v>17</v>
      </c>
      <c r="U12" s="711">
        <f t="shared" si="1"/>
        <v>100</v>
      </c>
      <c r="V12" s="710" t="s">
        <v>17</v>
      </c>
      <c r="W12" s="711">
        <f t="shared" si="2"/>
        <v>100</v>
      </c>
      <c r="X12" s="712"/>
      <c r="Y12" s="3342"/>
      <c r="Z12" s="55" t="str">
        <f t="shared" si="7"/>
        <v>配建</v>
      </c>
      <c r="AA12" s="713">
        <f>D12/F12</f>
        <v>1</v>
      </c>
      <c r="AB12" s="713">
        <f>D12/H12</f>
        <v>1</v>
      </c>
      <c r="AC12" s="713">
        <f>D12/J12</f>
        <v>1</v>
      </c>
    </row>
    <row r="13" spans="1:30" ht="15" hidden="1">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472"/>
      <c r="Q13" s="1527">
        <f t="shared" si="6"/>
        <v>111</v>
      </c>
      <c r="R13" s="710" t="s">
        <v>17</v>
      </c>
      <c r="S13" s="711">
        <f t="shared" si="0"/>
        <v>100</v>
      </c>
      <c r="T13" s="710" t="s">
        <v>17</v>
      </c>
      <c r="U13" s="711">
        <f t="shared" si="1"/>
        <v>100</v>
      </c>
      <c r="V13" s="710" t="s">
        <v>17</v>
      </c>
      <c r="W13" s="711">
        <f t="shared" si="2"/>
        <v>100</v>
      </c>
      <c r="X13" s="712"/>
      <c r="Y13" s="3342"/>
      <c r="Z13" s="55">
        <f t="shared" si="7"/>
        <v>111</v>
      </c>
      <c r="AA13" s="713">
        <f>D13/F13</f>
        <v>1</v>
      </c>
      <c r="AB13" s="713">
        <f>D13/H13</f>
        <v>1</v>
      </c>
      <c r="AC13" s="713">
        <f>D13/J13</f>
        <v>1</v>
      </c>
    </row>
    <row r="14" spans="1:30" ht="15.75" hidden="1"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472"/>
      <c r="Q14" s="1527">
        <f t="shared" si="6"/>
        <v>111</v>
      </c>
      <c r="R14" s="710" t="s">
        <v>17</v>
      </c>
      <c r="S14" s="711">
        <f t="shared" si="0"/>
        <v>100</v>
      </c>
      <c r="T14" s="710" t="s">
        <v>17</v>
      </c>
      <c r="U14" s="711">
        <f t="shared" si="1"/>
        <v>100</v>
      </c>
      <c r="V14" s="710" t="s">
        <v>17</v>
      </c>
      <c r="W14" s="711">
        <f t="shared" si="2"/>
        <v>100</v>
      </c>
      <c r="X14" s="712"/>
      <c r="Y14" s="3342"/>
      <c r="Z14" s="55">
        <f t="shared" si="7"/>
        <v>111</v>
      </c>
      <c r="AA14" s="713">
        <f>D14/F14</f>
        <v>1</v>
      </c>
      <c r="AB14" s="713">
        <f>D14/H14</f>
        <v>1</v>
      </c>
      <c r="AC14" s="713">
        <f>D14/J14</f>
        <v>1</v>
      </c>
    </row>
    <row r="15" spans="1:30" ht="99.75" hidden="1">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474" t="s">
        <v>2381</v>
      </c>
      <c r="Q15" s="1536" t="str">
        <f t="shared" si="6"/>
        <v>居住社区成熟度</v>
      </c>
      <c r="R15" s="714" t="s">
        <v>17</v>
      </c>
      <c r="S15" s="715">
        <f t="shared" si="0"/>
        <v>100</v>
      </c>
      <c r="T15" s="714" t="s">
        <v>17</v>
      </c>
      <c r="U15" s="715">
        <f t="shared" si="1"/>
        <v>100</v>
      </c>
      <c r="V15" s="714" t="s">
        <v>17</v>
      </c>
      <c r="W15" s="715">
        <f t="shared" si="2"/>
        <v>100</v>
      </c>
      <c r="X15" s="1539"/>
      <c r="Y15" s="3474" t="s">
        <v>2381</v>
      </c>
      <c r="Z15" s="1540" t="str">
        <f t="shared" si="7"/>
        <v>居住社区成熟度</v>
      </c>
      <c r="AA15" s="1537">
        <f t="shared" si="3"/>
        <v>1</v>
      </c>
      <c r="AB15" s="1537">
        <f t="shared" si="4"/>
        <v>1</v>
      </c>
      <c r="AC15" s="1537">
        <f t="shared" si="5"/>
        <v>1</v>
      </c>
    </row>
    <row r="16" spans="1:30" ht="15" hidden="1">
      <c r="A16" s="387"/>
      <c r="B16" s="405"/>
      <c r="C16" s="406" t="s">
        <v>3153</v>
      </c>
      <c r="D16" s="407"/>
      <c r="E16" s="2084" t="s">
        <v>3153</v>
      </c>
      <c r="F16" s="407"/>
      <c r="G16" s="2084" t="s">
        <v>3153</v>
      </c>
      <c r="H16" s="409"/>
      <c r="I16" s="2083" t="s">
        <v>3153</v>
      </c>
      <c r="J16" s="407"/>
      <c r="K16" s="628"/>
      <c r="L16" s="2951"/>
      <c r="M16" s="2945"/>
      <c r="N16" s="2945"/>
      <c r="O16" s="3003"/>
      <c r="P16" s="3475"/>
      <c r="Q16" s="1536"/>
      <c r="R16" s="714"/>
      <c r="S16" s="715"/>
      <c r="T16" s="714"/>
      <c r="U16" s="715"/>
      <c r="V16" s="714"/>
      <c r="W16" s="715"/>
      <c r="X16" s="1539"/>
      <c r="Y16" s="3475"/>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103</v>
      </c>
      <c r="I17" s="413"/>
      <c r="J17" s="414">
        <f>SUMIF(90:90,I18,91:91)-SUMIF(90:90,C18,91:91)+100</f>
        <v>103</v>
      </c>
      <c r="K17" s="629">
        <v>3</v>
      </c>
      <c r="L17" s="2951"/>
      <c r="M17" s="2945"/>
      <c r="N17" s="2945"/>
      <c r="O17" s="3003"/>
      <c r="P17" s="3475"/>
      <c r="Q17" s="1536" t="str">
        <f>B17</f>
        <v>商业繁华度</v>
      </c>
      <c r="R17" s="714" t="s">
        <v>17</v>
      </c>
      <c r="S17" s="715">
        <f>F17</f>
        <v>100</v>
      </c>
      <c r="T17" s="714" t="s">
        <v>17</v>
      </c>
      <c r="U17" s="715">
        <f>H17</f>
        <v>103</v>
      </c>
      <c r="V17" s="714" t="s">
        <v>17</v>
      </c>
      <c r="W17" s="715">
        <f>J17</f>
        <v>103</v>
      </c>
      <c r="X17" s="1539"/>
      <c r="Y17" s="3475"/>
      <c r="Z17" s="1540" t="str">
        <f>Q17</f>
        <v>商业繁华度</v>
      </c>
      <c r="AA17" s="1537">
        <f t="shared" si="3"/>
        <v>1</v>
      </c>
      <c r="AB17" s="1537">
        <f t="shared" si="4"/>
        <v>0.970873786407767</v>
      </c>
      <c r="AC17" s="1537">
        <f t="shared" si="5"/>
        <v>0.970873786407767</v>
      </c>
    </row>
    <row r="18" spans="1:29" ht="15">
      <c r="A18" s="387"/>
      <c r="B18" s="415"/>
      <c r="C18" s="2087" t="s">
        <v>3152</v>
      </c>
      <c r="D18" s="409"/>
      <c r="E18" s="2087" t="s">
        <v>3152</v>
      </c>
      <c r="F18" s="409"/>
      <c r="G18" s="2087" t="s">
        <v>3343</v>
      </c>
      <c r="H18" s="407"/>
      <c r="I18" s="2087" t="s">
        <v>3343</v>
      </c>
      <c r="J18" s="407"/>
      <c r="K18" s="628"/>
      <c r="L18" s="2951"/>
      <c r="M18" s="2945"/>
      <c r="N18" s="2945"/>
      <c r="O18" s="3003"/>
      <c r="P18" s="3475"/>
      <c r="Q18" s="1536"/>
      <c r="R18" s="714"/>
      <c r="S18" s="715"/>
      <c r="T18" s="714"/>
      <c r="U18" s="715"/>
      <c r="V18" s="714"/>
      <c r="W18" s="715"/>
      <c r="X18" s="1539"/>
      <c r="Y18" s="3475"/>
      <c r="Z18" s="1540"/>
      <c r="AA18" s="1537">
        <v>1</v>
      </c>
      <c r="AB18" s="1537">
        <v>1</v>
      </c>
      <c r="AC18" s="1537">
        <v>1</v>
      </c>
    </row>
    <row r="19" spans="1:29" ht="71.25" hidden="1">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475"/>
      <c r="Q19" s="1536" t="str">
        <f>B19</f>
        <v>办公集聚程度</v>
      </c>
      <c r="R19" s="714" t="s">
        <v>17</v>
      </c>
      <c r="S19" s="715">
        <f>F19</f>
        <v>100</v>
      </c>
      <c r="T19" s="714" t="s">
        <v>17</v>
      </c>
      <c r="U19" s="715">
        <f>H19</f>
        <v>100</v>
      </c>
      <c r="V19" s="714" t="s">
        <v>17</v>
      </c>
      <c r="W19" s="715">
        <f>J19</f>
        <v>100</v>
      </c>
      <c r="X19" s="1539"/>
      <c r="Y19" s="3475"/>
      <c r="Z19" s="1540" t="str">
        <f>Q19</f>
        <v>办公集聚程度</v>
      </c>
      <c r="AA19" s="1537">
        <f t="shared" si="3"/>
        <v>1</v>
      </c>
      <c r="AB19" s="1537">
        <f t="shared" si="4"/>
        <v>1</v>
      </c>
      <c r="AC19" s="1537">
        <f t="shared" si="5"/>
        <v>1</v>
      </c>
    </row>
    <row r="20" spans="1:29" ht="15" hidden="1">
      <c r="A20" s="387"/>
      <c r="B20" s="415"/>
      <c r="C20" s="406"/>
      <c r="D20" s="407"/>
      <c r="E20" s="2084"/>
      <c r="F20" s="407"/>
      <c r="G20" s="2084"/>
      <c r="H20" s="407"/>
      <c r="I20" s="2083"/>
      <c r="J20" s="407"/>
      <c r="K20" s="628"/>
      <c r="L20" s="2951"/>
      <c r="M20" s="2945"/>
      <c r="N20" s="2945"/>
      <c r="O20" s="3003"/>
      <c r="P20" s="3475"/>
      <c r="Q20" s="1536"/>
      <c r="R20" s="714"/>
      <c r="S20" s="715"/>
      <c r="T20" s="714"/>
      <c r="U20" s="715"/>
      <c r="V20" s="714"/>
      <c r="W20" s="715"/>
      <c r="X20" s="1539"/>
      <c r="Y20" s="3475"/>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102</v>
      </c>
      <c r="I21" s="413"/>
      <c r="J21" s="409">
        <f>SUMIF(94:94,I22,95:95)-SUMIF(94:94,C22,95:95)+100</f>
        <v>102</v>
      </c>
      <c r="K21" s="629">
        <v>2</v>
      </c>
      <c r="L21" s="2951"/>
      <c r="M21" s="2945"/>
      <c r="N21" s="2945"/>
      <c r="O21" s="3003"/>
      <c r="P21" s="3475"/>
      <c r="Q21" s="1536" t="str">
        <f>B21</f>
        <v>交通便捷度</v>
      </c>
      <c r="R21" s="714" t="s">
        <v>17</v>
      </c>
      <c r="S21" s="715">
        <f>F21</f>
        <v>100</v>
      </c>
      <c r="T21" s="714" t="s">
        <v>17</v>
      </c>
      <c r="U21" s="715">
        <f>H21</f>
        <v>102</v>
      </c>
      <c r="V21" s="714" t="s">
        <v>17</v>
      </c>
      <c r="W21" s="715">
        <f>J21</f>
        <v>102</v>
      </c>
      <c r="X21" s="1539"/>
      <c r="Y21" s="3475"/>
      <c r="Z21" s="1540" t="str">
        <f>Q21</f>
        <v>交通便捷度</v>
      </c>
      <c r="AA21" s="1537">
        <f t="shared" si="3"/>
        <v>1</v>
      </c>
      <c r="AB21" s="1537">
        <f t="shared" si="4"/>
        <v>0.98039215686274506</v>
      </c>
      <c r="AC21" s="1537">
        <f t="shared" si="5"/>
        <v>0.98039215686274506</v>
      </c>
    </row>
    <row r="22" spans="1:29" ht="15">
      <c r="A22" s="387"/>
      <c r="B22" s="1293"/>
      <c r="C22" s="2084" t="s">
        <v>3152</v>
      </c>
      <c r="D22" s="409"/>
      <c r="E22" s="2084" t="s">
        <v>3152</v>
      </c>
      <c r="F22" s="407"/>
      <c r="G22" s="2084" t="s">
        <v>3343</v>
      </c>
      <c r="H22" s="407"/>
      <c r="I22" s="2083" t="s">
        <v>3343</v>
      </c>
      <c r="J22" s="407"/>
      <c r="K22" s="628"/>
      <c r="L22" s="2951"/>
      <c r="M22" s="2945"/>
      <c r="N22" s="2945"/>
      <c r="O22" s="3003"/>
      <c r="P22" s="3475"/>
      <c r="Q22" s="1536"/>
      <c r="R22" s="714"/>
      <c r="S22" s="715"/>
      <c r="T22" s="714"/>
      <c r="U22" s="715"/>
      <c r="V22" s="714"/>
      <c r="W22" s="715"/>
      <c r="X22" s="1539"/>
      <c r="Y22" s="3475"/>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51"/>
      <c r="M23" s="2945"/>
      <c r="N23" s="2945"/>
      <c r="O23" s="3003"/>
      <c r="P23" s="3475"/>
      <c r="Q23" s="1536" t="str">
        <f t="shared" ref="Q23:Q37" si="8">B23</f>
        <v>区域土地利用方向</v>
      </c>
      <c r="R23" s="714" t="s">
        <v>17</v>
      </c>
      <c r="S23" s="715">
        <f>F23</f>
        <v>100</v>
      </c>
      <c r="T23" s="714" t="s">
        <v>17</v>
      </c>
      <c r="U23" s="715">
        <f>H23</f>
        <v>100</v>
      </c>
      <c r="V23" s="714" t="s">
        <v>17</v>
      </c>
      <c r="W23" s="715">
        <f>J23</f>
        <v>100</v>
      </c>
      <c r="X23" s="1539"/>
      <c r="Y23" s="3475"/>
      <c r="Z23" s="1540" t="str">
        <f>Q23</f>
        <v>区域土地利用方向</v>
      </c>
      <c r="AA23" s="1537">
        <f t="shared" si="3"/>
        <v>1</v>
      </c>
      <c r="AB23" s="1537">
        <f t="shared" si="4"/>
        <v>1</v>
      </c>
      <c r="AC23" s="1537">
        <f t="shared" si="5"/>
        <v>1</v>
      </c>
    </row>
    <row r="24" spans="1:29" ht="15">
      <c r="A24" s="364"/>
      <c r="B24" s="415"/>
      <c r="C24" s="573" t="s">
        <v>3152</v>
      </c>
      <c r="D24" s="407"/>
      <c r="E24" s="2084" t="s">
        <v>3152</v>
      </c>
      <c r="F24" s="407"/>
      <c r="G24" s="2083" t="s">
        <v>3152</v>
      </c>
      <c r="H24" s="407"/>
      <c r="I24" s="2083" t="s">
        <v>3152</v>
      </c>
      <c r="J24" s="407"/>
      <c r="K24" s="751"/>
      <c r="L24" s="2951"/>
      <c r="M24" s="2945"/>
      <c r="N24" s="2945"/>
      <c r="O24" s="3003"/>
      <c r="P24" s="3475"/>
      <c r="Q24" s="1536"/>
      <c r="R24" s="714"/>
      <c r="S24" s="715"/>
      <c r="T24" s="714"/>
      <c r="U24" s="715"/>
      <c r="V24" s="714"/>
      <c r="W24" s="715"/>
      <c r="X24" s="1539"/>
      <c r="Y24" s="3475"/>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51"/>
      <c r="M25" s="2945"/>
      <c r="N25" s="2945"/>
      <c r="O25" s="3003"/>
      <c r="P25" s="3475"/>
      <c r="Q25" s="1536" t="str">
        <f t="shared" si="8"/>
        <v>自然及人文环境状况</v>
      </c>
      <c r="R25" s="714" t="s">
        <v>17</v>
      </c>
      <c r="S25" s="715">
        <f>F25</f>
        <v>100</v>
      </c>
      <c r="T25" s="714" t="s">
        <v>17</v>
      </c>
      <c r="U25" s="715">
        <f>H25</f>
        <v>100</v>
      </c>
      <c r="V25" s="714" t="s">
        <v>17</v>
      </c>
      <c r="W25" s="715">
        <f>J25</f>
        <v>100</v>
      </c>
      <c r="X25" s="1539"/>
      <c r="Y25" s="3475"/>
      <c r="Z25" s="1540" t="str">
        <f>Q25</f>
        <v>自然及人文环境状况</v>
      </c>
      <c r="AA25" s="1537">
        <f t="shared" si="3"/>
        <v>1</v>
      </c>
      <c r="AB25" s="1537">
        <f t="shared" si="4"/>
        <v>1</v>
      </c>
      <c r="AC25" s="1537">
        <f t="shared" si="5"/>
        <v>1</v>
      </c>
    </row>
    <row r="26" spans="1:29" ht="15">
      <c r="A26" s="364"/>
      <c r="B26" s="415"/>
      <c r="C26" s="2087" t="s">
        <v>3152</v>
      </c>
      <c r="D26" s="407"/>
      <c r="E26" s="2087" t="s">
        <v>3152</v>
      </c>
      <c r="F26" s="407"/>
      <c r="G26" s="2087" t="s">
        <v>3152</v>
      </c>
      <c r="H26" s="407"/>
      <c r="I26" s="2087" t="s">
        <v>3152</v>
      </c>
      <c r="J26" s="407"/>
      <c r="K26" s="628"/>
      <c r="L26" s="2951"/>
      <c r="M26" s="2945"/>
      <c r="N26" s="2945"/>
      <c r="O26" s="3003"/>
      <c r="P26" s="3475"/>
      <c r="Q26" s="1536"/>
      <c r="R26" s="714"/>
      <c r="S26" s="715"/>
      <c r="T26" s="714"/>
      <c r="U26" s="715"/>
      <c r="V26" s="714"/>
      <c r="W26" s="715"/>
      <c r="X26" s="1539"/>
      <c r="Y26" s="3475"/>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102</v>
      </c>
      <c r="I27" s="413"/>
      <c r="J27" s="409">
        <f>SUMIF(100:100,I28,101:101)-SUMIF(100:100,C28,101:101)+100</f>
        <v>102</v>
      </c>
      <c r="K27" s="629">
        <v>2</v>
      </c>
      <c r="L27" s="2946"/>
      <c r="M27" s="2947"/>
      <c r="N27" s="2947"/>
      <c r="O27" s="3001"/>
      <c r="P27" s="3475"/>
      <c r="Q27" s="1527" t="str">
        <f t="shared" si="8"/>
        <v>公共配套设施</v>
      </c>
      <c r="R27" s="710" t="s">
        <v>17</v>
      </c>
      <c r="S27" s="711">
        <f>F27</f>
        <v>100</v>
      </c>
      <c r="T27" s="710" t="s">
        <v>17</v>
      </c>
      <c r="U27" s="711">
        <f>H27</f>
        <v>102</v>
      </c>
      <c r="V27" s="710" t="s">
        <v>17</v>
      </c>
      <c r="W27" s="711">
        <f>J27</f>
        <v>102</v>
      </c>
      <c r="X27" s="712"/>
      <c r="Y27" s="3475"/>
      <c r="Z27" s="55" t="str">
        <f>Q27</f>
        <v>公共配套设施</v>
      </c>
      <c r="AA27" s="1537">
        <f>D27/F27</f>
        <v>1</v>
      </c>
      <c r="AB27" s="1537">
        <f>D27/H27</f>
        <v>0.98039215686274506</v>
      </c>
      <c r="AC27" s="1537">
        <f>D27/J27</f>
        <v>0.98039215686274506</v>
      </c>
    </row>
    <row r="28" spans="1:29" s="113" customFormat="1" ht="15">
      <c r="A28" s="605"/>
      <c r="B28" s="415"/>
      <c r="C28" s="2087" t="s">
        <v>3152</v>
      </c>
      <c r="D28" s="407"/>
      <c r="E28" s="2087" t="s">
        <v>3152</v>
      </c>
      <c r="F28" s="407"/>
      <c r="G28" s="2087" t="s">
        <v>3343</v>
      </c>
      <c r="H28" s="407"/>
      <c r="I28" s="2087" t="s">
        <v>3343</v>
      </c>
      <c r="J28" s="407"/>
      <c r="K28" s="628"/>
      <c r="L28" s="2946"/>
      <c r="M28" s="2947"/>
      <c r="N28" s="2947"/>
      <c r="O28" s="3001"/>
      <c r="P28" s="3475"/>
      <c r="Q28" s="1527"/>
      <c r="R28" s="710"/>
      <c r="S28" s="711"/>
      <c r="T28" s="710"/>
      <c r="U28" s="711"/>
      <c r="V28" s="710"/>
      <c r="W28" s="711"/>
      <c r="X28" s="712"/>
      <c r="Y28" s="3475"/>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6"/>
      <c r="M29" s="2947"/>
      <c r="N29" s="2947"/>
      <c r="O29" s="3001"/>
      <c r="P29" s="3475"/>
      <c r="Q29" s="1527" t="str">
        <f t="shared" ref="Q29" si="9">B29</f>
        <v>基础设施水平</v>
      </c>
      <c r="R29" s="710" t="s">
        <v>17</v>
      </c>
      <c r="S29" s="711">
        <f>F29</f>
        <v>100</v>
      </c>
      <c r="T29" s="710" t="s">
        <v>17</v>
      </c>
      <c r="U29" s="711">
        <f>H29</f>
        <v>100</v>
      </c>
      <c r="V29" s="710" t="s">
        <v>17</v>
      </c>
      <c r="W29" s="711">
        <f>J29</f>
        <v>100</v>
      </c>
      <c r="X29" s="712"/>
      <c r="Y29" s="3475"/>
      <c r="Z29" s="55" t="str">
        <f>Q29</f>
        <v>基础设施水平</v>
      </c>
      <c r="AA29" s="1537">
        <f>D29/F29</f>
        <v>1</v>
      </c>
      <c r="AB29" s="1537">
        <f>D29/H29</f>
        <v>1</v>
      </c>
      <c r="AC29" s="1537">
        <f>D29/J29</f>
        <v>1</v>
      </c>
    </row>
    <row r="30" spans="1:29" s="113" customFormat="1" ht="15.75" thickBot="1">
      <c r="A30" s="605"/>
      <c r="B30" s="415"/>
      <c r="C30" s="2164" t="s">
        <v>3155</v>
      </c>
      <c r="D30" s="407"/>
      <c r="E30" s="2164" t="s">
        <v>3155</v>
      </c>
      <c r="F30" s="407"/>
      <c r="G30" s="2164" t="s">
        <v>3155</v>
      </c>
      <c r="H30" s="407"/>
      <c r="I30" s="2164" t="s">
        <v>3155</v>
      </c>
      <c r="J30" s="407"/>
      <c r="K30" s="628"/>
      <c r="L30" s="2946"/>
      <c r="M30" s="2947"/>
      <c r="N30" s="2947"/>
      <c r="O30" s="3001"/>
      <c r="P30" s="3475"/>
      <c r="Q30" s="1527"/>
      <c r="R30" s="710"/>
      <c r="S30" s="711"/>
      <c r="T30" s="710"/>
      <c r="U30" s="711"/>
      <c r="V30" s="710"/>
      <c r="W30" s="711"/>
      <c r="X30" s="712"/>
      <c r="Y30" s="3475"/>
      <c r="Z30" s="55"/>
      <c r="AA30" s="1537">
        <v>1</v>
      </c>
      <c r="AB30" s="1537">
        <v>1</v>
      </c>
      <c r="AC30" s="1537">
        <v>1</v>
      </c>
    </row>
    <row r="31" spans="1:29" ht="15" hidden="1">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475"/>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75"/>
      <c r="Z31" s="1540" t="str">
        <f t="shared" ref="Z31:Z45" si="13">Q31</f>
        <v>临街状况</v>
      </c>
      <c r="AA31" s="1537">
        <f t="shared" si="3"/>
        <v>1</v>
      </c>
      <c r="AB31" s="1537">
        <f t="shared" si="4"/>
        <v>1</v>
      </c>
      <c r="AC31" s="1537">
        <f t="shared" si="5"/>
        <v>1</v>
      </c>
    </row>
    <row r="32" spans="1:29" ht="27" hidden="1">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475"/>
      <c r="Q32" s="1536" t="str">
        <f t="shared" si="8"/>
        <v>毗邻道路的类型与等级</v>
      </c>
      <c r="R32" s="714" t="s">
        <v>17</v>
      </c>
      <c r="S32" s="715">
        <f t="shared" si="10"/>
        <v>100</v>
      </c>
      <c r="T32" s="714" t="s">
        <v>17</v>
      </c>
      <c r="U32" s="715">
        <f t="shared" si="11"/>
        <v>100</v>
      </c>
      <c r="V32" s="714" t="s">
        <v>17</v>
      </c>
      <c r="W32" s="715">
        <f t="shared" si="12"/>
        <v>100</v>
      </c>
      <c r="X32" s="1539"/>
      <c r="Y32" s="3475"/>
      <c r="Z32" s="1540" t="str">
        <f t="shared" si="13"/>
        <v>毗邻道路的类型与等级</v>
      </c>
      <c r="AA32" s="1537">
        <f t="shared" si="3"/>
        <v>1</v>
      </c>
      <c r="AB32" s="1537">
        <f t="shared" si="4"/>
        <v>1</v>
      </c>
      <c r="AC32" s="1537">
        <f t="shared" si="5"/>
        <v>1</v>
      </c>
    </row>
    <row r="33" spans="1:29" ht="15.75" hidden="1" thickBot="1">
      <c r="A33" s="387"/>
      <c r="B33" s="415"/>
      <c r="C33" s="406"/>
      <c r="D33" s="407"/>
      <c r="E33" s="2090"/>
      <c r="F33" s="407"/>
      <c r="G33" s="2090"/>
      <c r="H33" s="407"/>
      <c r="I33" s="406"/>
      <c r="J33" s="407"/>
      <c r="K33" s="570"/>
      <c r="L33" s="2951"/>
      <c r="M33" s="2945"/>
      <c r="N33" s="2945"/>
      <c r="O33" s="3003"/>
      <c r="P33" s="3475"/>
      <c r="Q33" s="1536"/>
      <c r="R33" s="714"/>
      <c r="S33" s="715"/>
      <c r="T33" s="714"/>
      <c r="U33" s="715"/>
      <c r="V33" s="714"/>
      <c r="W33" s="715"/>
      <c r="X33" s="1539"/>
      <c r="Y33" s="3475"/>
      <c r="Z33" s="1540"/>
      <c r="AA33" s="1537">
        <v>1</v>
      </c>
      <c r="AB33" s="1537">
        <v>1</v>
      </c>
      <c r="AC33" s="1537">
        <v>1</v>
      </c>
    </row>
    <row r="34" spans="1:29" ht="15" hidden="1">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475"/>
      <c r="Q34" s="1536" t="str">
        <f t="shared" si="8"/>
        <v>土地级别</v>
      </c>
      <c r="R34" s="714" t="s">
        <v>17</v>
      </c>
      <c r="S34" s="715">
        <f t="shared" si="10"/>
        <v>100</v>
      </c>
      <c r="T34" s="714" t="s">
        <v>17</v>
      </c>
      <c r="U34" s="715">
        <f t="shared" si="11"/>
        <v>100</v>
      </c>
      <c r="V34" s="714" t="s">
        <v>17</v>
      </c>
      <c r="W34" s="715">
        <f t="shared" si="12"/>
        <v>100</v>
      </c>
      <c r="X34" s="1539"/>
      <c r="Y34" s="3475"/>
      <c r="Z34" s="1540" t="str">
        <f t="shared" si="13"/>
        <v>土地级别</v>
      </c>
      <c r="AA34" s="1537">
        <f t="shared" si="3"/>
        <v>1</v>
      </c>
      <c r="AB34" s="1537">
        <f t="shared" si="4"/>
        <v>1</v>
      </c>
      <c r="AC34" s="1537">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475"/>
      <c r="Q35" s="1536">
        <f t="shared" si="8"/>
        <v>111</v>
      </c>
      <c r="R35" s="714" t="s">
        <v>17</v>
      </c>
      <c r="S35" s="715">
        <f t="shared" si="10"/>
        <v>100</v>
      </c>
      <c r="T35" s="714" t="s">
        <v>17</v>
      </c>
      <c r="U35" s="715">
        <f t="shared" si="11"/>
        <v>100</v>
      </c>
      <c r="V35" s="714" t="s">
        <v>17</v>
      </c>
      <c r="W35" s="715">
        <f t="shared" si="12"/>
        <v>100</v>
      </c>
      <c r="X35" s="1539"/>
      <c r="Y35" s="3475"/>
      <c r="Z35" s="1540">
        <f t="shared" si="13"/>
        <v>111</v>
      </c>
      <c r="AA35" s="1537">
        <f t="shared" si="3"/>
        <v>1</v>
      </c>
      <c r="AB35" s="1537">
        <f t="shared" si="4"/>
        <v>1</v>
      </c>
      <c r="AC35" s="1537">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530" t="s">
        <v>2386</v>
      </c>
      <c r="Q36" s="1536">
        <f t="shared" si="8"/>
        <v>111</v>
      </c>
      <c r="R36" s="714" t="s">
        <v>17</v>
      </c>
      <c r="S36" s="715">
        <f t="shared" si="10"/>
        <v>100</v>
      </c>
      <c r="T36" s="714" t="s">
        <v>17</v>
      </c>
      <c r="U36" s="715">
        <f t="shared" si="11"/>
        <v>100</v>
      </c>
      <c r="V36" s="714" t="s">
        <v>17</v>
      </c>
      <c r="W36" s="715">
        <f t="shared" si="12"/>
        <v>100</v>
      </c>
      <c r="X36" s="1539"/>
      <c r="Y36" s="3479" t="s">
        <v>2386</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479"/>
      <c r="Q37" s="1536">
        <f t="shared" si="8"/>
        <v>111</v>
      </c>
      <c r="R37" s="717" t="s">
        <v>17</v>
      </c>
      <c r="S37" s="718">
        <f t="shared" si="10"/>
        <v>100</v>
      </c>
      <c r="T37" s="717" t="s">
        <v>17</v>
      </c>
      <c r="U37" s="718">
        <f t="shared" si="11"/>
        <v>100</v>
      </c>
      <c r="V37" s="717" t="s">
        <v>17</v>
      </c>
      <c r="W37" s="718">
        <f t="shared" si="12"/>
        <v>100</v>
      </c>
      <c r="X37" s="719"/>
      <c r="Y37" s="3479"/>
      <c r="Z37" s="720">
        <f t="shared" si="13"/>
        <v>111</v>
      </c>
      <c r="AA37" s="1537">
        <f t="shared" si="3"/>
        <v>1</v>
      </c>
      <c r="AB37" s="1537">
        <f t="shared" si="4"/>
        <v>1</v>
      </c>
      <c r="AC37" s="1537">
        <f t="shared" si="5"/>
        <v>1</v>
      </c>
    </row>
    <row r="38" spans="1:29" ht="15">
      <c r="A38" s="431" t="s">
        <v>2384</v>
      </c>
      <c r="B38" s="415" t="s">
        <v>2572</v>
      </c>
      <c r="C38" s="635">
        <f>土地案例!D8</f>
        <v>47741.4</v>
      </c>
      <c r="D38" s="426">
        <v>100</v>
      </c>
      <c r="E38" s="635">
        <f>土地案例!D3</f>
        <v>100346.5</v>
      </c>
      <c r="F38" s="426">
        <f>LOOKUP(E38,117:117,118:118)-LOOKUP(C38,117:117,118:118)+100</f>
        <v>103</v>
      </c>
      <c r="G38" s="635">
        <f>土地案例!D6</f>
        <v>8114.3</v>
      </c>
      <c r="H38" s="426">
        <f>LOOKUP(G38,117:117,118:118)-LOOKUP(C38,117:117,118:118)+100</f>
        <v>98</v>
      </c>
      <c r="I38" s="487">
        <f>土地案例!D7</f>
        <v>15108.1</v>
      </c>
      <c r="J38" s="426">
        <f>LOOKUP(I38,117:117,118:118)-LOOKUP(C38,117:117,118:118)+100</f>
        <v>98</v>
      </c>
      <c r="K38" s="570"/>
      <c r="L38" s="2951"/>
      <c r="M38" s="2945"/>
      <c r="N38" s="2945"/>
      <c r="O38" s="3003"/>
      <c r="P38" s="3479"/>
      <c r="Q38" s="1536" t="str">
        <f>B38</f>
        <v>宗地面积</v>
      </c>
      <c r="R38" s="714" t="s">
        <v>17</v>
      </c>
      <c r="S38" s="715">
        <f t="shared" si="10"/>
        <v>103</v>
      </c>
      <c r="T38" s="714" t="s">
        <v>17</v>
      </c>
      <c r="U38" s="715">
        <f t="shared" si="11"/>
        <v>98</v>
      </c>
      <c r="V38" s="714" t="s">
        <v>17</v>
      </c>
      <c r="W38" s="715">
        <f t="shared" si="12"/>
        <v>98</v>
      </c>
      <c r="X38" s="1539"/>
      <c r="Y38" s="3479"/>
      <c r="Z38" s="1540" t="str">
        <f t="shared" si="13"/>
        <v>宗地面积</v>
      </c>
      <c r="AA38" s="1537">
        <f t="shared" si="3"/>
        <v>0.970873786407767</v>
      </c>
      <c r="AB38" s="1537">
        <f t="shared" si="4"/>
        <v>1.0204081632653061</v>
      </c>
      <c r="AC38" s="1537">
        <f t="shared" si="5"/>
        <v>1.0204081632653061</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479"/>
      <c r="Q39" s="1536" t="str">
        <f t="shared" ref="Q39:Q45" si="14">B39</f>
        <v>宗地形状</v>
      </c>
      <c r="R39" s="714" t="s">
        <v>17</v>
      </c>
      <c r="S39" s="715">
        <f t="shared" si="10"/>
        <v>100</v>
      </c>
      <c r="T39" s="714" t="s">
        <v>17</v>
      </c>
      <c r="U39" s="715">
        <f t="shared" si="11"/>
        <v>100</v>
      </c>
      <c r="V39" s="714" t="s">
        <v>17</v>
      </c>
      <c r="W39" s="715">
        <f t="shared" si="12"/>
        <v>100</v>
      </c>
      <c r="X39" s="1539"/>
      <c r="Y39" s="3479"/>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479"/>
      <c r="Q40" s="1536" t="str">
        <f t="shared" si="14"/>
        <v>临街宽度及深度</v>
      </c>
      <c r="R40" s="714" t="s">
        <v>17</v>
      </c>
      <c r="S40" s="715">
        <f t="shared" si="10"/>
        <v>100</v>
      </c>
      <c r="T40" s="714" t="s">
        <v>17</v>
      </c>
      <c r="U40" s="715">
        <f t="shared" si="11"/>
        <v>100</v>
      </c>
      <c r="V40" s="714" t="s">
        <v>17</v>
      </c>
      <c r="W40" s="715">
        <f t="shared" si="12"/>
        <v>100</v>
      </c>
      <c r="X40" s="1539"/>
      <c r="Y40" s="3479"/>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479"/>
      <c r="Q41" s="1536" t="str">
        <f t="shared" si="14"/>
        <v>宗地开发程度</v>
      </c>
      <c r="R41" s="710" t="s">
        <v>17</v>
      </c>
      <c r="S41" s="711">
        <f t="shared" si="10"/>
        <v>100</v>
      </c>
      <c r="T41" s="710" t="s">
        <v>17</v>
      </c>
      <c r="U41" s="711">
        <f t="shared" si="11"/>
        <v>100</v>
      </c>
      <c r="V41" s="710" t="s">
        <v>17</v>
      </c>
      <c r="W41" s="711">
        <f t="shared" si="12"/>
        <v>100</v>
      </c>
      <c r="X41" s="712"/>
      <c r="Y41" s="3479"/>
      <c r="Z41" s="55" t="str">
        <f t="shared" si="13"/>
        <v>宗地开发程度</v>
      </c>
      <c r="AA41" s="713">
        <f t="shared" si="3"/>
        <v>1</v>
      </c>
      <c r="AB41" s="713">
        <f t="shared" si="4"/>
        <v>1</v>
      </c>
      <c r="AC41" s="713">
        <f t="shared" si="5"/>
        <v>1</v>
      </c>
    </row>
    <row r="42" spans="1:29" ht="15.75" thickBot="1">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479" t="s">
        <v>2386</v>
      </c>
      <c r="Q42" s="1536" t="str">
        <f t="shared" si="14"/>
        <v>工程地质条件</v>
      </c>
      <c r="R42" s="714" t="s">
        <v>17</v>
      </c>
      <c r="S42" s="715">
        <f t="shared" si="10"/>
        <v>100</v>
      </c>
      <c r="T42" s="714" t="s">
        <v>17</v>
      </c>
      <c r="U42" s="715">
        <f t="shared" si="11"/>
        <v>100</v>
      </c>
      <c r="V42" s="714" t="s">
        <v>17</v>
      </c>
      <c r="W42" s="715">
        <f t="shared" si="12"/>
        <v>100</v>
      </c>
      <c r="X42" s="1539"/>
      <c r="Y42" s="3479" t="s">
        <v>2386</v>
      </c>
      <c r="Z42" s="1540" t="str">
        <f t="shared" si="13"/>
        <v>工程地质条件</v>
      </c>
      <c r="AA42" s="1537">
        <f t="shared" si="3"/>
        <v>1</v>
      </c>
      <c r="AB42" s="1537">
        <f t="shared" si="4"/>
        <v>1</v>
      </c>
      <c r="AC42" s="1537">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479"/>
      <c r="Q43" s="1536">
        <f t="shared" si="14"/>
        <v>111</v>
      </c>
      <c r="R43" s="714" t="s">
        <v>17</v>
      </c>
      <c r="S43" s="715">
        <f t="shared" si="10"/>
        <v>100</v>
      </c>
      <c r="T43" s="714" t="s">
        <v>17</v>
      </c>
      <c r="U43" s="715">
        <f t="shared" si="11"/>
        <v>100</v>
      </c>
      <c r="V43" s="714" t="s">
        <v>17</v>
      </c>
      <c r="W43" s="715">
        <f t="shared" si="12"/>
        <v>100</v>
      </c>
      <c r="X43" s="1539"/>
      <c r="Y43" s="3479"/>
      <c r="Z43" s="1540">
        <f t="shared" si="13"/>
        <v>111</v>
      </c>
      <c r="AA43" s="1537">
        <f t="shared" si="3"/>
        <v>1</v>
      </c>
      <c r="AB43" s="1537">
        <f t="shared" si="4"/>
        <v>1</v>
      </c>
      <c r="AC43" s="1537">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479"/>
      <c r="Q44" s="1536">
        <f t="shared" si="14"/>
        <v>111</v>
      </c>
      <c r="R44" s="714" t="s">
        <v>17</v>
      </c>
      <c r="S44" s="715">
        <f t="shared" si="10"/>
        <v>100</v>
      </c>
      <c r="T44" s="714" t="s">
        <v>17</v>
      </c>
      <c r="U44" s="715">
        <f t="shared" si="11"/>
        <v>100</v>
      </c>
      <c r="V44" s="714" t="s">
        <v>17</v>
      </c>
      <c r="W44" s="715">
        <f t="shared" si="12"/>
        <v>100</v>
      </c>
      <c r="X44" s="1539"/>
      <c r="Y44" s="3479"/>
      <c r="Z44" s="1540">
        <f t="shared" si="13"/>
        <v>111</v>
      </c>
      <c r="AA44" s="1537">
        <f t="shared" si="3"/>
        <v>1</v>
      </c>
      <c r="AB44" s="1537">
        <f t="shared" si="4"/>
        <v>1</v>
      </c>
      <c r="AC44" s="1537">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479"/>
      <c r="Q45" s="1536">
        <f t="shared" si="14"/>
        <v>111</v>
      </c>
      <c r="R45" s="717" t="s">
        <v>17</v>
      </c>
      <c r="S45" s="718">
        <f t="shared" si="10"/>
        <v>100</v>
      </c>
      <c r="T45" s="717" t="s">
        <v>17</v>
      </c>
      <c r="U45" s="718">
        <f t="shared" si="11"/>
        <v>100</v>
      </c>
      <c r="V45" s="717" t="s">
        <v>17</v>
      </c>
      <c r="W45" s="718">
        <f t="shared" si="12"/>
        <v>100</v>
      </c>
      <c r="X45" s="719"/>
      <c r="Y45" s="3479"/>
      <c r="Z45" s="720">
        <f t="shared" si="13"/>
        <v>111</v>
      </c>
      <c r="AA45" s="1537">
        <f t="shared" si="3"/>
        <v>1</v>
      </c>
      <c r="AB45" s="1537">
        <f t="shared" si="4"/>
        <v>1</v>
      </c>
      <c r="AC45" s="1537">
        <f t="shared" si="5"/>
        <v>1</v>
      </c>
    </row>
    <row r="46" spans="1:29" ht="15">
      <c r="A46" s="438" t="s">
        <v>2541</v>
      </c>
      <c r="B46" s="2168" t="s">
        <v>3154</v>
      </c>
      <c r="C46" s="638" t="s">
        <v>1</v>
      </c>
      <c r="D46" s="440"/>
      <c r="E46" s="441">
        <v>3044</v>
      </c>
      <c r="F46" s="442"/>
      <c r="G46" s="443">
        <v>2831</v>
      </c>
      <c r="H46" s="444"/>
      <c r="I46" s="441">
        <v>2820</v>
      </c>
      <c r="J46" s="444"/>
      <c r="K46" s="723"/>
      <c r="L46" s="2953"/>
      <c r="M46" s="2954"/>
      <c r="N46" s="2945"/>
      <c r="O46" s="2954"/>
      <c r="P46" s="3472" t="str">
        <f>A46</f>
        <v>成交单价</v>
      </c>
      <c r="Q46" s="3472"/>
      <c r="R46" s="3503">
        <f>E46</f>
        <v>3044</v>
      </c>
      <c r="S46" s="3503"/>
      <c r="T46" s="3503">
        <f>G46</f>
        <v>2831</v>
      </c>
      <c r="U46" s="3503"/>
      <c r="V46" s="3503">
        <f>I46</f>
        <v>2820</v>
      </c>
      <c r="W46" s="3503"/>
      <c r="X46" s="699"/>
      <c r="Y46" s="721"/>
      <c r="Z46" s="699"/>
      <c r="AA46" s="699"/>
      <c r="AB46" s="699"/>
      <c r="AC46" s="699"/>
    </row>
    <row r="47" spans="1:29" ht="15.75" thickBot="1">
      <c r="A47" s="445" t="s">
        <v>2490</v>
      </c>
      <c r="B47" s="639"/>
      <c r="C47" s="448">
        <f>R48</f>
        <v>2566</v>
      </c>
      <c r="D47" s="2538" t="s">
        <v>2879</v>
      </c>
      <c r="E47" s="448">
        <f>R47</f>
        <v>2702</v>
      </c>
      <c r="F47" s="2539"/>
      <c r="G47" s="447">
        <f>T47</f>
        <v>2503</v>
      </c>
      <c r="H47" s="2539"/>
      <c r="I47" s="448">
        <f>V47</f>
        <v>2493</v>
      </c>
      <c r="J47" s="2539"/>
      <c r="K47" s="2541">
        <f>F47+H47+J47</f>
        <v>0</v>
      </c>
      <c r="L47" s="2953"/>
      <c r="M47" s="2954"/>
      <c r="N47" s="2954"/>
      <c r="O47" s="2954"/>
      <c r="P47" s="3472" t="str">
        <f>A47</f>
        <v>比较价值（元/平方米）</v>
      </c>
      <c r="Q47" s="3472"/>
      <c r="R47" s="3532">
        <f>ROUND(PRODUCT(R46,AA7:AA45),0)</f>
        <v>2702</v>
      </c>
      <c r="S47" s="3532"/>
      <c r="T47" s="3532">
        <f>ROUND(PRODUCT(T46,AB7:AB45),0)</f>
        <v>2503</v>
      </c>
      <c r="U47" s="3532"/>
      <c r="V47" s="3532">
        <f>ROUND(PRODUCT(V46,AC7:AC45),0)</f>
        <v>2493</v>
      </c>
      <c r="W47" s="3532"/>
      <c r="X47" s="699"/>
      <c r="Y47" s="699"/>
      <c r="Z47" s="699"/>
      <c r="AA47" s="699"/>
      <c r="AB47" s="699"/>
      <c r="AC47" s="699"/>
    </row>
    <row r="48" spans="1:29" ht="15.75" thickBot="1">
      <c r="A48" s="449" t="s">
        <v>2577</v>
      </c>
      <c r="B48" s="450"/>
      <c r="C48" s="451">
        <f>R48</f>
        <v>2566</v>
      </c>
      <c r="D48" s="451"/>
      <c r="E48" s="451"/>
      <c r="F48" s="451"/>
      <c r="G48" s="451"/>
      <c r="H48" s="451"/>
      <c r="I48" s="451"/>
      <c r="J48" s="451"/>
      <c r="K48" s="724"/>
      <c r="L48" s="2953"/>
      <c r="M48" s="2954"/>
      <c r="N48" s="2954"/>
      <c r="O48" s="2954"/>
      <c r="P48" s="3469" t="str">
        <f>A48</f>
        <v>估价对象XX用房的比较价值（楼面单价，元/平方米）</v>
      </c>
      <c r="Q48" s="3470"/>
      <c r="R48" s="3533">
        <f>ROUND(IF(D47="简单平均",AVERAGE(R47:W47),R47*F47+T47*H47+V47*J47),0)</f>
        <v>2566</v>
      </c>
      <c r="S48" s="3533"/>
      <c r="T48" s="3533"/>
      <c r="U48" s="3533"/>
      <c r="V48" s="3533"/>
      <c r="W48" s="353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f>IF(E46&lt;E47,E47/E46-1,E46/E47-1)</f>
        <v>0.12657290895632856</v>
      </c>
      <c r="F51" s="457" t="str">
        <f>IF(OR(E51&gt;=0.3,E51&lt;=-0.3),"超过30%","")</f>
        <v/>
      </c>
      <c r="G51" s="456">
        <f>IF(G46&lt;G47,G47/G46-1,G46/G47-1)</f>
        <v>0.13104274870155819</v>
      </c>
      <c r="H51" s="457" t="str">
        <f>IF(OR(G51&gt;=0.3,G51&lt;=-0.3),"超过30%","")</f>
        <v/>
      </c>
      <c r="I51" s="456">
        <f>IF(I46&lt;I47,I47/I46-1,I46/I47-1)</f>
        <v>0.13116726835138381</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f>IF(E47&lt;G47,G47/E47-1,E47/G47-1)</f>
        <v>7.9504594486615954E-2</v>
      </c>
      <c r="F52" s="457" t="str">
        <f>IF(OR(E52&gt;=0.2,E52&lt;=-0.2),"超过20%","")</f>
        <v/>
      </c>
      <c r="G52" s="456">
        <f>IF(G47&lt;I47,I47/G47-1,G47/I47-1)</f>
        <v>4.0112314480544864E-3</v>
      </c>
      <c r="H52" s="457" t="str">
        <f>IF(OR(G52&gt;=0.2,G52&lt;=-0.2),"超过20%","")</f>
        <v/>
      </c>
      <c r="I52" s="456">
        <f>IF(I47&lt;E47,E47/I47-1,I47/E47-1)</f>
        <v>8.3834737264340209E-2</v>
      </c>
      <c r="J52" s="457"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f>IF(E46&lt;G46,G46/E46-1,E46/G46-1)</f>
        <v>7.5238431649593762E-2</v>
      </c>
      <c r="F53" s="457" t="str">
        <f>IF(OR(E53&gt;=0.3,E53&lt;=-0.3),"超过30%","")</f>
        <v/>
      </c>
      <c r="G53" s="456">
        <f>IF(G46&lt;I46,I46/G46-1,G46/I46-1)</f>
        <v>3.9007092198581894E-3</v>
      </c>
      <c r="H53" s="457" t="str">
        <f>IF(OR(G53&gt;=0.3,G53&lt;=-0.3),"超过30%","")</f>
        <v/>
      </c>
      <c r="I53" s="456">
        <f>IF(I46&lt;E46,E46/I46-1,I46/E46-1)</f>
        <v>7.943262411347507E-2</v>
      </c>
      <c r="J53" s="457"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2578</v>
      </c>
      <c r="B55" s="641" t="s">
        <v>2579</v>
      </c>
      <c r="C55" s="2169" t="s">
        <v>2580</v>
      </c>
      <c r="D55" s="2170" t="s">
        <v>2581</v>
      </c>
      <c r="E55" s="642" t="s">
        <v>2582</v>
      </c>
      <c r="F55" s="1021" t="s">
        <v>2583</v>
      </c>
      <c r="G55" s="3487" t="s">
        <v>2584</v>
      </c>
      <c r="H55" s="3534"/>
      <c r="I55" s="140"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2587</v>
      </c>
      <c r="B56" s="645">
        <f>C48</f>
        <v>2566</v>
      </c>
      <c r="C56" s="646">
        <v>1</v>
      </c>
      <c r="D56" s="1075">
        <v>1</v>
      </c>
      <c r="E56" s="646">
        <f>'数据-汇总表'!E8+'数据-汇总表'!E9</f>
        <v>100347.12000000002</v>
      </c>
      <c r="F56" s="1017">
        <f t="shared" ref="F56:F65" si="15">ROUND(B56*E56/10000,0)</f>
        <v>25749</v>
      </c>
      <c r="G56" s="3483"/>
      <c r="H56" s="3472"/>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2588</v>
      </c>
      <c r="B57" s="224">
        <f>ROUND($C$48*C57*D57,0)</f>
        <v>0</v>
      </c>
      <c r="C57" s="176">
        <f t="shared" ref="C57:C65" si="16">IF($C$55="北京市系数",I57,J57)</f>
        <v>0</v>
      </c>
      <c r="D57" s="1076">
        <v>0.25</v>
      </c>
      <c r="E57" s="650"/>
      <c r="F57" s="1017">
        <f t="shared" si="15"/>
        <v>0</v>
      </c>
      <c r="G57" s="3535" t="s">
        <v>2589</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2590</v>
      </c>
      <c r="B58" s="224">
        <f t="shared" ref="B58:B65" si="17">ROUND($C$48*C58*D58,0)</f>
        <v>0</v>
      </c>
      <c r="C58" s="176">
        <f t="shared" si="16"/>
        <v>0</v>
      </c>
      <c r="D58" s="1076">
        <v>0.25</v>
      </c>
      <c r="E58" s="650"/>
      <c r="F58" s="1017">
        <f t="shared" si="15"/>
        <v>0</v>
      </c>
      <c r="G58" s="3535"/>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2591</v>
      </c>
      <c r="B59" s="224">
        <f t="shared" si="17"/>
        <v>0</v>
      </c>
      <c r="C59" s="176">
        <f t="shared" si="16"/>
        <v>0</v>
      </c>
      <c r="D59" s="1076">
        <v>0.25</v>
      </c>
      <c r="E59" s="650"/>
      <c r="F59" s="1017">
        <f t="shared" si="15"/>
        <v>0</v>
      </c>
      <c r="G59" s="3535"/>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2592</v>
      </c>
      <c r="B60" s="224">
        <f t="shared" si="17"/>
        <v>0</v>
      </c>
      <c r="C60" s="176">
        <f t="shared" si="16"/>
        <v>0</v>
      </c>
      <c r="D60" s="1076">
        <v>0.25</v>
      </c>
      <c r="E60" s="650"/>
      <c r="F60" s="1017">
        <f t="shared" si="15"/>
        <v>0</v>
      </c>
      <c r="G60" s="3535"/>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2593</v>
      </c>
      <c r="B61" s="224">
        <f t="shared" si="17"/>
        <v>0</v>
      </c>
      <c r="C61" s="176">
        <f t="shared" si="16"/>
        <v>0</v>
      </c>
      <c r="D61" s="1076">
        <v>0.25</v>
      </c>
      <c r="E61" s="223">
        <f>'数据-汇总表'!E11</f>
        <v>0</v>
      </c>
      <c r="F61" s="1017">
        <f t="shared" si="15"/>
        <v>0</v>
      </c>
      <c r="G61" s="2173" t="s">
        <v>2594</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2595</v>
      </c>
      <c r="B62" s="224">
        <f t="shared" si="17"/>
        <v>0</v>
      </c>
      <c r="C62" s="176">
        <f t="shared" si="16"/>
        <v>0</v>
      </c>
      <c r="D62" s="1076">
        <v>0.25</v>
      </c>
      <c r="E62" s="223">
        <f>'数据-汇总表'!E12</f>
        <v>0</v>
      </c>
      <c r="F62" s="1017">
        <f t="shared" si="15"/>
        <v>0</v>
      </c>
      <c r="G62" s="1023" t="s">
        <v>2596</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2597</v>
      </c>
      <c r="B63" s="224">
        <f t="shared" si="17"/>
        <v>0</v>
      </c>
      <c r="C63" s="176">
        <f t="shared" si="16"/>
        <v>0</v>
      </c>
      <c r="D63" s="1076">
        <v>0.25</v>
      </c>
      <c r="E63" s="223">
        <f>'数据-汇总表'!E13</f>
        <v>0</v>
      </c>
      <c r="F63" s="1017">
        <f t="shared" si="15"/>
        <v>0</v>
      </c>
      <c r="G63" s="1023" t="s">
        <v>2598</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2599</v>
      </c>
      <c r="B64" s="224">
        <f t="shared" si="17"/>
        <v>0</v>
      </c>
      <c r="C64" s="176">
        <f t="shared" si="16"/>
        <v>0</v>
      </c>
      <c r="D64" s="1076">
        <v>0.25</v>
      </c>
      <c r="E64" s="223">
        <f>'数据-汇总表'!E14</f>
        <v>0</v>
      </c>
      <c r="F64" s="1017">
        <f t="shared" si="15"/>
        <v>0</v>
      </c>
      <c r="G64" s="2173" t="s">
        <v>2589</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2600</v>
      </c>
      <c r="B65" s="224">
        <f t="shared" si="17"/>
        <v>0</v>
      </c>
      <c r="C65" s="176">
        <f t="shared" si="16"/>
        <v>0</v>
      </c>
      <c r="D65" s="1076">
        <v>0.25</v>
      </c>
      <c r="E65" s="223">
        <f>'数据-汇总表'!E15</f>
        <v>0</v>
      </c>
      <c r="F65" s="1017">
        <f t="shared" si="15"/>
        <v>0</v>
      </c>
      <c r="G65" s="2174" t="s">
        <v>2594</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2601</v>
      </c>
      <c r="B66" s="652" t="s">
        <v>28</v>
      </c>
      <c r="C66" s="652" t="s">
        <v>29</v>
      </c>
      <c r="D66" s="652" t="s">
        <v>997</v>
      </c>
      <c r="E66" s="652">
        <f>IF(B46="楼面地价",SUM(E56:E65),'数据-汇总表'!D3)</f>
        <v>100347.12000000002</v>
      </c>
      <c r="F66" s="653">
        <f>IF(B46="楼面地价",SUM(F56:F65),ROUND(C48*E66/10000,0))</f>
        <v>25749</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2021-8-1</v>
      </c>
      <c r="D68" s="701">
        <f>EDATE(C68,-3)</f>
        <v>44317</v>
      </c>
      <c r="E68" s="701">
        <f>EDATE(D68,-3)</f>
        <v>44228</v>
      </c>
      <c r="F68" s="701">
        <f t="shared" ref="F68:O68" si="18">EDATE(E68,-3)</f>
        <v>44136</v>
      </c>
      <c r="G68" s="701">
        <f t="shared" si="18"/>
        <v>44044</v>
      </c>
      <c r="H68" s="701">
        <f t="shared" si="18"/>
        <v>43952</v>
      </c>
      <c r="I68" s="701">
        <f t="shared" si="18"/>
        <v>43862</v>
      </c>
      <c r="J68" s="701">
        <f t="shared" si="18"/>
        <v>43770</v>
      </c>
      <c r="K68" s="701">
        <f t="shared" si="18"/>
        <v>43678</v>
      </c>
      <c r="L68" s="701">
        <f t="shared" si="18"/>
        <v>43586</v>
      </c>
      <c r="M68" s="701">
        <f t="shared" si="18"/>
        <v>43497</v>
      </c>
      <c r="N68" s="701">
        <f t="shared" si="18"/>
        <v>43405</v>
      </c>
      <c r="O68" s="701">
        <f t="shared" si="18"/>
        <v>43313</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2602</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1343</v>
      </c>
      <c r="B71" s="294" t="str">
        <f>"北京市平均增长率"&amp;TEXT(SUMIF(基准地价修正!N21:N25,A71,基准地价修正!P21:P25),"0.00%")</f>
        <v>北京市平均增长率1.07%</v>
      </c>
      <c r="C71" s="560">
        <v>100</v>
      </c>
      <c r="D71" s="552">
        <v>99.5</v>
      </c>
      <c r="E71" s="552">
        <v>99</v>
      </c>
      <c r="F71" s="552">
        <v>98.5</v>
      </c>
      <c r="G71" s="552">
        <v>98</v>
      </c>
      <c r="H71" s="552">
        <v>97.5</v>
      </c>
      <c r="I71" s="552">
        <v>97</v>
      </c>
      <c r="J71" s="552">
        <v>96.5</v>
      </c>
      <c r="K71" s="552">
        <v>96</v>
      </c>
      <c r="L71" s="552">
        <v>95.5</v>
      </c>
      <c r="M71" s="552">
        <v>95</v>
      </c>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0（含）-1</v>
      </c>
      <c r="D79" s="504" t="str">
        <f t="shared" ref="D79:L79" si="20">D80&amp;"（含）"&amp;"-"&amp;E80</f>
        <v>1（含）-2</v>
      </c>
      <c r="E79" s="504" t="str">
        <f t="shared" si="20"/>
        <v>2（含）-3</v>
      </c>
      <c r="F79" s="504" t="str">
        <f t="shared" si="20"/>
        <v>3（含）-5</v>
      </c>
      <c r="G79" s="504" t="str">
        <f t="shared" si="20"/>
        <v>5（含）-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v>5</v>
      </c>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90</v>
      </c>
      <c r="E81" s="501">
        <f t="shared" si="21"/>
        <v>80</v>
      </c>
      <c r="F81" s="501">
        <f t="shared" si="21"/>
        <v>70</v>
      </c>
      <c r="G81" s="501">
        <f t="shared" si="21"/>
        <v>60</v>
      </c>
      <c r="H81" s="501">
        <f t="shared" si="21"/>
        <v>50</v>
      </c>
      <c r="I81" s="501">
        <f t="shared" si="21"/>
        <v>40</v>
      </c>
      <c r="J81" s="501">
        <f t="shared" si="21"/>
        <v>30</v>
      </c>
      <c r="K81" s="501">
        <f t="shared" si="21"/>
        <v>20</v>
      </c>
      <c r="L81" s="501">
        <f t="shared" si="21"/>
        <v>10</v>
      </c>
      <c r="M81" s="501">
        <f t="shared" si="21"/>
        <v>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2603</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97</v>
      </c>
      <c r="E91" s="501">
        <f>D91-$K17</f>
        <v>94</v>
      </c>
      <c r="F91" s="501">
        <f>E91-$K17</f>
        <v>91</v>
      </c>
      <c r="G91" s="501">
        <f>F91-$K17</f>
        <v>88</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98</v>
      </c>
      <c r="E95" s="501">
        <f>D95-$K21</f>
        <v>96</v>
      </c>
      <c r="F95" s="501">
        <f>E95-$K21</f>
        <v>94</v>
      </c>
      <c r="G95" s="501">
        <f>F95-$K21</f>
        <v>92</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2604</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2605</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2384</v>
      </c>
      <c r="B116" s="485" t="s">
        <v>2610</v>
      </c>
      <c r="C116" s="486" t="str">
        <f>C117&amp;"(含)"&amp;"-"&amp;D117</f>
        <v>0(含)-20000</v>
      </c>
      <c r="D116" s="486" t="str">
        <f t="shared" ref="D116:M116" si="25">D117&amp;"(含)"&amp;"-"&amp;E117</f>
        <v>20000(含)-40000</v>
      </c>
      <c r="E116" s="486" t="str">
        <f t="shared" si="25"/>
        <v>40000(含)-60000</v>
      </c>
      <c r="F116" s="486" t="str">
        <f t="shared" si="25"/>
        <v>60000(含)-80000</v>
      </c>
      <c r="G116" s="486" t="str">
        <f t="shared" si="25"/>
        <v>80000(含)-100000</v>
      </c>
      <c r="H116" s="486" t="str">
        <f t="shared" si="25"/>
        <v>100000(含)-120000</v>
      </c>
      <c r="I116" s="486" t="str">
        <f t="shared" si="25"/>
        <v>120000(含)-140000</v>
      </c>
      <c r="J116" s="486" t="str">
        <f t="shared" si="25"/>
        <v>140000(含)-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20000</v>
      </c>
      <c r="E117" s="552">
        <v>40000</v>
      </c>
      <c r="F117" s="552">
        <v>60000</v>
      </c>
      <c r="G117" s="552">
        <v>80000</v>
      </c>
      <c r="H117" s="552">
        <v>100000</v>
      </c>
      <c r="I117" s="552">
        <v>120000</v>
      </c>
      <c r="J117" s="552">
        <v>140000</v>
      </c>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101</v>
      </c>
      <c r="E118" s="527">
        <v>102</v>
      </c>
      <c r="F118" s="548">
        <v>103</v>
      </c>
      <c r="G118" s="527">
        <v>104</v>
      </c>
      <c r="H118" s="548">
        <v>105</v>
      </c>
      <c r="I118" s="527">
        <v>106</v>
      </c>
      <c r="J118" s="548">
        <v>107</v>
      </c>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2611</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2612</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2613</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2614</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2615</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487" t="s">
        <v>2467</v>
      </c>
      <c r="D4" s="3488"/>
      <c r="E4" s="3489" t="s">
        <v>2468</v>
      </c>
      <c r="F4" s="3490"/>
      <c r="G4" s="3487" t="s">
        <v>2469</v>
      </c>
      <c r="H4" s="3488"/>
      <c r="I4" s="3487" t="s">
        <v>2470</v>
      </c>
      <c r="J4" s="3488"/>
      <c r="K4" s="567" t="s">
        <v>2471</v>
      </c>
      <c r="L4" s="2944"/>
      <c r="M4" s="2945"/>
      <c r="N4" s="2945"/>
      <c r="O4" s="2945"/>
      <c r="P4" s="3491" t="s">
        <v>2472</v>
      </c>
      <c r="Q4" s="3492"/>
      <c r="R4" s="3497" t="s">
        <v>2468</v>
      </c>
      <c r="S4" s="3498"/>
      <c r="T4" s="3497" t="s">
        <v>2469</v>
      </c>
      <c r="U4" s="3498"/>
      <c r="V4" s="3503" t="s">
        <v>2470</v>
      </c>
      <c r="W4" s="3503"/>
      <c r="X4" s="1539"/>
      <c r="Y4" s="3497" t="s">
        <v>2472</v>
      </c>
      <c r="Z4" s="3498"/>
      <c r="AA4" s="3484" t="s">
        <v>2468</v>
      </c>
      <c r="AB4" s="3485" t="s">
        <v>2469</v>
      </c>
      <c r="AC4" s="3484" t="s">
        <v>2470</v>
      </c>
    </row>
    <row r="5" spans="1:29" ht="15">
      <c r="A5" s="364"/>
      <c r="B5" s="365"/>
      <c r="C5" s="3506" t="s">
        <v>2363</v>
      </c>
      <c r="D5" s="3507"/>
      <c r="E5" s="3513" t="s">
        <v>2364</v>
      </c>
      <c r="F5" s="3514"/>
      <c r="G5" s="3506" t="s">
        <v>2365</v>
      </c>
      <c r="H5" s="3507"/>
      <c r="I5" s="3506" t="s">
        <v>2366</v>
      </c>
      <c r="J5" s="3507"/>
      <c r="K5" s="567"/>
      <c r="L5" s="2944"/>
      <c r="M5" s="2945"/>
      <c r="N5" s="2945"/>
      <c r="O5" s="2945"/>
      <c r="P5" s="3493"/>
      <c r="Q5" s="3494"/>
      <c r="R5" s="3499"/>
      <c r="S5" s="3500"/>
      <c r="T5" s="3499"/>
      <c r="U5" s="3500"/>
      <c r="V5" s="3503"/>
      <c r="W5" s="3503"/>
      <c r="X5" s="1539"/>
      <c r="Y5" s="3499"/>
      <c r="Z5" s="3500"/>
      <c r="AA5" s="3485"/>
      <c r="AB5" s="3485"/>
      <c r="AC5" s="3485"/>
    </row>
    <row r="6" spans="1:29" ht="15.75" thickBot="1">
      <c r="A6" s="366"/>
      <c r="B6" s="367"/>
      <c r="C6" s="3536" t="s">
        <v>2616</v>
      </c>
      <c r="D6" s="3537"/>
      <c r="E6" s="3538" t="s">
        <v>2616</v>
      </c>
      <c r="F6" s="3539"/>
      <c r="G6" s="3536" t="s">
        <v>2616</v>
      </c>
      <c r="H6" s="3537"/>
      <c r="I6" s="3536" t="s">
        <v>2616</v>
      </c>
      <c r="J6" s="3537"/>
      <c r="K6" s="567" t="s">
        <v>2368</v>
      </c>
      <c r="L6" s="2944"/>
      <c r="M6" s="2945"/>
      <c r="N6" s="2945"/>
      <c r="O6" s="2945"/>
      <c r="P6" s="3495"/>
      <c r="Q6" s="3496"/>
      <c r="R6" s="3499"/>
      <c r="S6" s="3500"/>
      <c r="T6" s="3501"/>
      <c r="U6" s="3502"/>
      <c r="V6" s="3503"/>
      <c r="W6" s="3503"/>
      <c r="X6" s="1539"/>
      <c r="Y6" s="3501"/>
      <c r="Z6" s="3502"/>
      <c r="AA6" s="3486"/>
      <c r="AB6" s="3486"/>
      <c r="AC6" s="3486"/>
    </row>
    <row r="7" spans="1:29" s="113" customFormat="1" ht="15.75" thickBot="1">
      <c r="A7" s="368" t="s">
        <v>2369</v>
      </c>
      <c r="B7" s="369"/>
      <c r="C7" s="370">
        <f>'数据-取费表'!B2</f>
        <v>44411</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508" t="s">
        <v>2370</v>
      </c>
      <c r="Q7" s="3510"/>
      <c r="R7" s="710" t="s">
        <v>17</v>
      </c>
      <c r="S7" s="711">
        <f t="shared" ref="S7:S15" si="0">F7</f>
        <v>0</v>
      </c>
      <c r="T7" s="710" t="s">
        <v>17</v>
      </c>
      <c r="U7" s="711">
        <f t="shared" ref="U7:U15" si="1">H7</f>
        <v>0</v>
      </c>
      <c r="V7" s="710" t="s">
        <v>17</v>
      </c>
      <c r="W7" s="711">
        <f t="shared" ref="W7:W15" si="2">J7</f>
        <v>0</v>
      </c>
      <c r="X7" s="712"/>
      <c r="Y7" s="3508" t="s">
        <v>2370</v>
      </c>
      <c r="Z7" s="350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508" t="s">
        <v>2373</v>
      </c>
      <c r="Q8" s="3509"/>
      <c r="R8" s="710" t="s">
        <v>17</v>
      </c>
      <c r="S8" s="711">
        <f t="shared" si="0"/>
        <v>0</v>
      </c>
      <c r="T8" s="710" t="s">
        <v>17</v>
      </c>
      <c r="U8" s="711">
        <f t="shared" si="1"/>
        <v>0</v>
      </c>
      <c r="V8" s="710" t="s">
        <v>17</v>
      </c>
      <c r="W8" s="711">
        <f t="shared" si="2"/>
        <v>0</v>
      </c>
      <c r="X8" s="712"/>
      <c r="Y8" s="3508" t="s">
        <v>2373</v>
      </c>
      <c r="Z8" s="3509"/>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472" t="s">
        <v>2376</v>
      </c>
      <c r="Q9" s="1527" t="str">
        <f t="shared" ref="Q9:Q15" si="6">B9</f>
        <v>用途</v>
      </c>
      <c r="R9" s="710" t="s">
        <v>17</v>
      </c>
      <c r="S9" s="711">
        <f t="shared" si="0"/>
        <v>100</v>
      </c>
      <c r="T9" s="710" t="s">
        <v>17</v>
      </c>
      <c r="U9" s="711">
        <f t="shared" si="1"/>
        <v>100</v>
      </c>
      <c r="V9" s="710" t="s">
        <v>17</v>
      </c>
      <c r="W9" s="711">
        <f t="shared" si="2"/>
        <v>100</v>
      </c>
      <c r="X9" s="712"/>
      <c r="Y9" s="3342"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102</v>
      </c>
      <c r="G10" s="391"/>
      <c r="H10" s="132">
        <f>ROUND(100/'数据-取费表'!G16,0)</f>
        <v>102</v>
      </c>
      <c r="I10" s="391"/>
      <c r="J10" s="132">
        <f>ROUND(100/'数据-取费表'!G16,0)</f>
        <v>102</v>
      </c>
      <c r="K10" s="628"/>
      <c r="L10" s="2948"/>
      <c r="M10" s="2949"/>
      <c r="N10" s="2949"/>
      <c r="O10" s="3002"/>
      <c r="P10" s="3472"/>
      <c r="Q10" s="1527" t="str">
        <f t="shared" si="6"/>
        <v>土地使用年限（年）</v>
      </c>
      <c r="R10" s="710" t="s">
        <v>17</v>
      </c>
      <c r="S10" s="711">
        <f t="shared" si="0"/>
        <v>102</v>
      </c>
      <c r="T10" s="710" t="s">
        <v>17</v>
      </c>
      <c r="U10" s="711">
        <f t="shared" si="1"/>
        <v>102</v>
      </c>
      <c r="V10" s="710" t="s">
        <v>17</v>
      </c>
      <c r="W10" s="711">
        <f t="shared" si="2"/>
        <v>102</v>
      </c>
      <c r="X10" s="712"/>
      <c r="Y10" s="3342"/>
      <c r="Z10" s="55" t="str">
        <f t="shared" si="7"/>
        <v>土地使用年限（年）</v>
      </c>
      <c r="AA10" s="713">
        <f t="shared" si="3"/>
        <v>0.98039215686274506</v>
      </c>
      <c r="AB10" s="713">
        <f t="shared" si="4"/>
        <v>0.98039215686274506</v>
      </c>
      <c r="AC10" s="713">
        <f t="shared" si="5"/>
        <v>0.98039215686274506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472"/>
      <c r="Q11" s="1527" t="str">
        <f t="shared" si="6"/>
        <v>容积率</v>
      </c>
      <c r="R11" s="710" t="s">
        <v>17</v>
      </c>
      <c r="S11" s="711" t="e">
        <f t="shared" si="0"/>
        <v>#N/A</v>
      </c>
      <c r="T11" s="710" t="s">
        <v>17</v>
      </c>
      <c r="U11" s="711" t="e">
        <f t="shared" si="1"/>
        <v>#N/A</v>
      </c>
      <c r="V11" s="710" t="s">
        <v>17</v>
      </c>
      <c r="W11" s="711" t="e">
        <f t="shared" si="2"/>
        <v>#N/A</v>
      </c>
      <c r="X11" s="712"/>
      <c r="Y11" s="334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472"/>
      <c r="Q12" s="1527">
        <f t="shared" si="6"/>
        <v>111</v>
      </c>
      <c r="R12" s="710" t="s">
        <v>17</v>
      </c>
      <c r="S12" s="711">
        <f t="shared" si="0"/>
        <v>100</v>
      </c>
      <c r="T12" s="710" t="s">
        <v>17</v>
      </c>
      <c r="U12" s="711">
        <f t="shared" si="1"/>
        <v>100</v>
      </c>
      <c r="V12" s="710" t="s">
        <v>17</v>
      </c>
      <c r="W12" s="711">
        <f t="shared" si="2"/>
        <v>100</v>
      </c>
      <c r="X12" s="712"/>
      <c r="Y12" s="334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472"/>
      <c r="Q13" s="1527">
        <f t="shared" si="6"/>
        <v>111</v>
      </c>
      <c r="R13" s="710" t="s">
        <v>17</v>
      </c>
      <c r="S13" s="711">
        <f t="shared" si="0"/>
        <v>100</v>
      </c>
      <c r="T13" s="710" t="s">
        <v>17</v>
      </c>
      <c r="U13" s="711">
        <f t="shared" si="1"/>
        <v>100</v>
      </c>
      <c r="V13" s="710" t="s">
        <v>17</v>
      </c>
      <c r="W13" s="711">
        <f t="shared" si="2"/>
        <v>100</v>
      </c>
      <c r="X13" s="712"/>
      <c r="Y13" s="3342"/>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472"/>
      <c r="Q14" s="1527">
        <f t="shared" si="6"/>
        <v>111</v>
      </c>
      <c r="R14" s="710" t="s">
        <v>17</v>
      </c>
      <c r="S14" s="711">
        <f t="shared" si="0"/>
        <v>100</v>
      </c>
      <c r="T14" s="710" t="s">
        <v>17</v>
      </c>
      <c r="U14" s="711">
        <f t="shared" si="1"/>
        <v>100</v>
      </c>
      <c r="V14" s="710" t="s">
        <v>17</v>
      </c>
      <c r="W14" s="711">
        <f t="shared" si="2"/>
        <v>100</v>
      </c>
      <c r="X14" s="712"/>
      <c r="Y14" s="3342"/>
      <c r="Z14" s="55">
        <f t="shared" si="7"/>
        <v>111</v>
      </c>
      <c r="AA14" s="713">
        <f t="shared" si="3"/>
        <v>1</v>
      </c>
      <c r="AB14" s="713">
        <f t="shared" si="4"/>
        <v>1</v>
      </c>
      <c r="AC14" s="713">
        <f t="shared" si="5"/>
        <v>1</v>
      </c>
    </row>
    <row r="15" spans="1:29" ht="57">
      <c r="A15" s="399" t="s">
        <v>2380</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474" t="s">
        <v>2381</v>
      </c>
      <c r="Q15" s="1536" t="str">
        <f t="shared" si="6"/>
        <v>产业集聚程度</v>
      </c>
      <c r="R15" s="714" t="s">
        <v>17</v>
      </c>
      <c r="S15" s="715">
        <f t="shared" si="0"/>
        <v>100</v>
      </c>
      <c r="T15" s="714" t="s">
        <v>17</v>
      </c>
      <c r="U15" s="715">
        <f t="shared" si="1"/>
        <v>100</v>
      </c>
      <c r="V15" s="714" t="s">
        <v>17</v>
      </c>
      <c r="W15" s="715">
        <f t="shared" si="2"/>
        <v>100</v>
      </c>
      <c r="X15" s="1539"/>
      <c r="Y15" s="3474"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475"/>
      <c r="Q16" s="1536"/>
      <c r="R16" s="714"/>
      <c r="S16" s="715"/>
      <c r="T16" s="714"/>
      <c r="U16" s="715"/>
      <c r="V16" s="714"/>
      <c r="W16" s="715"/>
      <c r="X16" s="1539"/>
      <c r="Y16" s="3475"/>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475"/>
      <c r="Q17" s="1536" t="str">
        <f>B17</f>
        <v>交通便捷度</v>
      </c>
      <c r="R17" s="714" t="s">
        <v>17</v>
      </c>
      <c r="S17" s="715">
        <f>F17</f>
        <v>100</v>
      </c>
      <c r="T17" s="714" t="s">
        <v>17</v>
      </c>
      <c r="U17" s="715">
        <f>H17</f>
        <v>100</v>
      </c>
      <c r="V17" s="714" t="s">
        <v>17</v>
      </c>
      <c r="W17" s="715">
        <f>J17</f>
        <v>100</v>
      </c>
      <c r="X17" s="1539"/>
      <c r="Y17" s="3475"/>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475"/>
      <c r="Q18" s="1536"/>
      <c r="R18" s="714"/>
      <c r="S18" s="715"/>
      <c r="T18" s="714"/>
      <c r="U18" s="715"/>
      <c r="V18" s="714"/>
      <c r="W18" s="715"/>
      <c r="X18" s="1539"/>
      <c r="Y18" s="3475"/>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475"/>
      <c r="Q19" s="1536" t="str">
        <f t="shared" ref="Q19:Q33" si="8">B19</f>
        <v>区域土地利用方向</v>
      </c>
      <c r="R19" s="714" t="s">
        <v>17</v>
      </c>
      <c r="S19" s="715">
        <f>F19</f>
        <v>100</v>
      </c>
      <c r="T19" s="714" t="s">
        <v>17</v>
      </c>
      <c r="U19" s="715">
        <f>H19</f>
        <v>100</v>
      </c>
      <c r="V19" s="714" t="s">
        <v>17</v>
      </c>
      <c r="W19" s="715">
        <f>J19</f>
        <v>100</v>
      </c>
      <c r="X19" s="1539"/>
      <c r="Y19" s="3475"/>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475"/>
      <c r="Q20" s="1536"/>
      <c r="R20" s="714"/>
      <c r="S20" s="715"/>
      <c r="T20" s="714"/>
      <c r="U20" s="715"/>
      <c r="V20" s="714"/>
      <c r="W20" s="715"/>
      <c r="X20" s="1539"/>
      <c r="Y20" s="3475"/>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475"/>
      <c r="Q21" s="1536" t="str">
        <f t="shared" si="8"/>
        <v>环境状况</v>
      </c>
      <c r="R21" s="714" t="s">
        <v>17</v>
      </c>
      <c r="S21" s="715">
        <f>F21</f>
        <v>100</v>
      </c>
      <c r="T21" s="714" t="s">
        <v>17</v>
      </c>
      <c r="U21" s="715">
        <f>H21</f>
        <v>100</v>
      </c>
      <c r="V21" s="714" t="s">
        <v>17</v>
      </c>
      <c r="W21" s="715">
        <f>J21</f>
        <v>100</v>
      </c>
      <c r="X21" s="1539"/>
      <c r="Y21" s="3475"/>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475"/>
      <c r="Q22" s="1536"/>
      <c r="R22" s="714"/>
      <c r="S22" s="715"/>
      <c r="T22" s="714"/>
      <c r="U22" s="715"/>
      <c r="V22" s="714"/>
      <c r="W22" s="715"/>
      <c r="X22" s="1539"/>
      <c r="Y22" s="3475"/>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475"/>
      <c r="Q23" s="1527" t="str">
        <f t="shared" si="8"/>
        <v>公共配套设施</v>
      </c>
      <c r="R23" s="710" t="s">
        <v>17</v>
      </c>
      <c r="S23" s="711">
        <f>F23</f>
        <v>100</v>
      </c>
      <c r="T23" s="710" t="s">
        <v>17</v>
      </c>
      <c r="U23" s="711">
        <f>H23</f>
        <v>100</v>
      </c>
      <c r="V23" s="710" t="s">
        <v>17</v>
      </c>
      <c r="W23" s="711">
        <f>J23</f>
        <v>100</v>
      </c>
      <c r="X23" s="712"/>
      <c r="Y23" s="3475"/>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475"/>
      <c r="Q24" s="1527"/>
      <c r="R24" s="710"/>
      <c r="S24" s="711"/>
      <c r="T24" s="710"/>
      <c r="U24" s="711"/>
      <c r="V24" s="710"/>
      <c r="W24" s="711"/>
      <c r="X24" s="712"/>
      <c r="Y24" s="3475"/>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475"/>
      <c r="Q25" s="1527" t="str">
        <f t="shared" ref="Q25" si="9">B25</f>
        <v>基础设施水平</v>
      </c>
      <c r="R25" s="710" t="s">
        <v>17</v>
      </c>
      <c r="S25" s="711">
        <f>F25</f>
        <v>100</v>
      </c>
      <c r="T25" s="710" t="s">
        <v>17</v>
      </c>
      <c r="U25" s="711">
        <f>H25</f>
        <v>100</v>
      </c>
      <c r="V25" s="710" t="s">
        <v>17</v>
      </c>
      <c r="W25" s="711">
        <f>J25</f>
        <v>100</v>
      </c>
      <c r="X25" s="712"/>
      <c r="Y25" s="3475"/>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475"/>
      <c r="Q26" s="1527"/>
      <c r="R26" s="710"/>
      <c r="S26" s="711"/>
      <c r="T26" s="710"/>
      <c r="U26" s="711"/>
      <c r="V26" s="710"/>
      <c r="W26" s="711"/>
      <c r="X26" s="712"/>
      <c r="Y26" s="3475"/>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475"/>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75"/>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475"/>
      <c r="Q28" s="1536" t="str">
        <f t="shared" si="8"/>
        <v>毗邻道路的类型与等级</v>
      </c>
      <c r="R28" s="714" t="s">
        <v>17</v>
      </c>
      <c r="S28" s="715">
        <f t="shared" si="10"/>
        <v>100</v>
      </c>
      <c r="T28" s="714" t="s">
        <v>17</v>
      </c>
      <c r="U28" s="715">
        <f t="shared" si="11"/>
        <v>100</v>
      </c>
      <c r="V28" s="714" t="s">
        <v>17</v>
      </c>
      <c r="W28" s="715">
        <f t="shared" si="12"/>
        <v>100</v>
      </c>
      <c r="X28" s="1539"/>
      <c r="Y28" s="3475"/>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475"/>
      <c r="Q29" s="1536"/>
      <c r="R29" s="714"/>
      <c r="S29" s="715"/>
      <c r="T29" s="714"/>
      <c r="U29" s="715"/>
      <c r="V29" s="714"/>
      <c r="W29" s="715"/>
      <c r="X29" s="1539"/>
      <c r="Y29" s="3475"/>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475"/>
      <c r="Q30" s="1536" t="str">
        <f t="shared" si="8"/>
        <v>土地级别</v>
      </c>
      <c r="R30" s="714" t="s">
        <v>17</v>
      </c>
      <c r="S30" s="715">
        <f t="shared" si="10"/>
        <v>100</v>
      </c>
      <c r="T30" s="714" t="s">
        <v>17</v>
      </c>
      <c r="U30" s="715">
        <f t="shared" si="11"/>
        <v>100</v>
      </c>
      <c r="V30" s="714" t="s">
        <v>17</v>
      </c>
      <c r="W30" s="715">
        <f t="shared" si="12"/>
        <v>100</v>
      </c>
      <c r="X30" s="1539"/>
      <c r="Y30" s="3475"/>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475"/>
      <c r="Q31" s="1536">
        <f t="shared" si="8"/>
        <v>111</v>
      </c>
      <c r="R31" s="714" t="s">
        <v>17</v>
      </c>
      <c r="S31" s="715">
        <f t="shared" si="10"/>
        <v>100</v>
      </c>
      <c r="T31" s="714" t="s">
        <v>17</v>
      </c>
      <c r="U31" s="715">
        <f t="shared" si="11"/>
        <v>100</v>
      </c>
      <c r="V31" s="714" t="s">
        <v>17</v>
      </c>
      <c r="W31" s="715">
        <f t="shared" si="12"/>
        <v>100</v>
      </c>
      <c r="X31" s="1539"/>
      <c r="Y31" s="3475"/>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530" t="s">
        <v>2386</v>
      </c>
      <c r="Q32" s="1536">
        <f t="shared" si="8"/>
        <v>111</v>
      </c>
      <c r="R32" s="714" t="s">
        <v>17</v>
      </c>
      <c r="S32" s="715">
        <f t="shared" si="10"/>
        <v>100</v>
      </c>
      <c r="T32" s="714" t="s">
        <v>17</v>
      </c>
      <c r="U32" s="715">
        <f t="shared" si="11"/>
        <v>100</v>
      </c>
      <c r="V32" s="714" t="s">
        <v>17</v>
      </c>
      <c r="W32" s="715">
        <f t="shared" si="12"/>
        <v>100</v>
      </c>
      <c r="X32" s="1539"/>
      <c r="Y32" s="3479"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479"/>
      <c r="Q33" s="1536">
        <f t="shared" si="8"/>
        <v>111</v>
      </c>
      <c r="R33" s="717" t="s">
        <v>17</v>
      </c>
      <c r="S33" s="718">
        <f t="shared" si="10"/>
        <v>100</v>
      </c>
      <c r="T33" s="717" t="s">
        <v>17</v>
      </c>
      <c r="U33" s="718">
        <f t="shared" si="11"/>
        <v>100</v>
      </c>
      <c r="V33" s="717" t="s">
        <v>17</v>
      </c>
      <c r="W33" s="718">
        <f t="shared" si="12"/>
        <v>100</v>
      </c>
      <c r="X33" s="719"/>
      <c r="Y33" s="3479"/>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479"/>
      <c r="Q34" s="1536" t="str">
        <f>B34</f>
        <v>宗地面积</v>
      </c>
      <c r="R34" s="714" t="s">
        <v>17</v>
      </c>
      <c r="S34" s="715" t="e">
        <f t="shared" si="10"/>
        <v>#N/A</v>
      </c>
      <c r="T34" s="714" t="s">
        <v>17</v>
      </c>
      <c r="U34" s="715" t="e">
        <f t="shared" si="11"/>
        <v>#N/A</v>
      </c>
      <c r="V34" s="714" t="s">
        <v>17</v>
      </c>
      <c r="W34" s="715" t="e">
        <f t="shared" si="12"/>
        <v>#N/A</v>
      </c>
      <c r="X34" s="1539"/>
      <c r="Y34" s="3479"/>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479"/>
      <c r="Q35" s="1536" t="str">
        <f t="shared" ref="Q35:Q40" si="14">B35</f>
        <v>宗地形状</v>
      </c>
      <c r="R35" s="714" t="s">
        <v>17</v>
      </c>
      <c r="S35" s="715">
        <f t="shared" si="10"/>
        <v>100</v>
      </c>
      <c r="T35" s="714" t="s">
        <v>17</v>
      </c>
      <c r="U35" s="715">
        <f t="shared" si="11"/>
        <v>100</v>
      </c>
      <c r="V35" s="714" t="s">
        <v>17</v>
      </c>
      <c r="W35" s="715">
        <f t="shared" si="12"/>
        <v>100</v>
      </c>
      <c r="X35" s="1539"/>
      <c r="Y35" s="3479"/>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479"/>
      <c r="Q36" s="1536" t="str">
        <f t="shared" si="14"/>
        <v>宗地开发程度</v>
      </c>
      <c r="R36" s="710" t="s">
        <v>17</v>
      </c>
      <c r="S36" s="711">
        <f t="shared" si="10"/>
        <v>100</v>
      </c>
      <c r="T36" s="710" t="s">
        <v>17</v>
      </c>
      <c r="U36" s="711">
        <f t="shared" si="11"/>
        <v>100</v>
      </c>
      <c r="V36" s="710" t="s">
        <v>17</v>
      </c>
      <c r="W36" s="711">
        <f t="shared" si="12"/>
        <v>100</v>
      </c>
      <c r="X36" s="712"/>
      <c r="Y36" s="3479"/>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479" t="s">
        <v>2386</v>
      </c>
      <c r="Q37" s="1536" t="str">
        <f t="shared" si="14"/>
        <v>工程地质条件</v>
      </c>
      <c r="R37" s="714" t="s">
        <v>17</v>
      </c>
      <c r="S37" s="715">
        <f t="shared" si="10"/>
        <v>100</v>
      </c>
      <c r="T37" s="714" t="s">
        <v>17</v>
      </c>
      <c r="U37" s="715">
        <f t="shared" si="11"/>
        <v>100</v>
      </c>
      <c r="V37" s="714" t="s">
        <v>17</v>
      </c>
      <c r="W37" s="715">
        <f t="shared" si="12"/>
        <v>100</v>
      </c>
      <c r="X37" s="1539"/>
      <c r="Y37" s="3479"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479"/>
      <c r="Q38" s="1536">
        <f t="shared" si="14"/>
        <v>111</v>
      </c>
      <c r="R38" s="714" t="s">
        <v>17</v>
      </c>
      <c r="S38" s="715">
        <f t="shared" si="10"/>
        <v>100</v>
      </c>
      <c r="T38" s="714" t="s">
        <v>17</v>
      </c>
      <c r="U38" s="715">
        <f t="shared" si="11"/>
        <v>100</v>
      </c>
      <c r="V38" s="714" t="s">
        <v>17</v>
      </c>
      <c r="W38" s="715">
        <f t="shared" si="12"/>
        <v>100</v>
      </c>
      <c r="X38" s="1539"/>
      <c r="Y38" s="3479"/>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479"/>
      <c r="Q39" s="1536">
        <f t="shared" si="14"/>
        <v>111</v>
      </c>
      <c r="R39" s="714" t="s">
        <v>17</v>
      </c>
      <c r="S39" s="715">
        <f t="shared" si="10"/>
        <v>100</v>
      </c>
      <c r="T39" s="714" t="s">
        <v>17</v>
      </c>
      <c r="U39" s="715">
        <f t="shared" si="11"/>
        <v>100</v>
      </c>
      <c r="V39" s="714" t="s">
        <v>17</v>
      </c>
      <c r="W39" s="715">
        <f t="shared" si="12"/>
        <v>100</v>
      </c>
      <c r="X39" s="1539"/>
      <c r="Y39" s="3479"/>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479"/>
      <c r="Q40" s="1536">
        <f t="shared" si="14"/>
        <v>111</v>
      </c>
      <c r="R40" s="717" t="s">
        <v>17</v>
      </c>
      <c r="S40" s="718">
        <f t="shared" si="10"/>
        <v>100</v>
      </c>
      <c r="T40" s="717" t="s">
        <v>17</v>
      </c>
      <c r="U40" s="718">
        <f t="shared" si="11"/>
        <v>100</v>
      </c>
      <c r="V40" s="717" t="s">
        <v>17</v>
      </c>
      <c r="W40" s="718">
        <f t="shared" si="12"/>
        <v>100</v>
      </c>
      <c r="X40" s="719"/>
      <c r="Y40" s="3479"/>
      <c r="Z40" s="720">
        <f t="shared" si="13"/>
        <v>111</v>
      </c>
      <c r="AA40" s="1537">
        <f t="shared" si="3"/>
        <v>1</v>
      </c>
      <c r="AB40" s="1537">
        <f t="shared" si="4"/>
        <v>1</v>
      </c>
      <c r="AC40" s="1537">
        <f t="shared" si="5"/>
        <v>1</v>
      </c>
    </row>
    <row r="41" spans="1:31" ht="15">
      <c r="A41" s="438" t="s">
        <v>2541</v>
      </c>
      <c r="B41" s="2168" t="s">
        <v>2619</v>
      </c>
      <c r="C41" s="638" t="s">
        <v>1</v>
      </c>
      <c r="D41" s="440"/>
      <c r="E41" s="441"/>
      <c r="F41" s="442"/>
      <c r="G41" s="443"/>
      <c r="H41" s="444"/>
      <c r="I41" s="441"/>
      <c r="J41" s="444"/>
      <c r="K41" s="723"/>
      <c r="L41" s="2953"/>
      <c r="M41" s="2945"/>
      <c r="N41" s="2945"/>
      <c r="O41" s="2954"/>
      <c r="P41" s="3472" t="str">
        <f>A41</f>
        <v>成交单价</v>
      </c>
      <c r="Q41" s="3472"/>
      <c r="R41" s="3503">
        <f>E41</f>
        <v>0</v>
      </c>
      <c r="S41" s="3503"/>
      <c r="T41" s="3503">
        <f>G41</f>
        <v>0</v>
      </c>
      <c r="U41" s="3503"/>
      <c r="V41" s="3503">
        <f>I41</f>
        <v>0</v>
      </c>
      <c r="W41" s="3503"/>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472" t="str">
        <f>A42</f>
        <v>比较价值（元/平方米）</v>
      </c>
      <c r="Q42" s="3472"/>
      <c r="R42" s="3532" t="e">
        <f>ROUND(PRODUCT(R41,AA7:AA40),0)</f>
        <v>#DIV/0!</v>
      </c>
      <c r="S42" s="3532"/>
      <c r="T42" s="3532" t="e">
        <f>ROUND(PRODUCT(T41,AB7:AB40),0)</f>
        <v>#DIV/0!</v>
      </c>
      <c r="U42" s="3532"/>
      <c r="V42" s="3532" t="e">
        <f>ROUND(PRODUCT(V41,AC7:AC40),0)</f>
        <v>#DIV/0!</v>
      </c>
      <c r="W42" s="3532"/>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469" t="str">
        <f>A43</f>
        <v>估价对象XX用房的比较价值（楼面单价，元/平方米）</v>
      </c>
      <c r="Q43" s="3470"/>
      <c r="R43" s="3533" t="e">
        <f>ROUND(IF(D42="简单平均",AVERAGE(R42:W42),R42*F42+T42*H42+V42*J42),0)</f>
        <v>#DIV/0!</v>
      </c>
      <c r="S43" s="3533"/>
      <c r="T43" s="3533"/>
      <c r="U43" s="3533"/>
      <c r="V43" s="3533"/>
      <c r="W43" s="353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2578</v>
      </c>
      <c r="B50" s="641" t="s">
        <v>2579</v>
      </c>
      <c r="C50" s="2169" t="s">
        <v>2580</v>
      </c>
      <c r="D50" s="2170" t="s">
        <v>2581</v>
      </c>
      <c r="E50" s="642" t="s">
        <v>2582</v>
      </c>
      <c r="F50" s="643" t="s">
        <v>2583</v>
      </c>
      <c r="G50" s="3487" t="s">
        <v>2584</v>
      </c>
      <c r="H50" s="3534"/>
      <c r="I50" s="1540" t="s">
        <v>2620</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2587</v>
      </c>
      <c r="B51" s="645" t="e">
        <f>C43</f>
        <v>#DIV/0!</v>
      </c>
      <c r="C51" s="646">
        <v>1</v>
      </c>
      <c r="D51" s="1075">
        <v>1</v>
      </c>
      <c r="E51" s="646">
        <f>'数据-汇总表'!E8+'数据-汇总表'!E9</f>
        <v>100347.12000000002</v>
      </c>
      <c r="F51" s="647" t="e">
        <f t="shared" ref="F51:F60" si="15">ROUND(B51*E51/10000,0)</f>
        <v>#DIV/0!</v>
      </c>
      <c r="G51" s="3483"/>
      <c r="H51" s="3472"/>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2588</v>
      </c>
      <c r="B52" s="224" t="e">
        <f>ROUND($C$43*C52*D52,0)</f>
        <v>#DIV/0!</v>
      </c>
      <c r="C52" s="176">
        <f t="shared" ref="C52:C60" si="16">IF($C$50="北京市系数",I52,J52)</f>
        <v>0</v>
      </c>
      <c r="D52" s="1076">
        <v>0.25</v>
      </c>
      <c r="E52" s="650"/>
      <c r="F52" s="647" t="e">
        <f t="shared" si="15"/>
        <v>#DIV/0!</v>
      </c>
      <c r="G52" s="3535" t="s">
        <v>2589</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2590</v>
      </c>
      <c r="B53" s="224" t="e">
        <f t="shared" ref="B53:B60" si="17">ROUND($C$43*C53*D53,0)</f>
        <v>#DIV/0!</v>
      </c>
      <c r="C53" s="176">
        <f t="shared" si="16"/>
        <v>0</v>
      </c>
      <c r="D53" s="1076">
        <v>0.25</v>
      </c>
      <c r="E53" s="650"/>
      <c r="F53" s="647" t="e">
        <f t="shared" si="15"/>
        <v>#DIV/0!</v>
      </c>
      <c r="G53" s="3535"/>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2591</v>
      </c>
      <c r="B54" s="224" t="e">
        <f t="shared" si="17"/>
        <v>#DIV/0!</v>
      </c>
      <c r="C54" s="176">
        <f t="shared" si="16"/>
        <v>0</v>
      </c>
      <c r="D54" s="1076">
        <v>0.25</v>
      </c>
      <c r="E54" s="650"/>
      <c r="F54" s="647" t="e">
        <f t="shared" si="15"/>
        <v>#DIV/0!</v>
      </c>
      <c r="G54" s="3535"/>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2592</v>
      </c>
      <c r="B55" s="224" t="e">
        <f t="shared" si="17"/>
        <v>#DIV/0!</v>
      </c>
      <c r="C55" s="176">
        <f t="shared" si="16"/>
        <v>0</v>
      </c>
      <c r="D55" s="1076">
        <v>0.25</v>
      </c>
      <c r="E55" s="650"/>
      <c r="F55" s="647" t="e">
        <f t="shared" si="15"/>
        <v>#DIV/0!</v>
      </c>
      <c r="G55" s="3535"/>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2601</v>
      </c>
      <c r="B61" s="652" t="s">
        <v>28</v>
      </c>
      <c r="C61" s="652" t="s">
        <v>29</v>
      </c>
      <c r="D61" s="652" t="s">
        <v>997</v>
      </c>
      <c r="E61" s="652">
        <f>IF(B41="楼面地价",SUM(E51:E60),'数据-汇总表'!D3)</f>
        <v>47741.4</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2021-8-1</v>
      </c>
      <c r="D63" s="701">
        <f>EDATE(C63,-3)</f>
        <v>44317</v>
      </c>
      <c r="E63" s="701">
        <f>EDATE(D63,-3)</f>
        <v>44228</v>
      </c>
      <c r="F63" s="701">
        <f t="shared" ref="F63:O63" si="18">EDATE(E63,-3)</f>
        <v>44136</v>
      </c>
      <c r="G63" s="701">
        <f t="shared" si="18"/>
        <v>44044</v>
      </c>
      <c r="H63" s="701">
        <f t="shared" si="18"/>
        <v>43952</v>
      </c>
      <c r="I63" s="701">
        <f t="shared" si="18"/>
        <v>43862</v>
      </c>
      <c r="J63" s="701">
        <f t="shared" si="18"/>
        <v>43770</v>
      </c>
      <c r="K63" s="701">
        <f t="shared" si="18"/>
        <v>43678</v>
      </c>
      <c r="L63" s="701">
        <f t="shared" si="18"/>
        <v>43586</v>
      </c>
      <c r="M63" s="701">
        <f t="shared" si="18"/>
        <v>43497</v>
      </c>
      <c r="N63" s="701">
        <f t="shared" si="18"/>
        <v>43405</v>
      </c>
      <c r="O63" s="701">
        <f t="shared" si="18"/>
        <v>43313</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2602</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2621</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2604</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2605</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2622</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2611</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2613</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2614</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5" t="s">
        <v>2632</v>
      </c>
      <c r="D2" s="2186" t="s">
        <v>2633</v>
      </c>
      <c r="E2" s="2187"/>
      <c r="F2" s="2186" t="s">
        <v>2634</v>
      </c>
      <c r="G2" s="2188">
        <f>IF(E2="商业",项目基本情况!B37,IF(E2="办公",项目基本情况!C37,IF(E2="住宅",项目基本情况!D37,项目基本情况!E37)))</f>
        <v>0</v>
      </c>
      <c r="H2" s="2186" t="s">
        <v>2635</v>
      </c>
      <c r="I2" s="2188">
        <f>IF(E2="商业",项目基本情况!B38,IF(E2="办公",项目基本情况!C38,IF(E2="住宅",项目基本情况!D38,项目基本情况!E38)))</f>
        <v>0</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c r="F3" s="2192" t="s">
        <v>2640</v>
      </c>
      <c r="G3" s="855">
        <f>IF(F3="宗地容积率",'数据-汇总表'!I4,IF(F3="估价对象容积率",'数据-汇总表'!I6,'数据-汇总表'!I7))</f>
        <v>2.1</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543"/>
      <c r="B4" s="3544"/>
      <c r="C4" s="3544"/>
      <c r="D4" s="3545"/>
      <c r="E4" s="3545"/>
      <c r="F4" s="3545"/>
      <c r="G4" s="3545"/>
      <c r="H4" s="3545"/>
      <c r="I4" s="3545"/>
      <c r="J4" s="3546"/>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t="e">
        <f>ROUND(IF(E2="商业",C6*C7+C16,(IF(E2="住宅",C6*C12+C16,C6+C16))),0)</f>
        <v>#DIV/0!</v>
      </c>
      <c r="D5" s="1523" t="e">
        <f>ROUND(C6+C16,0)</f>
        <v>#DIV/0!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547"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2.1</v>
      </c>
      <c r="AA7" s="1378"/>
      <c r="AB7" s="1378"/>
      <c r="AC7" s="1379"/>
      <c r="AD7" s="1380"/>
      <c r="AE7" s="1380"/>
      <c r="AF7" s="1380"/>
      <c r="AG7" s="1380"/>
      <c r="AH7" s="1380"/>
      <c r="AI7" s="1380"/>
      <c r="AJ7" s="1381"/>
    </row>
    <row r="8" spans="1:36" ht="15">
      <c r="A8" s="3548"/>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540" t="s">
        <v>2659</v>
      </c>
      <c r="X8" s="3541"/>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548"/>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542"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48"/>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54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48"/>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542" t="s">
        <v>2683</v>
      </c>
      <c r="X11" s="1386" t="s">
        <v>2684</v>
      </c>
      <c r="Y11" s="1387">
        <f>$G$3</f>
        <v>2.1</v>
      </c>
      <c r="Z11" s="1387">
        <f t="shared" ref="Z11:AJ11" si="3">$G$3</f>
        <v>2.1</v>
      </c>
      <c r="AA11" s="1387">
        <f t="shared" si="3"/>
        <v>2.1</v>
      </c>
      <c r="AB11" s="1387">
        <f t="shared" si="3"/>
        <v>2.1</v>
      </c>
      <c r="AC11" s="1387">
        <f t="shared" si="3"/>
        <v>2.1</v>
      </c>
      <c r="AD11" s="1387">
        <f t="shared" si="3"/>
        <v>2.1</v>
      </c>
      <c r="AE11" s="1387">
        <f t="shared" si="3"/>
        <v>2.1</v>
      </c>
      <c r="AF11" s="1387">
        <f t="shared" si="3"/>
        <v>2.1</v>
      </c>
      <c r="AG11" s="1387">
        <f t="shared" si="3"/>
        <v>2.1</v>
      </c>
      <c r="AH11" s="1387">
        <f t="shared" si="3"/>
        <v>2.1</v>
      </c>
      <c r="AI11" s="1387">
        <f t="shared" si="3"/>
        <v>2.1</v>
      </c>
      <c r="AJ11" s="1387">
        <f t="shared" si="3"/>
        <v>2.1</v>
      </c>
    </row>
    <row r="12" spans="1:36" ht="25.5" thickBot="1">
      <c r="A12" s="3547"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542"/>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49"/>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t="e">
        <f t="shared" si="0"/>
        <v>#DIV/0!</v>
      </c>
      <c r="U13" s="1375"/>
      <c r="V13" s="1374" t="e">
        <f t="shared" si="1"/>
        <v>#DIV/0!</v>
      </c>
      <c r="W13" s="3542"/>
      <c r="X13" s="1388"/>
      <c r="Y13" s="1385">
        <f>(-0.163*(Y12^2)-0.59*Y12+7617)*(10^(-4))/Y11</f>
        <v>0.36271428571428571</v>
      </c>
      <c r="Z13" s="1385">
        <f t="shared" ref="Z13:AJ13" si="5">(-0.163*(Z12^2)-0.59*Z12+7617)*(10^(-4))/Z11</f>
        <v>0.36271428571428571</v>
      </c>
      <c r="AA13" s="1385">
        <f t="shared" si="5"/>
        <v>0.36271428571428571</v>
      </c>
      <c r="AB13" s="1385">
        <f t="shared" si="5"/>
        <v>0.36271428571428571</v>
      </c>
      <c r="AC13" s="1385">
        <f t="shared" si="5"/>
        <v>0.36271428571428571</v>
      </c>
      <c r="AD13" s="1385">
        <f t="shared" si="5"/>
        <v>0.36271428571428571</v>
      </c>
      <c r="AE13" s="1385">
        <f t="shared" si="5"/>
        <v>0.36271428571428571</v>
      </c>
      <c r="AF13" s="1385">
        <f t="shared" si="5"/>
        <v>0.36271428571428571</v>
      </c>
      <c r="AG13" s="1385">
        <f t="shared" si="5"/>
        <v>0.36271428571428571</v>
      </c>
      <c r="AH13" s="1385">
        <f t="shared" si="5"/>
        <v>0.36271428571428571</v>
      </c>
      <c r="AI13" s="1385">
        <f t="shared" si="5"/>
        <v>0.36271428571428571</v>
      </c>
      <c r="AJ13" s="1385">
        <f t="shared" si="5"/>
        <v>0.36271428571428571</v>
      </c>
    </row>
    <row r="14" spans="1:36" ht="15">
      <c r="A14" s="3549"/>
      <c r="B14" s="2232"/>
      <c r="C14" s="2233"/>
      <c r="D14" s="2234"/>
      <c r="E14" s="2234"/>
      <c r="F14" s="2235"/>
      <c r="G14" s="2236" t="s">
        <v>2696</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0"/>
      <c r="AE14" s="3020"/>
      <c r="AF14" s="3020"/>
      <c r="AG14" s="3020"/>
      <c r="AH14" s="3020"/>
      <c r="AI14" s="3020"/>
      <c r="AJ14" s="3021"/>
    </row>
    <row r="15" spans="1:36" ht="15.75" thickBot="1">
      <c r="A15" s="3550"/>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20"/>
      <c r="AE15" s="3020"/>
      <c r="AF15" s="3020"/>
      <c r="AG15" s="3020"/>
      <c r="AH15" s="3020"/>
      <c r="AI15" s="3020"/>
      <c r="AJ15" s="3021"/>
    </row>
    <row r="16" spans="1:36" ht="24.6" customHeight="1">
      <c r="A16" s="3547" t="s">
        <v>2702</v>
      </c>
      <c r="B16" s="2209" t="s">
        <v>2703</v>
      </c>
      <c r="C16" s="2371" t="e">
        <f>ROUND(IF(F17="与级别开发程度一致",0,(G17-E17)/C17),0)</f>
        <v>#DIV/0!</v>
      </c>
      <c r="D16" s="3563" t="s">
        <v>2707</v>
      </c>
      <c r="E16" s="3564"/>
      <c r="F16" s="3563" t="s">
        <v>2704</v>
      </c>
      <c r="G16" s="3564"/>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20"/>
      <c r="AE16" s="3020"/>
      <c r="AF16" s="3020"/>
      <c r="AG16" s="3020"/>
      <c r="AH16" s="3020"/>
      <c r="AI16" s="3020"/>
      <c r="AJ16" s="3021"/>
    </row>
    <row r="17" spans="1:37" ht="13.5" thickBot="1">
      <c r="A17" s="3551"/>
      <c r="B17" s="2382" t="s">
        <v>2706</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2710</v>
      </c>
      <c r="C19" s="863" t="e">
        <f>ROUND(IF(H19="按公示增长率计算",SUMPRODUCT((地价!A3:A35=YEAR(G19)&amp;"-"&amp;ROUNDUP(MONTH(G19)/3,0))*(地价!X2:AB2=E2)*(地价!X3:AB35)),IF(H19="地价指数",M20/M19,(1+I19)^O19)),4)</f>
        <v>#VALUE!</v>
      </c>
      <c r="D19" s="2251" t="s">
        <v>2711</v>
      </c>
      <c r="E19" s="864">
        <v>41640</v>
      </c>
      <c r="F19" s="2251" t="s">
        <v>2712</v>
      </c>
      <c r="G19" s="865">
        <f>'数据-取费表'!B2</f>
        <v>44411</v>
      </c>
      <c r="H19" s="2252"/>
      <c r="I19" s="866" t="str">
        <f>IF(H19="季度增幅（自定义）",SUMIF(N21:N24,E2,O21:O24),"")</f>
        <v/>
      </c>
      <c r="J19" s="2249"/>
      <c r="K19" s="1287"/>
      <c r="L19" s="2253" t="s">
        <v>2713</v>
      </c>
      <c r="M19" s="1496">
        <f>ROUND(SUMIF(地价!B2:F2,E2,地价!B35:F35),0)</f>
        <v>0</v>
      </c>
      <c r="N19" s="2254"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2715</v>
      </c>
      <c r="C20" s="868" t="e">
        <f>ROUND(POWER(1+G20,J20-I20)*(POWER(1+G20,I20)-1)/(POWER(1+G20,J20)-1),4)</f>
        <v>#DIV/0!</v>
      </c>
      <c r="D20" s="2258" t="s">
        <v>2716</v>
      </c>
      <c r="E20" s="1505">
        <f>存贷款利率!E18/100</f>
        <v>4.3499999999999997E-2</v>
      </c>
      <c r="F20" s="2258" t="s">
        <v>2708</v>
      </c>
      <c r="G20" s="873">
        <f>SUMIF(M26:P26,E2,M28:P28)</f>
        <v>0</v>
      </c>
      <c r="H20" s="2258" t="s">
        <v>2717</v>
      </c>
      <c r="I20" s="874" t="e">
        <f>SUMIF('数据-取费表'!C6:C15,E2,'数据-取费表'!F6:F15)/COUNTIF('数据-取费表'!C6:C15,E2)</f>
        <v>#DIV/0!</v>
      </c>
      <c r="J20" s="875">
        <f>IF(E2="住宅",70,IF(E2="商业",40,50))</f>
        <v>50</v>
      </c>
      <c r="K20" s="1287"/>
      <c r="L20" s="2259" t="s">
        <v>2718</v>
      </c>
      <c r="M20" s="1497">
        <f>ROUND(SUMPRODUCT((地价!A4:A35=YEAR(G19)&amp;"-"&amp;ROUNDUP(MONTH(G19)/3,0))*(地价!B2:F2=E2)*(地价!B4:F35)),0)</f>
        <v>0</v>
      </c>
      <c r="N20" s="2260" t="s">
        <v>2719</v>
      </c>
      <c r="O20" s="2261" t="s">
        <v>2720</v>
      </c>
      <c r="P20" s="2262" t="s">
        <v>2721</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2722</v>
      </c>
      <c r="C21" s="876">
        <f>IF(B21="容积率修正",IF(G3&lt;=10,D22,J22),C23)</f>
        <v>0</v>
      </c>
      <c r="D21" s="2265"/>
      <c r="E21" s="2265"/>
      <c r="F21" s="2265"/>
      <c r="G21" s="2265"/>
      <c r="H21" s="2265"/>
      <c r="I21" s="2265"/>
      <c r="J21" s="2266"/>
      <c r="K21" s="1287"/>
      <c r="L21" s="3019"/>
      <c r="M21" s="3019"/>
      <c r="N21" s="2267" t="s">
        <v>2723</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t="b">
        <f>IF(E22=G22,F22,IF(G3&lt;=10,ROUND(F22+(H22-F22)*(G3-E22)/(G22-E22),4),"——"))</f>
        <v>0</v>
      </c>
      <c r="E22" s="855">
        <f>ROUNDDOWN(G3,1)</f>
        <v>2.1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2727</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v>
      </c>
      <c r="D24" s="2248"/>
      <c r="E24" s="2275"/>
      <c r="F24" s="2275"/>
      <c r="G24" s="2275"/>
      <c r="H24" s="2275"/>
      <c r="I24" s="2275"/>
      <c r="J24" s="2276"/>
      <c r="K24" s="1287"/>
      <c r="L24" s="3019"/>
      <c r="M24" s="3019"/>
      <c r="N24" s="2277" t="s">
        <v>2732</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80"/>
      <c r="L26" s="3017" t="s">
        <v>2633</v>
      </c>
      <c r="M26" s="2210" t="s">
        <v>2698</v>
      </c>
      <c r="N26" s="2210" t="s">
        <v>2699</v>
      </c>
      <c r="O26" s="2210" t="s">
        <v>2700</v>
      </c>
      <c r="P26" s="3018"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t="e">
        <f>ROUND(C5*C18*C19*C20*C21*C24,0)</f>
        <v>#DIV/0!</v>
      </c>
      <c r="D29" s="2296"/>
      <c r="E29" s="879" t="e">
        <f>ROUND(C29*D29/10000,0)</f>
        <v>#DIV/0!</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t="e">
        <f>ROUND(IF(E2="工业",C29*M39,C29*M38),0)</f>
        <v>#DIV/0!</v>
      </c>
      <c r="D30" s="2302"/>
      <c r="E30" s="879" t="e">
        <f>ROUND(C30*D30/10000,0)</f>
        <v>#DIV/0!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60"/>
      <c r="B33" s="2312" t="s">
        <v>2749</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65"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61"/>
      <c r="B34" s="2229" t="s">
        <v>2750</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6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61"/>
      <c r="B35" s="2229" t="s">
        <v>2751</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56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62"/>
      <c r="B36" s="2229" t="s">
        <v>2752</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6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t="e">
        <f>ROUND(POWER(1+E41,H41-G41)*(POWER(1+E41,G41)-1)/(POWER(1+E41,H41)-1),4)</f>
        <v>#DIV/0!</v>
      </c>
      <c r="D41" s="176" t="s">
        <v>2708</v>
      </c>
      <c r="E41" s="2369">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52" t="s">
        <v>2790</v>
      </c>
      <c r="B90" s="3552"/>
      <c r="C90" s="3552"/>
      <c r="D90" s="3552"/>
      <c r="E90" s="3552"/>
      <c r="F90" s="3552"/>
      <c r="G90" s="3552"/>
      <c r="H90" s="3552"/>
      <c r="I90" s="3552"/>
      <c r="J90" s="3552"/>
      <c r="K90" s="2343"/>
      <c r="L90" s="2343"/>
      <c r="M90" s="2343"/>
      <c r="N90" s="2343"/>
    </row>
    <row r="91" spans="1:37">
      <c r="A91" s="3554" t="s">
        <v>2791</v>
      </c>
      <c r="B91" s="3554" t="s">
        <v>2792</v>
      </c>
      <c r="C91" s="2297" t="s">
        <v>2793</v>
      </c>
      <c r="D91" s="2298"/>
      <c r="E91" s="2298"/>
      <c r="F91" s="2298"/>
      <c r="G91" s="2298"/>
      <c r="H91" s="2298"/>
      <c r="I91" s="2298"/>
      <c r="J91" s="2344"/>
      <c r="K91" s="2345"/>
      <c r="L91" s="2345"/>
      <c r="M91" s="2345"/>
      <c r="N91" s="2345"/>
    </row>
    <row r="92" spans="1:37">
      <c r="A92" s="3554"/>
      <c r="B92" s="3554"/>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555"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5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5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5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5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5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56"/>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5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55" t="s">
        <v>2795</v>
      </c>
      <c r="B101" s="2350" t="s">
        <v>2796</v>
      </c>
      <c r="C101" s="2351">
        <f>$G$3</f>
        <v>2.1</v>
      </c>
      <c r="D101" s="2351">
        <f t="shared" ref="D101:N101" si="31">$G$3</f>
        <v>2.1</v>
      </c>
      <c r="E101" s="2351">
        <f t="shared" si="31"/>
        <v>2.1</v>
      </c>
      <c r="F101" s="2351">
        <f t="shared" si="31"/>
        <v>2.1</v>
      </c>
      <c r="G101" s="2351">
        <f t="shared" si="31"/>
        <v>2.1</v>
      </c>
      <c r="H101" s="2351">
        <f t="shared" si="31"/>
        <v>2.1</v>
      </c>
      <c r="I101" s="2351">
        <f t="shared" si="31"/>
        <v>2.1</v>
      </c>
      <c r="J101" s="2351">
        <f t="shared" si="31"/>
        <v>2.1</v>
      </c>
      <c r="K101" s="2351">
        <f t="shared" si="31"/>
        <v>2.1</v>
      </c>
      <c r="L101" s="2351">
        <f t="shared" si="31"/>
        <v>2.1</v>
      </c>
      <c r="M101" s="2351">
        <f t="shared" si="31"/>
        <v>2.1</v>
      </c>
      <c r="N101" s="2351">
        <f t="shared" si="31"/>
        <v>2.1</v>
      </c>
    </row>
    <row r="102" spans="1:14">
      <c r="A102" s="3556"/>
      <c r="B102" s="2346">
        <v>1</v>
      </c>
      <c r="C102" s="2347">
        <f>1.9362/C101</f>
        <v>0.92199999999999993</v>
      </c>
      <c r="D102" s="2347">
        <f>1.9362/D101</f>
        <v>0.92199999999999993</v>
      </c>
      <c r="E102" s="2347">
        <f>1.8629/E101</f>
        <v>0.88709523809523805</v>
      </c>
      <c r="F102" s="2347">
        <f>1.8629/F101</f>
        <v>0.88709523809523805</v>
      </c>
      <c r="G102" s="2347">
        <f>1.8629/G101</f>
        <v>0.88709523809523805</v>
      </c>
      <c r="H102" s="2347">
        <f>1.8629/H101</f>
        <v>0.88709523809523805</v>
      </c>
      <c r="I102" s="2347">
        <f>1.8629/I101</f>
        <v>0.88709523809523805</v>
      </c>
      <c r="J102" s="2347">
        <f>1.942/J101</f>
        <v>0.92476190476190467</v>
      </c>
      <c r="K102" s="2347">
        <f>1.942/K101</f>
        <v>0.92476190476190467</v>
      </c>
      <c r="L102" s="2347">
        <f>1.942/L101</f>
        <v>0.92476190476190467</v>
      </c>
      <c r="M102" s="2347">
        <f>1.942/M101</f>
        <v>0.92476190476190467</v>
      </c>
      <c r="N102" s="2347">
        <f>1.942/N101</f>
        <v>0.92476190476190467</v>
      </c>
    </row>
    <row r="103" spans="1:14">
      <c r="A103" s="3556"/>
      <c r="B103" s="2346">
        <v>2</v>
      </c>
      <c r="C103" s="2347">
        <f>1.4198/C101</f>
        <v>0.67609523809523808</v>
      </c>
      <c r="D103" s="2347">
        <f>1.4198/D101</f>
        <v>0.67609523809523808</v>
      </c>
      <c r="E103" s="2347">
        <f>1.3372/E101</f>
        <v>0.63676190476190475</v>
      </c>
      <c r="F103" s="2347">
        <f>1.3372/F101</f>
        <v>0.63676190476190475</v>
      </c>
      <c r="G103" s="2347">
        <f>1.3372/G101</f>
        <v>0.63676190476190475</v>
      </c>
      <c r="H103" s="2347">
        <f>1.3372/H101</f>
        <v>0.63676190476190475</v>
      </c>
      <c r="I103" s="2347">
        <f>1.3372/I101</f>
        <v>0.63676190476190475</v>
      </c>
      <c r="J103" s="2347">
        <f>1.2799/J101</f>
        <v>0.6094761904761905</v>
      </c>
      <c r="K103" s="2347">
        <f>1.2799/K101</f>
        <v>0.6094761904761905</v>
      </c>
      <c r="L103" s="2347">
        <f>1.2799/L101</f>
        <v>0.6094761904761905</v>
      </c>
      <c r="M103" s="2347">
        <f>1.2799/M101</f>
        <v>0.6094761904761905</v>
      </c>
      <c r="N103" s="2347">
        <f>1.2799/N101</f>
        <v>0.6094761904761905</v>
      </c>
    </row>
    <row r="104" spans="1:14">
      <c r="A104" s="3556"/>
      <c r="B104" s="2346">
        <v>3</v>
      </c>
      <c r="C104" s="2347">
        <f>1.1594/C101</f>
        <v>0.55209523809523808</v>
      </c>
      <c r="D104" s="2347">
        <f>1.1594/D101</f>
        <v>0.55209523809523808</v>
      </c>
      <c r="E104" s="2347">
        <f>1.0788/E101</f>
        <v>0.51371428571428568</v>
      </c>
      <c r="F104" s="2347">
        <f>1.0788/F101</f>
        <v>0.51371428571428568</v>
      </c>
      <c r="G104" s="2347">
        <f>1.0788/G101</f>
        <v>0.51371428571428568</v>
      </c>
      <c r="H104" s="2347">
        <f>1.0788/H101</f>
        <v>0.51371428571428568</v>
      </c>
      <c r="I104" s="2347">
        <f>1.0788/I101</f>
        <v>0.51371428571428568</v>
      </c>
      <c r="J104" s="2347">
        <f>1.0072/J101</f>
        <v>0.47961904761904767</v>
      </c>
      <c r="K104" s="2347">
        <f>1.0072/K101</f>
        <v>0.47961904761904767</v>
      </c>
      <c r="L104" s="2347">
        <f>1.0072/L101</f>
        <v>0.47961904761904767</v>
      </c>
      <c r="M104" s="2347">
        <f>1.0072/M101</f>
        <v>0.47961904761904767</v>
      </c>
      <c r="N104" s="2347">
        <f>1.0072/N101</f>
        <v>0.47961904761904767</v>
      </c>
    </row>
    <row r="105" spans="1:14">
      <c r="A105" s="3556"/>
      <c r="B105" s="2346">
        <v>4</v>
      </c>
      <c r="C105" s="2347">
        <f>0.9622/C101</f>
        <v>0.4581904761904762</v>
      </c>
      <c r="D105" s="2347">
        <f>0.9622/D101</f>
        <v>0.4581904761904762</v>
      </c>
      <c r="E105" s="2347">
        <f>0.8656/E101</f>
        <v>0.41219047619047616</v>
      </c>
      <c r="F105" s="2347">
        <f>0.8656/F101</f>
        <v>0.41219047619047616</v>
      </c>
      <c r="G105" s="2347">
        <f>0.8656/G101</f>
        <v>0.41219047619047616</v>
      </c>
      <c r="H105" s="2347">
        <f>0.8656/H101</f>
        <v>0.41219047619047616</v>
      </c>
      <c r="I105" s="2347">
        <f>0.8656/I101</f>
        <v>0.41219047619047616</v>
      </c>
      <c r="J105" s="2347">
        <f>0.7525/J101</f>
        <v>0.35833333333333328</v>
      </c>
      <c r="K105" s="2347">
        <f>0.7525/K101</f>
        <v>0.35833333333333328</v>
      </c>
      <c r="L105" s="2347">
        <f>0.7525/L101</f>
        <v>0.35833333333333328</v>
      </c>
      <c r="M105" s="2347">
        <f>0.7525/M101</f>
        <v>0.35833333333333328</v>
      </c>
      <c r="N105" s="2347">
        <f>0.7525/N101</f>
        <v>0.35833333333333328</v>
      </c>
    </row>
    <row r="106" spans="1:14">
      <c r="A106" s="3556"/>
      <c r="B106" s="2346">
        <v>5</v>
      </c>
      <c r="C106" s="2347">
        <f>0.8417/C101</f>
        <v>0.40080952380952378</v>
      </c>
      <c r="D106" s="2347">
        <f>0.8417/D101</f>
        <v>0.40080952380952378</v>
      </c>
      <c r="E106" s="2347">
        <f>0.7371/E101</f>
        <v>0.35099999999999998</v>
      </c>
      <c r="F106" s="2347">
        <f>0.7371/F101</f>
        <v>0.35099999999999998</v>
      </c>
      <c r="G106" s="2347">
        <f>0.7371/G101</f>
        <v>0.35099999999999998</v>
      </c>
      <c r="H106" s="2347">
        <f>0.7371/H101</f>
        <v>0.35099999999999998</v>
      </c>
      <c r="I106" s="2347">
        <f>0.7371/I101</f>
        <v>0.35099999999999998</v>
      </c>
      <c r="J106" s="2347">
        <f>0.5659/J101</f>
        <v>0.26947619047619042</v>
      </c>
      <c r="K106" s="2347">
        <f>0.5659/K101</f>
        <v>0.26947619047619042</v>
      </c>
      <c r="L106" s="2347">
        <f>0.5659/L101</f>
        <v>0.26947619047619042</v>
      </c>
      <c r="M106" s="2347">
        <f>0.5659/M101</f>
        <v>0.26947619047619042</v>
      </c>
      <c r="N106" s="2347">
        <f>0.5659/N101</f>
        <v>0.26947619047619042</v>
      </c>
    </row>
    <row r="107" spans="1:14">
      <c r="A107" s="3556"/>
      <c r="B107" s="2346">
        <v>6</v>
      </c>
      <c r="C107" s="2347">
        <f>0.7608/C101</f>
        <v>0.36228571428571427</v>
      </c>
      <c r="D107" s="2347">
        <f>0.7608/D101</f>
        <v>0.36228571428571427</v>
      </c>
      <c r="E107" s="2347">
        <f>0.6482/E101</f>
        <v>0.30866666666666664</v>
      </c>
      <c r="F107" s="2347">
        <f>0.6482/F101</f>
        <v>0.30866666666666664</v>
      </c>
      <c r="G107" s="2347">
        <f>0.6482/G101</f>
        <v>0.30866666666666664</v>
      </c>
      <c r="H107" s="2347">
        <f>0.6482/H101</f>
        <v>0.30866666666666664</v>
      </c>
      <c r="I107" s="2347">
        <f>0.6482/I101</f>
        <v>0.30866666666666664</v>
      </c>
      <c r="J107" s="2347">
        <f>0.4525/J101</f>
        <v>0.21547619047619046</v>
      </c>
      <c r="K107" s="2347">
        <f>0.4525/K101</f>
        <v>0.21547619047619046</v>
      </c>
      <c r="L107" s="2347">
        <f>0.4525/L101</f>
        <v>0.21547619047619046</v>
      </c>
      <c r="M107" s="2347">
        <f>0.4525/M101</f>
        <v>0.21547619047619046</v>
      </c>
      <c r="N107" s="2347">
        <f>0.4525/N101</f>
        <v>0.21547619047619046</v>
      </c>
    </row>
    <row r="108" spans="1:14">
      <c r="A108" s="3556"/>
      <c r="B108" s="3558"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57"/>
      <c r="B109" s="3559"/>
      <c r="C109" s="2349">
        <f>(-0.163*(C108^2)-0.59*C108+7617)*(10^(-4))/C101</f>
        <v>0.36271428571428571</v>
      </c>
      <c r="D109" s="2349">
        <f>(-0.163*(D108^2)-0.59*D108+7617)*(10^(-4))/D101</f>
        <v>0.36271428571428571</v>
      </c>
      <c r="E109" s="2349">
        <f>(-0.161*(E108^2)-7.509*E108+6533)*(10^(-4))/E101</f>
        <v>0.31109523809523809</v>
      </c>
      <c r="F109" s="2349">
        <f>(-0.161*(F108^2)-7.509*F108+6533)*(10^(-4))/F101</f>
        <v>0.31109523809523809</v>
      </c>
      <c r="G109" s="2349">
        <f>(-0.161*(G108^2)-7.509*G108+6533)*(10^(-4))/G101</f>
        <v>0.31109523809523809</v>
      </c>
      <c r="H109" s="2349">
        <f>(-0.161*(H108^2)-7.509*H108+6533)*(10^(-4))/H101</f>
        <v>0.31109523809523809</v>
      </c>
      <c r="I109" s="2349">
        <f>(-0.161*(I108^2)-7.509*I108+6533)*(10^(-4))/I101</f>
        <v>0.31109523809523809</v>
      </c>
      <c r="J109" s="2349">
        <f>(-0.214*(J108^2)-21.991*J108+4665)*(10^(-4))/J101</f>
        <v>0.22214285714285714</v>
      </c>
      <c r="K109" s="2349">
        <f>(-0.214*(K108^2)-21.991*K108+4665)*(10^(-4))/K101</f>
        <v>0.22214285714285714</v>
      </c>
      <c r="L109" s="2349">
        <f>(-0.214*(L108^2)-21.991*L108+4665)*(10^(-4))/L101</f>
        <v>0.22214285714285714</v>
      </c>
      <c r="M109" s="2349">
        <f>(-0.214*(M108^2)-21.991*M108+4665)*(10^(-4))/M101</f>
        <v>0.22214285714285714</v>
      </c>
      <c r="N109" s="2349">
        <f>(-0.214*(N108^2)-21.991*N108+4665)*(10^(-4))/N101</f>
        <v>0.22214285714285714</v>
      </c>
    </row>
    <row r="110" spans="1:14">
      <c r="A110" s="3553" t="s">
        <v>2798</v>
      </c>
      <c r="B110" s="3553"/>
      <c r="C110" s="3553"/>
      <c r="D110" s="3553"/>
      <c r="E110" s="3553"/>
      <c r="F110" s="3553"/>
      <c r="G110" s="3553"/>
      <c r="H110" s="3553"/>
      <c r="I110" s="3553"/>
      <c r="J110" s="3553"/>
      <c r="K110" s="2352"/>
      <c r="L110" s="2352"/>
      <c r="M110" s="2352"/>
      <c r="N110" s="2352"/>
    </row>
    <row r="112" spans="1:14" ht="13.5" thickBot="1"/>
    <row r="113" spans="1:13" ht="25.5" thickBot="1">
      <c r="A113" s="842" t="s">
        <v>2799</v>
      </c>
      <c r="B113" s="1197">
        <f>G3</f>
        <v>2.1</v>
      </c>
      <c r="C113" s="843" t="s">
        <v>2800</v>
      </c>
      <c r="D113" s="844">
        <f>SUMPRODUCT((A115:A118=F113)*(B114:M114=H113)*B115:M118)</f>
        <v>0</v>
      </c>
      <c r="E113" s="2188" t="s">
        <v>2633</v>
      </c>
      <c r="F113" s="2354">
        <f>E2</f>
        <v>0</v>
      </c>
      <c r="G113" s="2188" t="s">
        <v>2634</v>
      </c>
      <c r="H113" s="2354">
        <f>G2</f>
        <v>0</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2698</v>
      </c>
      <c r="B115" s="849">
        <f>ROUND(0.9335-0.0094*B113,4)</f>
        <v>0.91379999999999995</v>
      </c>
      <c r="C115" s="849">
        <f>B115</f>
        <v>0.91379999999999995</v>
      </c>
      <c r="D115" s="849">
        <f>ROUND(0.8331-0.0109*B113,4)</f>
        <v>0.81020000000000003</v>
      </c>
      <c r="E115" s="849">
        <f>D115</f>
        <v>0.81020000000000003</v>
      </c>
      <c r="F115" s="849">
        <f>E115</f>
        <v>0.81020000000000003</v>
      </c>
      <c r="G115" s="849">
        <f>F115</f>
        <v>0.81020000000000003</v>
      </c>
      <c r="H115" s="849">
        <f>G115</f>
        <v>0.81020000000000003</v>
      </c>
      <c r="I115" s="849">
        <f>ROUND(0.689-0.0155*B113,4)</f>
        <v>0.65649999999999997</v>
      </c>
      <c r="J115" s="849">
        <f t="shared" ref="J115:M118" si="33">I115</f>
        <v>0.65649999999999997</v>
      </c>
      <c r="K115" s="849">
        <f t="shared" si="33"/>
        <v>0.65649999999999997</v>
      </c>
      <c r="L115" s="849">
        <f t="shared" si="33"/>
        <v>0.65649999999999997</v>
      </c>
      <c r="M115" s="850">
        <f t="shared" si="33"/>
        <v>0.65649999999999997</v>
      </c>
    </row>
    <row r="116" spans="1:13">
      <c r="A116" s="848" t="s">
        <v>2699</v>
      </c>
      <c r="B116" s="849">
        <f>ROUND(0.949-0.012*B113,4)</f>
        <v>0.92379999999999995</v>
      </c>
      <c r="C116" s="849">
        <f>B116</f>
        <v>0.92379999999999995</v>
      </c>
      <c r="D116" s="849">
        <f>ROUND(0.8567-0.013*B113,4)</f>
        <v>0.82940000000000003</v>
      </c>
      <c r="E116" s="849">
        <f t="shared" ref="E116:H117" si="34">D116</f>
        <v>0.82940000000000003</v>
      </c>
      <c r="F116" s="849">
        <f t="shared" si="34"/>
        <v>0.82940000000000003</v>
      </c>
      <c r="G116" s="849">
        <f t="shared" si="34"/>
        <v>0.82940000000000003</v>
      </c>
      <c r="H116" s="849">
        <f t="shared" si="34"/>
        <v>0.82940000000000003</v>
      </c>
      <c r="I116" s="849">
        <f>ROUND(0.7694-0.014*B113,4)</f>
        <v>0.74</v>
      </c>
      <c r="J116" s="849">
        <f t="shared" si="33"/>
        <v>0.74</v>
      </c>
      <c r="K116" s="849">
        <f t="shared" si="33"/>
        <v>0.74</v>
      </c>
      <c r="L116" s="849">
        <f t="shared" si="33"/>
        <v>0.74</v>
      </c>
      <c r="M116" s="850">
        <f t="shared" si="33"/>
        <v>0.74</v>
      </c>
    </row>
    <row r="117" spans="1:13">
      <c r="A117" s="848" t="s">
        <v>2700</v>
      </c>
      <c r="B117" s="849">
        <f>ROUND(0.8808-0.006*B113,4)</f>
        <v>0.86819999999999997</v>
      </c>
      <c r="C117" s="849">
        <f>B117</f>
        <v>0.86819999999999997</v>
      </c>
      <c r="D117" s="849">
        <f>ROUND(0.8748-0.008*B113,4)</f>
        <v>0.85799999999999998</v>
      </c>
      <c r="E117" s="849">
        <f t="shared" si="34"/>
        <v>0.85799999999999998</v>
      </c>
      <c r="F117" s="849">
        <f t="shared" si="34"/>
        <v>0.85799999999999998</v>
      </c>
      <c r="G117" s="849">
        <f t="shared" si="34"/>
        <v>0.85799999999999998</v>
      </c>
      <c r="H117" s="849">
        <f t="shared" si="34"/>
        <v>0.85799999999999998</v>
      </c>
      <c r="I117" s="849">
        <f>ROUND(0.7412-0.0095*B113,4)</f>
        <v>0.72130000000000005</v>
      </c>
      <c r="J117" s="849">
        <f t="shared" si="33"/>
        <v>0.72130000000000005</v>
      </c>
      <c r="K117" s="849">
        <f t="shared" si="33"/>
        <v>0.72130000000000005</v>
      </c>
      <c r="L117" s="849">
        <f t="shared" si="33"/>
        <v>0.72130000000000005</v>
      </c>
      <c r="M117" s="850">
        <f t="shared" si="33"/>
        <v>0.72130000000000005</v>
      </c>
    </row>
    <row r="118" spans="1:13" ht="13.5" thickBot="1">
      <c r="A118" s="670" t="s">
        <v>2701</v>
      </c>
      <c r="B118" s="851">
        <f>ROUND(0.7275-0.01*B113,4)</f>
        <v>0.70650000000000002</v>
      </c>
      <c r="C118" s="851">
        <f>B118</f>
        <v>0.70650000000000002</v>
      </c>
      <c r="D118" s="851">
        <f>ROUND(0.7043-0.012*B113,4)</f>
        <v>0.67910000000000004</v>
      </c>
      <c r="E118" s="851">
        <f>D118</f>
        <v>0.67910000000000004</v>
      </c>
      <c r="F118" s="851">
        <f>E118</f>
        <v>0.67910000000000004</v>
      </c>
      <c r="G118" s="851">
        <f>ROUND(0.6299-0.0122*B113,4)</f>
        <v>0.60429999999999995</v>
      </c>
      <c r="H118" s="851">
        <f>G118</f>
        <v>0.60429999999999995</v>
      </c>
      <c r="I118" s="851">
        <f>ROUND(0.5667-0.0136*B113,4)</f>
        <v>0.53810000000000002</v>
      </c>
      <c r="J118" s="851">
        <f t="shared" si="33"/>
        <v>0.53810000000000002</v>
      </c>
      <c r="K118" s="851">
        <f t="shared" si="33"/>
        <v>0.53810000000000002</v>
      </c>
      <c r="L118" s="851">
        <f t="shared" si="33"/>
        <v>0.53810000000000002</v>
      </c>
      <c r="M118" s="852">
        <f t="shared" si="33"/>
        <v>0.53810000000000002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6" t="s">
        <v>183</v>
      </c>
      <c r="B18" s="821" t="s">
        <v>560</v>
      </c>
      <c r="C18" s="822" t="s">
        <v>561</v>
      </c>
      <c r="D18" s="823"/>
      <c r="E18" s="821">
        <v>1</v>
      </c>
      <c r="F18" s="824" t="s">
        <v>562</v>
      </c>
      <c r="G18" s="825"/>
      <c r="H18" s="817"/>
      <c r="I18" s="817"/>
    </row>
    <row r="19" spans="1:9" s="826" customFormat="1" ht="19.5" customHeight="1">
      <c r="A19" s="3566"/>
      <c r="B19" s="3566" t="s">
        <v>563</v>
      </c>
      <c r="C19" s="822" t="s">
        <v>564</v>
      </c>
      <c r="D19" s="823"/>
      <c r="E19" s="821">
        <v>0.9</v>
      </c>
      <c r="F19" s="824" t="s">
        <v>565</v>
      </c>
      <c r="G19" s="825"/>
      <c r="H19" s="817"/>
      <c r="I19" s="817"/>
    </row>
    <row r="20" spans="1:9" s="826" customFormat="1" ht="19.5" customHeight="1">
      <c r="A20" s="3566"/>
      <c r="B20" s="3566"/>
      <c r="C20" s="822" t="s">
        <v>566</v>
      </c>
      <c r="D20" s="823"/>
      <c r="E20" s="821">
        <v>1.1000000000000001</v>
      </c>
      <c r="F20" s="824" t="s">
        <v>567</v>
      </c>
      <c r="G20" s="825"/>
      <c r="H20" s="817"/>
      <c r="I20" s="817"/>
    </row>
    <row r="21" spans="1:9" s="826" customFormat="1" ht="19.5" customHeight="1">
      <c r="A21" s="3566"/>
      <c r="B21" s="3566"/>
      <c r="C21" s="822" t="s">
        <v>568</v>
      </c>
      <c r="D21" s="823"/>
      <c r="E21" s="821">
        <v>0.8</v>
      </c>
      <c r="F21" s="824" t="s">
        <v>569</v>
      </c>
      <c r="G21" s="825"/>
      <c r="H21" s="817"/>
      <c r="I21" s="817"/>
    </row>
    <row r="22" spans="1:9" s="826" customFormat="1" ht="19.5" customHeight="1">
      <c r="A22" s="3566"/>
      <c r="B22" s="3566"/>
      <c r="C22" s="822" t="s">
        <v>570</v>
      </c>
      <c r="D22" s="823"/>
      <c r="E22" s="821">
        <v>0.5</v>
      </c>
      <c r="F22" s="824"/>
      <c r="G22" s="825"/>
      <c r="H22" s="817"/>
      <c r="I22" s="817"/>
    </row>
    <row r="23" spans="1:9" s="826" customFormat="1" ht="19.5" customHeight="1">
      <c r="A23" s="3566" t="s">
        <v>184</v>
      </c>
      <c r="B23" s="821" t="s">
        <v>560</v>
      </c>
      <c r="C23" s="822" t="s">
        <v>571</v>
      </c>
      <c r="D23" s="823"/>
      <c r="E23" s="821">
        <v>1</v>
      </c>
      <c r="F23" s="824" t="s">
        <v>572</v>
      </c>
      <c r="G23" s="825"/>
      <c r="H23" s="817"/>
      <c r="I23" s="817"/>
    </row>
    <row r="24" spans="1:9" s="826" customFormat="1" ht="19.5" customHeight="1">
      <c r="A24" s="3566"/>
      <c r="B24" s="3566" t="s">
        <v>563</v>
      </c>
      <c r="C24" s="822" t="s">
        <v>573</v>
      </c>
      <c r="D24" s="823"/>
      <c r="E24" s="821">
        <v>0.5</v>
      </c>
      <c r="F24" s="824"/>
      <c r="G24" s="825"/>
      <c r="H24" s="817"/>
      <c r="I24" s="817"/>
    </row>
    <row r="25" spans="1:9" s="826" customFormat="1" ht="19.5" customHeight="1">
      <c r="A25" s="3566"/>
      <c r="B25" s="3566"/>
      <c r="C25" s="822" t="s">
        <v>574</v>
      </c>
      <c r="D25" s="823"/>
      <c r="E25" s="821">
        <v>1.1000000000000001</v>
      </c>
      <c r="F25" s="824"/>
      <c r="G25" s="825"/>
      <c r="H25" s="817"/>
      <c r="I25" s="817"/>
    </row>
    <row r="26" spans="1:9" s="826" customFormat="1" ht="19.5" customHeight="1">
      <c r="A26" s="3566"/>
      <c r="B26" s="3566"/>
      <c r="C26" s="822" t="s">
        <v>575</v>
      </c>
      <c r="D26" s="823"/>
      <c r="E26" s="821">
        <v>1.1000000000000001</v>
      </c>
      <c r="F26" s="824"/>
      <c r="G26" s="825"/>
      <c r="H26" s="817"/>
      <c r="I26" s="817"/>
    </row>
    <row r="27" spans="1:9" s="826" customFormat="1" ht="19.5" customHeight="1">
      <c r="A27" s="3566"/>
      <c r="B27" s="3566"/>
      <c r="C27" s="822" t="s">
        <v>576</v>
      </c>
      <c r="D27" s="823"/>
      <c r="E27" s="821">
        <v>0.9</v>
      </c>
      <c r="F27" s="824" t="s">
        <v>577</v>
      </c>
      <c r="G27" s="825"/>
      <c r="H27" s="817"/>
      <c r="I27" s="817"/>
    </row>
    <row r="28" spans="1:9" s="826" customFormat="1" ht="19.5" customHeight="1">
      <c r="A28" s="3566"/>
      <c r="B28" s="3566"/>
      <c r="C28" s="822" t="s">
        <v>578</v>
      </c>
      <c r="D28" s="823"/>
      <c r="E28" s="821">
        <v>0.9</v>
      </c>
      <c r="F28" s="824" t="s">
        <v>579</v>
      </c>
      <c r="G28" s="825"/>
      <c r="H28" s="817"/>
      <c r="I28" s="817"/>
    </row>
    <row r="29" spans="1:9" s="826" customFormat="1" ht="19.5" customHeight="1">
      <c r="A29" s="3566"/>
      <c r="B29" s="3566"/>
      <c r="C29" s="822" t="s">
        <v>580</v>
      </c>
      <c r="D29" s="823"/>
      <c r="E29" s="821">
        <v>0.9</v>
      </c>
      <c r="F29" s="824" t="s">
        <v>581</v>
      </c>
      <c r="G29" s="825"/>
      <c r="H29" s="817"/>
      <c r="I29" s="817"/>
    </row>
    <row r="30" spans="1:9" s="826" customFormat="1" ht="19.5" customHeight="1">
      <c r="A30" s="3566"/>
      <c r="B30" s="3566"/>
      <c r="C30" s="822" t="s">
        <v>582</v>
      </c>
      <c r="D30" s="823"/>
      <c r="E30" s="821">
        <v>0.9</v>
      </c>
      <c r="F30" s="824" t="s">
        <v>583</v>
      </c>
      <c r="G30" s="825"/>
      <c r="H30" s="817"/>
      <c r="I30" s="817"/>
    </row>
    <row r="31" spans="1:9" s="826" customFormat="1" ht="19.5" customHeight="1">
      <c r="A31" s="3566"/>
      <c r="B31" s="3566"/>
      <c r="C31" s="822" t="s">
        <v>584</v>
      </c>
      <c r="D31" s="823"/>
      <c r="E31" s="821">
        <v>0.8</v>
      </c>
      <c r="F31" s="824" t="s">
        <v>585</v>
      </c>
      <c r="G31" s="825"/>
      <c r="H31" s="817"/>
      <c r="I31" s="817"/>
    </row>
    <row r="32" spans="1:9" s="826" customFormat="1" ht="19.5" customHeight="1">
      <c r="A32" s="3566"/>
      <c r="B32" s="3566"/>
      <c r="C32" s="822" t="s">
        <v>586</v>
      </c>
      <c r="D32" s="823"/>
      <c r="E32" s="821">
        <v>0.8</v>
      </c>
      <c r="F32" s="824" t="s">
        <v>587</v>
      </c>
      <c r="G32" s="825"/>
      <c r="H32" s="817"/>
      <c r="I32" s="817"/>
    </row>
    <row r="33" spans="1:9" s="826" customFormat="1" ht="19.5" customHeight="1">
      <c r="A33" s="3566" t="s">
        <v>185</v>
      </c>
      <c r="B33" s="821" t="s">
        <v>560</v>
      </c>
      <c r="C33" s="822" t="s">
        <v>588</v>
      </c>
      <c r="D33" s="823"/>
      <c r="E33" s="821">
        <v>1</v>
      </c>
      <c r="F33" s="824" t="s">
        <v>589</v>
      </c>
      <c r="G33" s="825"/>
      <c r="H33" s="817"/>
      <c r="I33" s="817"/>
    </row>
    <row r="34" spans="1:9" s="826" customFormat="1" ht="19.5" customHeight="1">
      <c r="A34" s="3566"/>
      <c r="B34" s="821" t="s">
        <v>563</v>
      </c>
      <c r="C34" s="822" t="s">
        <v>590</v>
      </c>
      <c r="D34" s="823"/>
      <c r="E34" s="821">
        <v>1.5</v>
      </c>
      <c r="F34" s="824" t="s">
        <v>591</v>
      </c>
      <c r="G34" s="825"/>
      <c r="H34" s="817"/>
      <c r="I34" s="817"/>
    </row>
    <row r="35" spans="1:9" s="826" customFormat="1" ht="19.5" customHeight="1">
      <c r="A35" s="3566" t="s">
        <v>186</v>
      </c>
      <c r="B35" s="821" t="s">
        <v>560</v>
      </c>
      <c r="C35" s="822" t="s">
        <v>592</v>
      </c>
      <c r="D35" s="823"/>
      <c r="E35" s="821">
        <v>1</v>
      </c>
      <c r="F35" s="824" t="s">
        <v>593</v>
      </c>
      <c r="G35" s="825"/>
      <c r="H35" s="817"/>
      <c r="I35" s="817"/>
    </row>
    <row r="36" spans="1:9" s="826" customFormat="1" ht="19.5" customHeight="1">
      <c r="A36" s="3566"/>
      <c r="B36" s="3566" t="s">
        <v>563</v>
      </c>
      <c r="C36" s="822" t="s">
        <v>594</v>
      </c>
      <c r="D36" s="823"/>
      <c r="E36" s="821">
        <v>1</v>
      </c>
      <c r="F36" s="824" t="s">
        <v>595</v>
      </c>
      <c r="G36" s="825"/>
      <c r="H36" s="817"/>
      <c r="I36" s="817"/>
    </row>
    <row r="37" spans="1:9" s="826" customFormat="1" ht="19.5" customHeight="1">
      <c r="A37" s="3566"/>
      <c r="B37" s="3566"/>
      <c r="C37" s="822" t="s">
        <v>596</v>
      </c>
      <c r="D37" s="823"/>
      <c r="E37" s="821">
        <v>1.5</v>
      </c>
      <c r="F37" s="824" t="s">
        <v>597</v>
      </c>
      <c r="G37" s="825"/>
      <c r="H37" s="817"/>
      <c r="I37" s="817"/>
    </row>
    <row r="38" spans="1:9" s="826" customFormat="1" ht="19.5" customHeight="1">
      <c r="A38" s="3566"/>
      <c r="B38" s="3566"/>
      <c r="C38" s="822" t="s">
        <v>598</v>
      </c>
      <c r="D38" s="823"/>
      <c r="E38" s="821">
        <v>1</v>
      </c>
      <c r="F38" s="824" t="s">
        <v>599</v>
      </c>
      <c r="G38" s="825"/>
      <c r="H38" s="817"/>
      <c r="I38" s="817"/>
    </row>
    <row r="39" spans="1:9" s="826" customFormat="1" ht="19.5" customHeight="1">
      <c r="A39" s="3566"/>
      <c r="B39" s="356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6" t="s">
        <v>614</v>
      </c>
      <c r="C61" s="757" t="s">
        <v>615</v>
      </c>
      <c r="D61" s="757" t="s">
        <v>616</v>
      </c>
      <c r="E61" s="834">
        <v>0.5</v>
      </c>
      <c r="F61" s="821">
        <v>80</v>
      </c>
    </row>
    <row r="62" spans="1:8" s="817" customFormat="1" ht="24">
      <c r="A62" s="821">
        <v>2</v>
      </c>
      <c r="B62" s="3566"/>
      <c r="C62" s="757" t="s">
        <v>617</v>
      </c>
      <c r="D62" s="757" t="s">
        <v>618</v>
      </c>
      <c r="E62" s="834">
        <v>0.5</v>
      </c>
      <c r="F62" s="821">
        <v>80</v>
      </c>
    </row>
    <row r="63" spans="1:8" s="817" customFormat="1" ht="36">
      <c r="A63" s="821">
        <v>3</v>
      </c>
      <c r="B63" s="3566"/>
      <c r="C63" s="757" t="s">
        <v>619</v>
      </c>
      <c r="D63" s="757" t="s">
        <v>620</v>
      </c>
      <c r="E63" s="834">
        <v>0.5</v>
      </c>
      <c r="F63" s="821">
        <v>80</v>
      </c>
    </row>
    <row r="64" spans="1:8" s="817" customFormat="1" ht="36">
      <c r="A64" s="821">
        <v>4</v>
      </c>
      <c r="B64" s="3566"/>
      <c r="C64" s="757" t="s">
        <v>621</v>
      </c>
      <c r="D64" s="757" t="s">
        <v>622</v>
      </c>
      <c r="E64" s="834">
        <v>0.4</v>
      </c>
      <c r="F64" s="821">
        <v>60</v>
      </c>
    </row>
    <row r="65" spans="1:6" s="817" customFormat="1" ht="36">
      <c r="A65" s="821">
        <v>5</v>
      </c>
      <c r="B65" s="3566"/>
      <c r="C65" s="757" t="s">
        <v>623</v>
      </c>
      <c r="D65" s="757" t="s">
        <v>624</v>
      </c>
      <c r="E65" s="834">
        <v>0.2</v>
      </c>
      <c r="F65" s="821">
        <v>30</v>
      </c>
    </row>
    <row r="66" spans="1:6" s="817" customFormat="1" ht="36">
      <c r="A66" s="821">
        <v>6</v>
      </c>
      <c r="B66" s="3566"/>
      <c r="C66" s="757" t="s">
        <v>625</v>
      </c>
      <c r="D66" s="757" t="s">
        <v>626</v>
      </c>
      <c r="E66" s="834">
        <v>0.3</v>
      </c>
      <c r="F66" s="821">
        <v>50</v>
      </c>
    </row>
    <row r="67" spans="1:6" s="817" customFormat="1" ht="36">
      <c r="A67" s="821">
        <v>7</v>
      </c>
      <c r="B67" s="3566"/>
      <c r="C67" s="757" t="s">
        <v>627</v>
      </c>
      <c r="D67" s="757" t="s">
        <v>628</v>
      </c>
      <c r="E67" s="834">
        <v>0.2</v>
      </c>
      <c r="F67" s="821">
        <v>30</v>
      </c>
    </row>
    <row r="68" spans="1:6" s="817" customFormat="1" ht="36">
      <c r="A68" s="821">
        <v>8</v>
      </c>
      <c r="B68" s="3566"/>
      <c r="C68" s="757" t="s">
        <v>629</v>
      </c>
      <c r="D68" s="757" t="s">
        <v>630</v>
      </c>
      <c r="E68" s="834">
        <v>0.2</v>
      </c>
      <c r="F68" s="821">
        <v>30</v>
      </c>
    </row>
    <row r="69" spans="1:6" s="817" customFormat="1" ht="36">
      <c r="A69" s="821">
        <v>9</v>
      </c>
      <c r="B69" s="3566"/>
      <c r="C69" s="757" t="s">
        <v>631</v>
      </c>
      <c r="D69" s="757" t="s">
        <v>632</v>
      </c>
      <c r="E69" s="834">
        <v>0.2</v>
      </c>
      <c r="F69" s="821">
        <v>30</v>
      </c>
    </row>
    <row r="70" spans="1:6" s="817" customFormat="1" ht="48">
      <c r="A70" s="821">
        <v>10</v>
      </c>
      <c r="B70" s="3566"/>
      <c r="C70" s="757" t="s">
        <v>633</v>
      </c>
      <c r="D70" s="757" t="s">
        <v>634</v>
      </c>
      <c r="E70" s="834">
        <v>0.2</v>
      </c>
      <c r="F70" s="821">
        <v>30</v>
      </c>
    </row>
    <row r="71" spans="1:6" s="817" customFormat="1" ht="48">
      <c r="A71" s="821">
        <v>11</v>
      </c>
      <c r="B71" s="3566"/>
      <c r="C71" s="757" t="s">
        <v>635</v>
      </c>
      <c r="D71" s="757" t="s">
        <v>636</v>
      </c>
      <c r="E71" s="834">
        <v>0.2</v>
      </c>
      <c r="F71" s="821">
        <v>30</v>
      </c>
    </row>
    <row r="72" spans="1:6" s="817" customFormat="1" ht="36">
      <c r="A72" s="821">
        <v>12</v>
      </c>
      <c r="B72" s="3566"/>
      <c r="C72" s="757" t="s">
        <v>637</v>
      </c>
      <c r="D72" s="757" t="s">
        <v>638</v>
      </c>
      <c r="E72" s="834">
        <v>0.5</v>
      </c>
      <c r="F72" s="821">
        <v>80</v>
      </c>
    </row>
    <row r="73" spans="1:6" s="817" customFormat="1" ht="24">
      <c r="A73" s="821">
        <v>13</v>
      </c>
      <c r="B73" s="3566"/>
      <c r="C73" s="757" t="s">
        <v>639</v>
      </c>
      <c r="D73" s="757" t="s">
        <v>640</v>
      </c>
      <c r="E73" s="834">
        <v>0.4</v>
      </c>
      <c r="F73" s="821">
        <v>60</v>
      </c>
    </row>
    <row r="74" spans="1:6" s="817" customFormat="1" ht="24">
      <c r="A74" s="821">
        <v>14</v>
      </c>
      <c r="B74" s="3566"/>
      <c r="C74" s="757" t="s">
        <v>641</v>
      </c>
      <c r="D74" s="757" t="s">
        <v>642</v>
      </c>
      <c r="E74" s="834">
        <v>0.2</v>
      </c>
      <c r="F74" s="821">
        <v>30</v>
      </c>
    </row>
    <row r="75" spans="1:6" s="817" customFormat="1" ht="24">
      <c r="A75" s="821">
        <v>15</v>
      </c>
      <c r="B75" s="3566"/>
      <c r="C75" s="757" t="s">
        <v>643</v>
      </c>
      <c r="D75" s="757" t="s">
        <v>644</v>
      </c>
      <c r="E75" s="834">
        <v>0.2</v>
      </c>
      <c r="F75" s="821">
        <v>30</v>
      </c>
    </row>
    <row r="76" spans="1:6" s="817" customFormat="1" ht="24">
      <c r="A76" s="821">
        <v>16</v>
      </c>
      <c r="B76" s="3566" t="s">
        <v>645</v>
      </c>
      <c r="C76" s="757" t="s">
        <v>646</v>
      </c>
      <c r="D76" s="757" t="s">
        <v>647</v>
      </c>
      <c r="E76" s="834">
        <v>0.5</v>
      </c>
      <c r="F76" s="821">
        <v>80</v>
      </c>
    </row>
    <row r="77" spans="1:6" s="817" customFormat="1" ht="24">
      <c r="A77" s="821">
        <v>17</v>
      </c>
      <c r="B77" s="3566"/>
      <c r="C77" s="757" t="s">
        <v>648</v>
      </c>
      <c r="D77" s="757" t="s">
        <v>649</v>
      </c>
      <c r="E77" s="834">
        <v>0.5</v>
      </c>
      <c r="F77" s="821">
        <v>80</v>
      </c>
    </row>
    <row r="78" spans="1:6" s="817" customFormat="1" ht="24">
      <c r="A78" s="821">
        <v>18</v>
      </c>
      <c r="B78" s="3566"/>
      <c r="C78" s="757" t="s">
        <v>650</v>
      </c>
      <c r="D78" s="757" t="s">
        <v>651</v>
      </c>
      <c r="E78" s="834">
        <v>0.2</v>
      </c>
      <c r="F78" s="821">
        <v>30</v>
      </c>
    </row>
    <row r="79" spans="1:6" s="817" customFormat="1" ht="24">
      <c r="A79" s="821">
        <v>19</v>
      </c>
      <c r="B79" s="3566"/>
      <c r="C79" s="757" t="s">
        <v>652</v>
      </c>
      <c r="D79" s="757" t="s">
        <v>653</v>
      </c>
      <c r="E79" s="834">
        <v>0.5</v>
      </c>
      <c r="F79" s="821">
        <v>80</v>
      </c>
    </row>
    <row r="80" spans="1:6" s="817" customFormat="1" ht="36">
      <c r="A80" s="821">
        <v>20</v>
      </c>
      <c r="B80" s="3566"/>
      <c r="C80" s="757" t="s">
        <v>654</v>
      </c>
      <c r="D80" s="757" t="s">
        <v>655</v>
      </c>
      <c r="E80" s="834">
        <v>0.2</v>
      </c>
      <c r="F80" s="821">
        <v>30</v>
      </c>
    </row>
    <row r="81" spans="1:6" s="817" customFormat="1" ht="36">
      <c r="A81" s="821">
        <v>21</v>
      </c>
      <c r="B81" s="3566"/>
      <c r="C81" s="757" t="s">
        <v>656</v>
      </c>
      <c r="D81" s="757" t="s">
        <v>657</v>
      </c>
      <c r="E81" s="834">
        <v>0.2</v>
      </c>
      <c r="F81" s="821">
        <v>30</v>
      </c>
    </row>
    <row r="82" spans="1:6" s="817" customFormat="1" ht="48">
      <c r="A82" s="821">
        <v>22</v>
      </c>
      <c r="B82" s="3566"/>
      <c r="C82" s="757" t="s">
        <v>658</v>
      </c>
      <c r="D82" s="757" t="s">
        <v>659</v>
      </c>
      <c r="E82" s="834">
        <v>0.2</v>
      </c>
      <c r="F82" s="821">
        <v>30</v>
      </c>
    </row>
    <row r="83" spans="1:6" s="817" customFormat="1" ht="48">
      <c r="A83" s="821">
        <v>23</v>
      </c>
      <c r="B83" s="3566"/>
      <c r="C83" s="757" t="s">
        <v>660</v>
      </c>
      <c r="D83" s="757" t="s">
        <v>661</v>
      </c>
      <c r="E83" s="834">
        <v>0.2</v>
      </c>
      <c r="F83" s="821">
        <v>30</v>
      </c>
    </row>
    <row r="84" spans="1:6" s="817" customFormat="1" ht="36">
      <c r="A84" s="821">
        <v>24</v>
      </c>
      <c r="B84" s="3566"/>
      <c r="C84" s="757" t="s">
        <v>662</v>
      </c>
      <c r="D84" s="757" t="s">
        <v>663</v>
      </c>
      <c r="E84" s="834">
        <v>0.2</v>
      </c>
      <c r="F84" s="821">
        <v>30</v>
      </c>
    </row>
    <row r="85" spans="1:6" s="817" customFormat="1" ht="36">
      <c r="A85" s="821">
        <v>25</v>
      </c>
      <c r="B85" s="3566"/>
      <c r="C85" s="757" t="s">
        <v>664</v>
      </c>
      <c r="D85" s="757" t="s">
        <v>665</v>
      </c>
      <c r="E85" s="834">
        <v>0.5</v>
      </c>
      <c r="F85" s="821">
        <v>80</v>
      </c>
    </row>
    <row r="86" spans="1:6" s="817" customFormat="1" ht="36">
      <c r="A86" s="821">
        <v>26</v>
      </c>
      <c r="B86" s="3566"/>
      <c r="C86" s="757" t="s">
        <v>666</v>
      </c>
      <c r="D86" s="757" t="s">
        <v>667</v>
      </c>
      <c r="E86" s="834">
        <v>0.2</v>
      </c>
      <c r="F86" s="821">
        <v>30</v>
      </c>
    </row>
    <row r="87" spans="1:6" s="817" customFormat="1" ht="36">
      <c r="A87" s="821">
        <v>27</v>
      </c>
      <c r="B87" s="3566"/>
      <c r="C87" s="757" t="s">
        <v>668</v>
      </c>
      <c r="D87" s="757" t="s">
        <v>669</v>
      </c>
      <c r="E87" s="834">
        <v>0.2</v>
      </c>
      <c r="F87" s="821">
        <v>30</v>
      </c>
    </row>
    <row r="88" spans="1:6" s="817" customFormat="1" ht="36">
      <c r="A88" s="821">
        <v>28</v>
      </c>
      <c r="B88" s="3566"/>
      <c r="C88" s="757" t="s">
        <v>670</v>
      </c>
      <c r="D88" s="757" t="s">
        <v>671</v>
      </c>
      <c r="E88" s="834">
        <v>0.2</v>
      </c>
      <c r="F88" s="821">
        <v>30</v>
      </c>
    </row>
    <row r="89" spans="1:6" s="817" customFormat="1" ht="24">
      <c r="A89" s="821">
        <v>29</v>
      </c>
      <c r="B89" s="3566"/>
      <c r="C89" s="757" t="s">
        <v>672</v>
      </c>
      <c r="D89" s="757" t="s">
        <v>673</v>
      </c>
      <c r="E89" s="834">
        <v>0.2</v>
      </c>
      <c r="F89" s="821">
        <v>30</v>
      </c>
    </row>
    <row r="90" spans="1:6" s="817" customFormat="1" ht="24">
      <c r="A90" s="821">
        <v>30</v>
      </c>
      <c r="B90" s="3566"/>
      <c r="C90" s="757" t="s">
        <v>674</v>
      </c>
      <c r="D90" s="757" t="s">
        <v>675</v>
      </c>
      <c r="E90" s="834">
        <v>0.2</v>
      </c>
      <c r="F90" s="821">
        <v>30</v>
      </c>
    </row>
    <row r="91" spans="1:6" s="817" customFormat="1" ht="36">
      <c r="A91" s="821">
        <v>31</v>
      </c>
      <c r="B91" s="3566"/>
      <c r="C91" s="757" t="s">
        <v>676</v>
      </c>
      <c r="D91" s="757" t="s">
        <v>677</v>
      </c>
      <c r="E91" s="834">
        <v>0.2</v>
      </c>
      <c r="F91" s="821">
        <v>30</v>
      </c>
    </row>
    <row r="92" spans="1:6" s="817" customFormat="1" ht="24">
      <c r="A92" s="821">
        <v>32</v>
      </c>
      <c r="B92" s="3566" t="s">
        <v>678</v>
      </c>
      <c r="C92" s="821" t="s">
        <v>679</v>
      </c>
      <c r="D92" s="757" t="s">
        <v>680</v>
      </c>
      <c r="E92" s="834">
        <v>0.2</v>
      </c>
      <c r="F92" s="821">
        <v>30</v>
      </c>
    </row>
    <row r="93" spans="1:6" s="817" customFormat="1" ht="36">
      <c r="A93" s="821">
        <v>33</v>
      </c>
      <c r="B93" s="3566"/>
      <c r="C93" s="821" t="s">
        <v>681</v>
      </c>
      <c r="D93" s="757" t="s">
        <v>682</v>
      </c>
      <c r="E93" s="834">
        <v>0.2</v>
      </c>
      <c r="F93" s="821">
        <v>30</v>
      </c>
    </row>
    <row r="94" spans="1:6" s="817" customFormat="1" ht="48">
      <c r="A94" s="821">
        <v>34</v>
      </c>
      <c r="B94" s="3566"/>
      <c r="C94" s="821" t="s">
        <v>683</v>
      </c>
      <c r="D94" s="757" t="s">
        <v>684</v>
      </c>
      <c r="E94" s="834">
        <v>0.2</v>
      </c>
      <c r="F94" s="821">
        <v>30</v>
      </c>
    </row>
    <row r="95" spans="1:6" s="817" customFormat="1" ht="36">
      <c r="A95" s="821">
        <v>35</v>
      </c>
      <c r="B95" s="3566"/>
      <c r="C95" s="821" t="s">
        <v>685</v>
      </c>
      <c r="D95" s="757" t="s">
        <v>686</v>
      </c>
      <c r="E95" s="834">
        <v>0.2</v>
      </c>
      <c r="F95" s="821">
        <v>30</v>
      </c>
    </row>
    <row r="96" spans="1:6" s="817" customFormat="1" ht="48">
      <c r="A96" s="821">
        <v>36</v>
      </c>
      <c r="B96" s="3566"/>
      <c r="C96" s="757" t="s">
        <v>687</v>
      </c>
      <c r="D96" s="757" t="s">
        <v>688</v>
      </c>
      <c r="E96" s="834">
        <v>0.2</v>
      </c>
      <c r="F96" s="821">
        <v>30</v>
      </c>
    </row>
    <row r="97" spans="1:6" s="817" customFormat="1" ht="36">
      <c r="A97" s="821">
        <v>37</v>
      </c>
      <c r="B97" s="3566"/>
      <c r="C97" s="821" t="s">
        <v>689</v>
      </c>
      <c r="D97" s="757" t="s">
        <v>690</v>
      </c>
      <c r="E97" s="834">
        <v>0.2</v>
      </c>
      <c r="F97" s="821">
        <v>30</v>
      </c>
    </row>
    <row r="98" spans="1:6" s="817" customFormat="1" ht="36">
      <c r="A98" s="821">
        <v>38</v>
      </c>
      <c r="B98" s="3566"/>
      <c r="C98" s="821" t="s">
        <v>691</v>
      </c>
      <c r="D98" s="757" t="s">
        <v>692</v>
      </c>
      <c r="E98" s="834">
        <v>0.2</v>
      </c>
      <c r="F98" s="821">
        <v>30</v>
      </c>
    </row>
    <row r="99" spans="1:6" s="817" customFormat="1" ht="36">
      <c r="A99" s="821">
        <v>39</v>
      </c>
      <c r="B99" s="3566" t="s">
        <v>693</v>
      </c>
      <c r="C99" s="821" t="s">
        <v>694</v>
      </c>
      <c r="D99" s="757" t="s">
        <v>695</v>
      </c>
      <c r="E99" s="834">
        <v>0.3</v>
      </c>
      <c r="F99" s="821">
        <v>50</v>
      </c>
    </row>
    <row r="100" spans="1:6" s="817" customFormat="1" ht="24">
      <c r="A100" s="821">
        <v>40</v>
      </c>
      <c r="B100" s="3566"/>
      <c r="C100" s="821" t="s">
        <v>696</v>
      </c>
      <c r="D100" s="757" t="s">
        <v>697</v>
      </c>
      <c r="E100" s="834">
        <v>0.2</v>
      </c>
      <c r="F100" s="821">
        <v>30</v>
      </c>
    </row>
    <row r="101" spans="1:6" s="817" customFormat="1" ht="36">
      <c r="A101" s="821">
        <v>41</v>
      </c>
      <c r="B101" s="356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6" t="s">
        <v>708</v>
      </c>
      <c r="C105" s="821" t="s">
        <v>709</v>
      </c>
      <c r="D105" s="757" t="s">
        <v>710</v>
      </c>
      <c r="E105" s="834">
        <v>0.2</v>
      </c>
      <c r="F105" s="821">
        <v>30</v>
      </c>
    </row>
    <row r="106" spans="1:6" s="817" customFormat="1" ht="36">
      <c r="A106" s="821">
        <v>46</v>
      </c>
      <c r="B106" s="3566"/>
      <c r="C106" s="821" t="s">
        <v>711</v>
      </c>
      <c r="D106" s="757" t="s">
        <v>712</v>
      </c>
      <c r="E106" s="834">
        <v>0.2</v>
      </c>
      <c r="F106" s="821">
        <v>30</v>
      </c>
    </row>
    <row r="107" spans="1:6" s="817" customFormat="1" ht="36">
      <c r="A107" s="821">
        <v>47</v>
      </c>
      <c r="B107" s="3566" t="s">
        <v>713</v>
      </c>
      <c r="C107" s="821" t="s">
        <v>714</v>
      </c>
      <c r="D107" s="757" t="s">
        <v>715</v>
      </c>
      <c r="E107" s="834">
        <v>0.3</v>
      </c>
      <c r="F107" s="821">
        <v>50</v>
      </c>
    </row>
    <row r="108" spans="1:6" s="817" customFormat="1" ht="36">
      <c r="A108" s="821">
        <v>48</v>
      </c>
      <c r="B108" s="356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6" t="s">
        <v>724</v>
      </c>
      <c r="C111" s="821" t="s">
        <v>725</v>
      </c>
      <c r="D111" s="757" t="s">
        <v>726</v>
      </c>
      <c r="E111" s="834">
        <v>0.2</v>
      </c>
      <c r="F111" s="821">
        <v>30</v>
      </c>
    </row>
    <row r="112" spans="1:6" s="817" customFormat="1" ht="24">
      <c r="A112" s="821">
        <v>52</v>
      </c>
      <c r="B112" s="3566"/>
      <c r="C112" s="821" t="s">
        <v>727</v>
      </c>
      <c r="D112" s="757" t="s">
        <v>728</v>
      </c>
      <c r="E112" s="834">
        <v>0.2</v>
      </c>
      <c r="F112" s="821">
        <v>30</v>
      </c>
    </row>
    <row r="113" spans="1:6" s="817" customFormat="1" ht="24">
      <c r="A113" s="821">
        <v>53</v>
      </c>
      <c r="B113" s="356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6" t="s">
        <v>737</v>
      </c>
      <c r="C116" s="821" t="s">
        <v>738</v>
      </c>
      <c r="D116" s="757" t="s">
        <v>739</v>
      </c>
      <c r="E116" s="834">
        <v>0.2</v>
      </c>
      <c r="F116" s="821">
        <v>30</v>
      </c>
    </row>
    <row r="117" spans="1:6" ht="36">
      <c r="A117" s="821">
        <v>57</v>
      </c>
      <c r="B117" s="356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t="e">
        <f ca="1">SUMIF(B6:B13,"&lt;&gt;#ref!",B6:B13)</f>
        <v>#DIV/0!</v>
      </c>
      <c r="C2" s="2361" t="s">
        <v>2814</v>
      </c>
      <c r="D2" s="2361" t="s">
        <v>2815</v>
      </c>
      <c r="E2" s="2838">
        <f ca="1">SUMIF(E6:E13,"&lt;&gt;#ref!",E6:E13)</f>
        <v>0</v>
      </c>
      <c r="F2" s="3024"/>
      <c r="G2" s="3024"/>
      <c r="H2" s="3024"/>
      <c r="I2" s="3024"/>
      <c r="J2" s="3024"/>
      <c r="K2" s="3024"/>
      <c r="L2" s="3024"/>
      <c r="M2" s="3024"/>
      <c r="N2" s="3024"/>
      <c r="O2" s="3024"/>
      <c r="P2" s="3024"/>
    </row>
    <row r="3" spans="1:16" ht="15.75">
      <c r="A3" s="2361" t="s">
        <v>2816</v>
      </c>
      <c r="B3" s="2828" t="e">
        <f ca="1">ROUND(B2*10000/E2,0)</f>
        <v>#DIV/0!</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1" t="s">
        <v>2814</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7" sqref="C7:Q4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72" t="s">
        <v>1117</v>
      </c>
      <c r="C1" s="3572"/>
      <c r="D1" s="3572"/>
      <c r="E1" s="3572"/>
      <c r="F1" s="3572"/>
      <c r="G1" s="3571" t="s">
        <v>1118</v>
      </c>
      <c r="H1" s="3571"/>
      <c r="I1" s="3571"/>
      <c r="J1" s="3571"/>
      <c r="K1" s="3571"/>
      <c r="L1" s="3571"/>
      <c r="N1" s="3571" t="s">
        <v>1119</v>
      </c>
      <c r="O1" s="3571"/>
      <c r="P1" s="3571"/>
      <c r="Q1" s="3571"/>
      <c r="S1" s="3571" t="s">
        <v>1120</v>
      </c>
      <c r="T1" s="3571"/>
      <c r="U1" s="3571"/>
      <c r="V1" s="3571"/>
      <c r="X1" s="3570" t="s">
        <v>1121</v>
      </c>
      <c r="Y1" s="3571"/>
      <c r="Z1" s="3571"/>
      <c r="AA1" s="3571"/>
      <c r="AB1" s="3571"/>
      <c r="AD1" s="3570" t="s">
        <v>1122</v>
      </c>
      <c r="AE1" s="3571"/>
      <c r="AF1" s="3571"/>
      <c r="AG1" s="3571"/>
      <c r="AH1" s="3571"/>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3061</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3060</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568">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568"/>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568"/>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577"/>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573">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568"/>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568"/>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577"/>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573">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568"/>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568"/>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569"/>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567">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568"/>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568"/>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569"/>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567">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568"/>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568"/>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569"/>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574">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575"/>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575"/>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576"/>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567">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568"/>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568"/>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569"/>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567">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568">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568">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569">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567">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568">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568">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569">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567">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568">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568">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569">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567">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568">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568">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569">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567">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568">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568">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569">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567">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568">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568">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569">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567">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568">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568">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569">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567">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568">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568">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569">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567">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568">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568">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569">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567">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568">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568">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569">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581" t="s">
        <v>2824</v>
      </c>
      <c r="D1" s="3582"/>
      <c r="E1" s="3582"/>
      <c r="F1" s="3582"/>
      <c r="G1" s="3582"/>
      <c r="H1" s="3582"/>
      <c r="I1" s="3582"/>
      <c r="J1" s="3582"/>
      <c r="K1" s="3582"/>
      <c r="L1" s="3582"/>
      <c r="M1" s="3582"/>
      <c r="N1" s="3582"/>
      <c r="O1" s="3582"/>
      <c r="P1" s="3582"/>
      <c r="Q1" s="3582"/>
      <c r="R1" s="3582"/>
      <c r="S1" s="3583"/>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578" t="s">
        <v>33</v>
      </c>
      <c r="D22" s="3579"/>
      <c r="E22" s="3579"/>
      <c r="F22" s="3579"/>
      <c r="G22" s="3579"/>
      <c r="H22" s="3579"/>
      <c r="I22" s="3579"/>
      <c r="J22" s="3579"/>
      <c r="K22" s="3579"/>
      <c r="L22" s="3579"/>
      <c r="M22" s="3579"/>
      <c r="N22" s="3579"/>
      <c r="O22" s="3579"/>
      <c r="P22" s="3579"/>
      <c r="Q22" s="3580"/>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v>
      </c>
      <c r="B3" s="3255"/>
      <c r="C3" s="3255"/>
      <c r="D3" s="3255"/>
      <c r="E3" s="3255"/>
    </row>
    <row r="4" spans="1:5" ht="19.5" thickBot="1">
      <c r="A4" s="1678"/>
      <c r="B4" s="3253" t="s">
        <v>1595</v>
      </c>
      <c r="C4" s="3253"/>
      <c r="D4" s="3253"/>
      <c r="E4" s="1678"/>
    </row>
    <row r="5" spans="1:5" ht="16.5" thickTop="1">
      <c r="A5" s="1676"/>
      <c r="B5" s="3251" t="s">
        <v>1587</v>
      </c>
      <c r="C5" s="1679" t="s">
        <v>1588</v>
      </c>
      <c r="D5" s="959">
        <f ca="1">结果表!H101</f>
        <v>130545</v>
      </c>
      <c r="E5" s="1676"/>
    </row>
    <row r="6" spans="1:5" ht="15.75">
      <c r="A6" s="1676"/>
      <c r="B6" s="3251"/>
      <c r="C6" s="1679" t="s">
        <v>1589</v>
      </c>
      <c r="D6" s="959" t="str">
        <f ca="1">NUMBERSTRING(INT(D5*10000),2)&amp;"元整"</f>
        <v>壹拾叁亿零伍佰肆拾伍万元整</v>
      </c>
      <c r="E6" s="1676"/>
    </row>
    <row r="7" spans="1:5" ht="15.75">
      <c r="A7" s="1676"/>
      <c r="B7" s="3256"/>
      <c r="C7" s="1680" t="s">
        <v>1590</v>
      </c>
      <c r="D7" s="960">
        <f ca="1">结果表!H102</f>
        <v>9259</v>
      </c>
      <c r="E7" s="1676"/>
    </row>
    <row r="8" spans="1:5" ht="15.75">
      <c r="A8" s="1676"/>
      <c r="B8" s="3257" t="str">
        <f>结果表!E103</f>
        <v>2.估价师知悉的法定优先受偿款</v>
      </c>
      <c r="C8" s="1681" t="s">
        <v>1591</v>
      </c>
      <c r="D8" s="960">
        <f>结果表!H103</f>
        <v>0</v>
      </c>
      <c r="E8" s="1676"/>
    </row>
    <row r="9" spans="1:5" ht="15.75">
      <c r="A9" s="1676"/>
      <c r="B9" s="325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250" t="str">
        <f>结果表!E107</f>
        <v>3.房地产抵押价值</v>
      </c>
      <c r="C13" s="1684" t="s">
        <v>1588</v>
      </c>
      <c r="D13" s="962">
        <f ca="1">结果表!H107</f>
        <v>130545</v>
      </c>
      <c r="E13" s="1676"/>
    </row>
    <row r="14" spans="1:5" ht="15.75">
      <c r="A14" s="1676"/>
      <c r="B14" s="3251"/>
      <c r="C14" s="1679" t="s">
        <v>1589</v>
      </c>
      <c r="D14" s="959" t="str">
        <f ca="1">NUMBERSTRING(INT(D13*10000),2)&amp;"元整"</f>
        <v>壹拾叁亿零伍佰肆拾伍万元整</v>
      </c>
      <c r="E14" s="1676"/>
    </row>
    <row r="15" spans="1:5" ht="15">
      <c r="A15" s="1676"/>
      <c r="B15" s="3256"/>
      <c r="C15" s="1680" t="s">
        <v>1599</v>
      </c>
      <c r="D15" s="968">
        <f ca="1">结果表!H108</f>
        <v>9259</v>
      </c>
      <c r="E15" s="1676"/>
    </row>
    <row r="16" spans="1:5" ht="15">
      <c r="A16" s="1676"/>
      <c r="B16" s="3257" t="str">
        <f>结果表!E109</f>
        <v>——</v>
      </c>
      <c r="C16" s="1684" t="s">
        <v>1600</v>
      </c>
      <c r="D16" s="1685" t="str">
        <f>结果表!H109</f>
        <v>——</v>
      </c>
      <c r="E16" s="1676"/>
    </row>
    <row r="17" spans="1:5" ht="15.75">
      <c r="A17" s="1676"/>
      <c r="B17" s="3258"/>
      <c r="C17" s="1679" t="s">
        <v>1601</v>
      </c>
      <c r="D17" s="959" t="e">
        <f>NUMBERSTRING(INT(D16*10000),2)&amp;"元整"</f>
        <v>#VALUE!</v>
      </c>
      <c r="E17" s="1676"/>
    </row>
    <row r="18" spans="1:5" ht="15">
      <c r="A18" s="1676"/>
      <c r="B18" s="3259"/>
      <c r="C18" s="1680" t="s">
        <v>1590</v>
      </c>
      <c r="D18" s="968" t="str">
        <f>结果表!H110</f>
        <v>——</v>
      </c>
      <c r="E18" s="1676"/>
    </row>
    <row r="19" spans="1:5" ht="15.75">
      <c r="A19" s="1676"/>
      <c r="B19" s="3250" t="str">
        <f>结果表!E111</f>
        <v>4.抵押净值</v>
      </c>
      <c r="C19" s="1684" t="s">
        <v>1588</v>
      </c>
      <c r="D19" s="960">
        <f ca="1">结果表!H111</f>
        <v>117693</v>
      </c>
      <c r="E19" s="1676"/>
    </row>
    <row r="20" spans="1:5" ht="15.75">
      <c r="A20" s="1676"/>
      <c r="B20" s="3251"/>
      <c r="C20" s="1679" t="s">
        <v>1601</v>
      </c>
      <c r="D20" s="959" t="str">
        <f ca="1">NUMBERSTRING(INT(D19*10000),2)&amp;"元整"</f>
        <v>壹拾壹亿柒仟陆佰玖拾叁万元整</v>
      </c>
      <c r="E20" s="1676"/>
    </row>
    <row r="21" spans="1:5" ht="15.75" thickBot="1">
      <c r="A21" s="1676"/>
      <c r="B21" s="3252"/>
      <c r="C21" s="1686" t="s">
        <v>1599</v>
      </c>
      <c r="D21" s="969">
        <f ca="1">结果表!H112</f>
        <v>8347</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116671</v>
      </c>
      <c r="C2" s="2" t="s">
        <v>133</v>
      </c>
      <c r="D2" s="205"/>
      <c r="E2" s="205"/>
      <c r="F2" s="205"/>
      <c r="G2" s="205"/>
    </row>
    <row r="3" spans="1:7" s="206" customFormat="1" ht="18" customHeight="1" thickBot="1">
      <c r="A3" s="209" t="s">
        <v>85</v>
      </c>
      <c r="B3" s="210">
        <f ca="1">ROUND(B2*10000/'数据-汇总表'!E3,0)</f>
        <v>8275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1480</v>
      </c>
      <c r="D10" s="954">
        <f>'数据-汇总表'!E6</f>
        <v>140992.71000000002</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2820</v>
      </c>
      <c r="D19" s="958">
        <f>'数据-汇总表'!E3</f>
        <v>140992.71000000002</v>
      </c>
      <c r="E19" s="217">
        <f>'数据-取费表'!B31</f>
        <v>200</v>
      </c>
      <c r="F19" s="237"/>
      <c r="G19" s="1" t="s">
        <v>1042</v>
      </c>
    </row>
    <row r="20" spans="1:7" s="220" customFormat="1" ht="13.5" customHeight="1">
      <c r="A20" s="885" t="s">
        <v>1025</v>
      </c>
      <c r="B20" s="216" t="s">
        <v>104</v>
      </c>
      <c r="C20" s="238">
        <f>ROUND((C5+C19)*F20,0)</f>
        <v>469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2103</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251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4780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4780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33395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61755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56397</v>
      </c>
      <c r="D34" s="223"/>
      <c r="E34" s="226"/>
      <c r="F34" s="263">
        <f>IF('数据-取费表'!B24=0,1,'数据-取费表'!N16)</f>
        <v>1</v>
      </c>
      <c r="G34" s="225" t="s">
        <v>116</v>
      </c>
    </row>
    <row r="35" spans="1:7" ht="13.5" customHeight="1">
      <c r="A35" s="888" t="s">
        <v>796</v>
      </c>
      <c r="B35" s="221" t="s">
        <v>60</v>
      </c>
      <c r="C35" s="226">
        <f>ROUND(C34*F35,0)</f>
        <v>1692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2820</v>
      </c>
      <c r="D37" s="223">
        <f>'数据-汇总表'!E3</f>
        <v>140992.71000000002</v>
      </c>
      <c r="E37" s="255">
        <f>'数据-取费表'!B35</f>
        <v>200</v>
      </c>
      <c r="F37" s="265"/>
      <c r="G37" s="267" t="s">
        <v>119</v>
      </c>
    </row>
    <row r="38" spans="1:7" ht="13.5" customHeight="1">
      <c r="A38" s="888" t="s">
        <v>799</v>
      </c>
      <c r="B38" s="221" t="s">
        <v>63</v>
      </c>
      <c r="C38" s="226">
        <f>ROUND(C34*F38,0)</f>
        <v>846</v>
      </c>
      <c r="D38" s="226"/>
      <c r="E38" s="226"/>
      <c r="F38" s="265">
        <f>'数据-取费表'!B36</f>
        <v>1.4999999999999999E-2</v>
      </c>
      <c r="G38" s="225" t="s">
        <v>117</v>
      </c>
    </row>
    <row r="39" spans="1:7" s="220" customFormat="1" ht="13.5" customHeight="1">
      <c r="A39" s="885" t="s">
        <v>783</v>
      </c>
      <c r="B39" s="216" t="s">
        <v>104</v>
      </c>
      <c r="C39" s="238">
        <f>ROUND(C33*F20,0)</f>
        <v>1235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2740</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2686</v>
      </c>
      <c r="D42" s="244"/>
      <c r="E42" s="244"/>
      <c r="F42" s="245"/>
      <c r="G42" s="3438" t="s">
        <v>121</v>
      </c>
    </row>
    <row r="43" spans="1:7" ht="13.5" customHeight="1">
      <c r="A43" s="888" t="s">
        <v>792</v>
      </c>
      <c r="B43" s="221" t="s">
        <v>1032</v>
      </c>
      <c r="C43" s="244">
        <f ca="1">ROUND(IF('数据-取费表'!B22&lt;=1,C39*F22*'数据-取费表'!B21/2,C39*(POWER((1+F22),'数据-取费表'!B21/2)-1)),0)</f>
        <v>54</v>
      </c>
      <c r="D43" s="244"/>
      <c r="E43" s="244"/>
      <c r="F43" s="245"/>
      <c r="G43" s="3439"/>
    </row>
    <row r="44" spans="1:7" ht="13.5" customHeight="1">
      <c r="A44" s="888" t="s">
        <v>793</v>
      </c>
      <c r="B44" s="221" t="s">
        <v>1034</v>
      </c>
      <c r="C44" s="244">
        <f ca="1">ROUND(IF('数据-取费表'!B22&lt;=1,C40*F22*'数据-取费表'!B21/2,C40*(POWER((1+F22),'数据-取费表'!B21/2)-1)),4)</f>
        <v>8.9999999999999998E-4</v>
      </c>
      <c r="D44" s="244"/>
      <c r="E44" s="244"/>
      <c r="F44" s="245"/>
      <c r="G44" s="3440"/>
    </row>
    <row r="45" spans="1:7" s="220" customFormat="1" ht="13.5" customHeight="1">
      <c r="A45" s="885" t="s">
        <v>786</v>
      </c>
      <c r="B45" s="250" t="s">
        <v>112</v>
      </c>
      <c r="C45" s="251">
        <f>C46</f>
        <v>12598</v>
      </c>
      <c r="D45" s="241">
        <f>C47</f>
        <v>4.0000000000000001E-3</v>
      </c>
      <c r="E45" s="242" t="s">
        <v>129</v>
      </c>
      <c r="F45" s="252"/>
      <c r="G45" s="253" t="s">
        <v>1040</v>
      </c>
    </row>
    <row r="46" spans="1:7" s="220" customFormat="1" ht="13.5" customHeight="1">
      <c r="A46" s="888" t="s">
        <v>794</v>
      </c>
      <c r="B46" s="254" t="s">
        <v>1033</v>
      </c>
      <c r="C46" s="255">
        <f>ROUND((C33+C39)*F27,0)</f>
        <v>12598</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84976</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83276</v>
      </c>
      <c r="D51" s="238"/>
      <c r="E51" s="238"/>
      <c r="F51" s="270"/>
      <c r="G51" s="240" t="s">
        <v>64</v>
      </c>
    </row>
    <row r="52" spans="1:7" s="214" customFormat="1" ht="16.5" thickBot="1">
      <c r="A52" s="271" t="s">
        <v>65</v>
      </c>
      <c r="B52" s="272"/>
      <c r="C52" s="273">
        <f ca="1">C31+C51</f>
        <v>116671</v>
      </c>
      <c r="D52" s="272"/>
      <c r="E52" s="272"/>
      <c r="F52" s="272"/>
      <c r="G52" s="274"/>
    </row>
    <row r="55" spans="1:7" ht="15">
      <c r="B55" s="276" t="s">
        <v>66</v>
      </c>
      <c r="C55" s="277"/>
    </row>
    <row r="56" spans="1:7">
      <c r="B56" s="279" t="s">
        <v>67</v>
      </c>
      <c r="C56" s="280">
        <f ca="1">ROUND(C51/C52,3)</f>
        <v>0.71399999999999997</v>
      </c>
    </row>
    <row r="57" spans="1:7">
      <c r="B57" s="279" t="s">
        <v>68</v>
      </c>
      <c r="C57" s="281">
        <f ca="1">1-C56</f>
        <v>0.28600000000000003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4" t="s">
        <v>156</v>
      </c>
      <c r="B1" s="3584"/>
      <c r="C1" s="3584"/>
      <c r="D1" s="3584"/>
      <c r="E1" s="3584"/>
      <c r="F1" s="35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5" t="s">
        <v>169</v>
      </c>
      <c r="B2" s="3585"/>
      <c r="C2" s="3585"/>
      <c r="D2" s="3585"/>
      <c r="E2" s="3585"/>
      <c r="F2" s="35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4" t="s">
        <v>839</v>
      </c>
      <c r="B1" s="358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26" sqref="C2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44411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zoomScale="90" zoomScaleNormal="90" workbookViewId="0">
      <selection activeCell="H10" sqref="H10"/>
    </sheetView>
  </sheetViews>
  <sheetFormatPr defaultColWidth="8.75" defaultRowHeight="13.15" customHeight="1"/>
  <cols>
    <col min="1" max="1" width="8.5" style="3075" customWidth="1"/>
    <col min="2" max="2" width="8.75" style="3075"/>
    <col min="3" max="5" width="11.625" style="3075" customWidth="1"/>
    <col min="6" max="6" width="42.75" style="3075" customWidth="1"/>
    <col min="7" max="7" width="11.75" style="3234" customWidth="1"/>
    <col min="8" max="8" width="8.75" style="3075"/>
    <col min="9" max="9" width="8.75" style="3076"/>
    <col min="10" max="10" width="5.25" style="3235" customWidth="1"/>
    <col min="11" max="11" width="10.625" style="3235" customWidth="1"/>
    <col min="12" max="13" width="9.75" style="3235" customWidth="1"/>
    <col min="14" max="14" width="9" style="3235" customWidth="1"/>
    <col min="15" max="16" width="9.375" style="3235" bestFit="1" customWidth="1"/>
    <col min="17" max="17" width="9" style="3235" customWidth="1"/>
    <col min="18" max="18" width="9.125" style="3235" customWidth="1"/>
    <col min="19" max="19" width="9" style="3235" customWidth="1"/>
    <col min="20" max="20" width="23.5" style="3235" customWidth="1"/>
    <col min="21" max="21" width="8.75" style="3235"/>
    <col min="22" max="22" width="8.75" style="3076"/>
    <col min="23" max="256" width="8.75" style="3075"/>
    <col min="257" max="257" width="8.5" style="3075" customWidth="1"/>
    <col min="258" max="258" width="8.75" style="3075"/>
    <col min="259" max="261" width="11.625" style="3075" customWidth="1"/>
    <col min="262" max="262" width="42.75" style="3075" customWidth="1"/>
    <col min="263" max="263" width="11.75" style="3075" customWidth="1"/>
    <col min="264" max="265" width="8.75" style="3075"/>
    <col min="266" max="266" width="5.25" style="3075" customWidth="1"/>
    <col min="267" max="267" width="10.625" style="3075" customWidth="1"/>
    <col min="268" max="269" width="9.75" style="3075" customWidth="1"/>
    <col min="270" max="270" width="9" style="3075" customWidth="1"/>
    <col min="271" max="272" width="9.375" style="3075" bestFit="1" customWidth="1"/>
    <col min="273" max="273" width="9" style="3075" customWidth="1"/>
    <col min="274" max="274" width="9.125" style="3075" customWidth="1"/>
    <col min="275" max="275" width="9" style="3075" customWidth="1"/>
    <col min="276" max="276" width="23.5" style="3075" customWidth="1"/>
    <col min="277" max="512" width="8.75" style="3075"/>
    <col min="513" max="513" width="8.5" style="3075" customWidth="1"/>
    <col min="514" max="514" width="8.75" style="3075"/>
    <col min="515" max="517" width="11.625" style="3075" customWidth="1"/>
    <col min="518" max="518" width="42.75" style="3075" customWidth="1"/>
    <col min="519" max="519" width="11.75" style="3075" customWidth="1"/>
    <col min="520" max="521" width="8.75" style="3075"/>
    <col min="522" max="522" width="5.25" style="3075" customWidth="1"/>
    <col min="523" max="523" width="10.625" style="3075" customWidth="1"/>
    <col min="524" max="525" width="9.75" style="3075" customWidth="1"/>
    <col min="526" max="526" width="9" style="3075" customWidth="1"/>
    <col min="527" max="528" width="9.375" style="3075" bestFit="1" customWidth="1"/>
    <col min="529" max="529" width="9" style="3075" customWidth="1"/>
    <col min="530" max="530" width="9.125" style="3075" customWidth="1"/>
    <col min="531" max="531" width="9" style="3075" customWidth="1"/>
    <col min="532" max="532" width="23.5" style="3075" customWidth="1"/>
    <col min="533" max="768" width="8.75" style="3075"/>
    <col min="769" max="769" width="8.5" style="3075" customWidth="1"/>
    <col min="770" max="770" width="8.75" style="3075"/>
    <col min="771" max="773" width="11.625" style="3075" customWidth="1"/>
    <col min="774" max="774" width="42.75" style="3075" customWidth="1"/>
    <col min="775" max="775" width="11.75" style="3075" customWidth="1"/>
    <col min="776" max="777" width="8.75" style="3075"/>
    <col min="778" max="778" width="5.25" style="3075" customWidth="1"/>
    <col min="779" max="779" width="10.625" style="3075" customWidth="1"/>
    <col min="780" max="781" width="9.75" style="3075" customWidth="1"/>
    <col min="782" max="782" width="9" style="3075" customWidth="1"/>
    <col min="783" max="784" width="9.375" style="3075" bestFit="1" customWidth="1"/>
    <col min="785" max="785" width="9" style="3075" customWidth="1"/>
    <col min="786" max="786" width="9.125" style="3075" customWidth="1"/>
    <col min="787" max="787" width="9" style="3075" customWidth="1"/>
    <col min="788" max="788" width="23.5" style="3075" customWidth="1"/>
    <col min="789" max="1024" width="8.75" style="3075"/>
    <col min="1025" max="1025" width="8.5" style="3075" customWidth="1"/>
    <col min="1026" max="1026" width="8.75" style="3075"/>
    <col min="1027" max="1029" width="11.625" style="3075" customWidth="1"/>
    <col min="1030" max="1030" width="42.75" style="3075" customWidth="1"/>
    <col min="1031" max="1031" width="11.75" style="3075" customWidth="1"/>
    <col min="1032" max="1033" width="8.75" style="3075"/>
    <col min="1034" max="1034" width="5.25" style="3075" customWidth="1"/>
    <col min="1035" max="1035" width="10.625" style="3075" customWidth="1"/>
    <col min="1036" max="1037" width="9.75" style="3075" customWidth="1"/>
    <col min="1038" max="1038" width="9" style="3075" customWidth="1"/>
    <col min="1039" max="1040" width="9.375" style="3075" bestFit="1" customWidth="1"/>
    <col min="1041" max="1041" width="9" style="3075" customWidth="1"/>
    <col min="1042" max="1042" width="9.125" style="3075" customWidth="1"/>
    <col min="1043" max="1043" width="9" style="3075" customWidth="1"/>
    <col min="1044" max="1044" width="23.5" style="3075" customWidth="1"/>
    <col min="1045" max="1280" width="8.75" style="3075"/>
    <col min="1281" max="1281" width="8.5" style="3075" customWidth="1"/>
    <col min="1282" max="1282" width="8.75" style="3075"/>
    <col min="1283" max="1285" width="11.625" style="3075" customWidth="1"/>
    <col min="1286" max="1286" width="42.75" style="3075" customWidth="1"/>
    <col min="1287" max="1287" width="11.75" style="3075" customWidth="1"/>
    <col min="1288" max="1289" width="8.75" style="3075"/>
    <col min="1290" max="1290" width="5.25" style="3075" customWidth="1"/>
    <col min="1291" max="1291" width="10.625" style="3075" customWidth="1"/>
    <col min="1292" max="1293" width="9.75" style="3075" customWidth="1"/>
    <col min="1294" max="1294" width="9" style="3075" customWidth="1"/>
    <col min="1295" max="1296" width="9.375" style="3075" bestFit="1" customWidth="1"/>
    <col min="1297" max="1297" width="9" style="3075" customWidth="1"/>
    <col min="1298" max="1298" width="9.125" style="3075" customWidth="1"/>
    <col min="1299" max="1299" width="9" style="3075" customWidth="1"/>
    <col min="1300" max="1300" width="23.5" style="3075" customWidth="1"/>
    <col min="1301" max="1536" width="8.75" style="3075"/>
    <col min="1537" max="1537" width="8.5" style="3075" customWidth="1"/>
    <col min="1538" max="1538" width="8.75" style="3075"/>
    <col min="1539" max="1541" width="11.625" style="3075" customWidth="1"/>
    <col min="1542" max="1542" width="42.75" style="3075" customWidth="1"/>
    <col min="1543" max="1543" width="11.75" style="3075" customWidth="1"/>
    <col min="1544" max="1545" width="8.75" style="3075"/>
    <col min="1546" max="1546" width="5.25" style="3075" customWidth="1"/>
    <col min="1547" max="1547" width="10.625" style="3075" customWidth="1"/>
    <col min="1548" max="1549" width="9.75" style="3075" customWidth="1"/>
    <col min="1550" max="1550" width="9" style="3075" customWidth="1"/>
    <col min="1551" max="1552" width="9.375" style="3075" bestFit="1" customWidth="1"/>
    <col min="1553" max="1553" width="9" style="3075" customWidth="1"/>
    <col min="1554" max="1554" width="9.125" style="3075" customWidth="1"/>
    <col min="1555" max="1555" width="9" style="3075" customWidth="1"/>
    <col min="1556" max="1556" width="23.5" style="3075" customWidth="1"/>
    <col min="1557" max="1792" width="8.75" style="3075"/>
    <col min="1793" max="1793" width="8.5" style="3075" customWidth="1"/>
    <col min="1794" max="1794" width="8.75" style="3075"/>
    <col min="1795" max="1797" width="11.625" style="3075" customWidth="1"/>
    <col min="1798" max="1798" width="42.75" style="3075" customWidth="1"/>
    <col min="1799" max="1799" width="11.75" style="3075" customWidth="1"/>
    <col min="1800" max="1801" width="8.75" style="3075"/>
    <col min="1802" max="1802" width="5.25" style="3075" customWidth="1"/>
    <col min="1803" max="1803" width="10.625" style="3075" customWidth="1"/>
    <col min="1804" max="1805" width="9.75" style="3075" customWidth="1"/>
    <col min="1806" max="1806" width="9" style="3075" customWidth="1"/>
    <col min="1807" max="1808" width="9.375" style="3075" bestFit="1" customWidth="1"/>
    <col min="1809" max="1809" width="9" style="3075" customWidth="1"/>
    <col min="1810" max="1810" width="9.125" style="3075" customWidth="1"/>
    <col min="1811" max="1811" width="9" style="3075" customWidth="1"/>
    <col min="1812" max="1812" width="23.5" style="3075" customWidth="1"/>
    <col min="1813" max="2048" width="8.75" style="3075"/>
    <col min="2049" max="2049" width="8.5" style="3075" customWidth="1"/>
    <col min="2050" max="2050" width="8.75" style="3075"/>
    <col min="2051" max="2053" width="11.625" style="3075" customWidth="1"/>
    <col min="2054" max="2054" width="42.75" style="3075" customWidth="1"/>
    <col min="2055" max="2055" width="11.75" style="3075" customWidth="1"/>
    <col min="2056" max="2057" width="8.75" style="3075"/>
    <col min="2058" max="2058" width="5.25" style="3075" customWidth="1"/>
    <col min="2059" max="2059" width="10.625" style="3075" customWidth="1"/>
    <col min="2060" max="2061" width="9.75" style="3075" customWidth="1"/>
    <col min="2062" max="2062" width="9" style="3075" customWidth="1"/>
    <col min="2063" max="2064" width="9.375" style="3075" bestFit="1" customWidth="1"/>
    <col min="2065" max="2065" width="9" style="3075" customWidth="1"/>
    <col min="2066" max="2066" width="9.125" style="3075" customWidth="1"/>
    <col min="2067" max="2067" width="9" style="3075" customWidth="1"/>
    <col min="2068" max="2068" width="23.5" style="3075" customWidth="1"/>
    <col min="2069" max="2304" width="8.75" style="3075"/>
    <col min="2305" max="2305" width="8.5" style="3075" customWidth="1"/>
    <col min="2306" max="2306" width="8.75" style="3075"/>
    <col min="2307" max="2309" width="11.625" style="3075" customWidth="1"/>
    <col min="2310" max="2310" width="42.75" style="3075" customWidth="1"/>
    <col min="2311" max="2311" width="11.75" style="3075" customWidth="1"/>
    <col min="2312" max="2313" width="8.75" style="3075"/>
    <col min="2314" max="2314" width="5.25" style="3075" customWidth="1"/>
    <col min="2315" max="2315" width="10.625" style="3075" customWidth="1"/>
    <col min="2316" max="2317" width="9.75" style="3075" customWidth="1"/>
    <col min="2318" max="2318" width="9" style="3075" customWidth="1"/>
    <col min="2319" max="2320" width="9.375" style="3075" bestFit="1" customWidth="1"/>
    <col min="2321" max="2321" width="9" style="3075" customWidth="1"/>
    <col min="2322" max="2322" width="9.125" style="3075" customWidth="1"/>
    <col min="2323" max="2323" width="9" style="3075" customWidth="1"/>
    <col min="2324" max="2324" width="23.5" style="3075" customWidth="1"/>
    <col min="2325" max="2560" width="8.75" style="3075"/>
    <col min="2561" max="2561" width="8.5" style="3075" customWidth="1"/>
    <col min="2562" max="2562" width="8.75" style="3075"/>
    <col min="2563" max="2565" width="11.625" style="3075" customWidth="1"/>
    <col min="2566" max="2566" width="42.75" style="3075" customWidth="1"/>
    <col min="2567" max="2567" width="11.75" style="3075" customWidth="1"/>
    <col min="2568" max="2569" width="8.75" style="3075"/>
    <col min="2570" max="2570" width="5.25" style="3075" customWidth="1"/>
    <col min="2571" max="2571" width="10.625" style="3075" customWidth="1"/>
    <col min="2572" max="2573" width="9.75" style="3075" customWidth="1"/>
    <col min="2574" max="2574" width="9" style="3075" customWidth="1"/>
    <col min="2575" max="2576" width="9.375" style="3075" bestFit="1" customWidth="1"/>
    <col min="2577" max="2577" width="9" style="3075" customWidth="1"/>
    <col min="2578" max="2578" width="9.125" style="3075" customWidth="1"/>
    <col min="2579" max="2579" width="9" style="3075" customWidth="1"/>
    <col min="2580" max="2580" width="23.5" style="3075" customWidth="1"/>
    <col min="2581" max="2816" width="8.75" style="3075"/>
    <col min="2817" max="2817" width="8.5" style="3075" customWidth="1"/>
    <col min="2818" max="2818" width="8.75" style="3075"/>
    <col min="2819" max="2821" width="11.625" style="3075" customWidth="1"/>
    <col min="2822" max="2822" width="42.75" style="3075" customWidth="1"/>
    <col min="2823" max="2823" width="11.75" style="3075" customWidth="1"/>
    <col min="2824" max="2825" width="8.75" style="3075"/>
    <col min="2826" max="2826" width="5.25" style="3075" customWidth="1"/>
    <col min="2827" max="2827" width="10.625" style="3075" customWidth="1"/>
    <col min="2828" max="2829" width="9.75" style="3075" customWidth="1"/>
    <col min="2830" max="2830" width="9" style="3075" customWidth="1"/>
    <col min="2831" max="2832" width="9.375" style="3075" bestFit="1" customWidth="1"/>
    <col min="2833" max="2833" width="9" style="3075" customWidth="1"/>
    <col min="2834" max="2834" width="9.125" style="3075" customWidth="1"/>
    <col min="2835" max="2835" width="9" style="3075" customWidth="1"/>
    <col min="2836" max="2836" width="23.5" style="3075" customWidth="1"/>
    <col min="2837" max="3072" width="8.75" style="3075"/>
    <col min="3073" max="3073" width="8.5" style="3075" customWidth="1"/>
    <col min="3074" max="3074" width="8.75" style="3075"/>
    <col min="3075" max="3077" width="11.625" style="3075" customWidth="1"/>
    <col min="3078" max="3078" width="42.75" style="3075" customWidth="1"/>
    <col min="3079" max="3079" width="11.75" style="3075" customWidth="1"/>
    <col min="3080" max="3081" width="8.75" style="3075"/>
    <col min="3082" max="3082" width="5.25" style="3075" customWidth="1"/>
    <col min="3083" max="3083" width="10.625" style="3075" customWidth="1"/>
    <col min="3084" max="3085" width="9.75" style="3075" customWidth="1"/>
    <col min="3086" max="3086" width="9" style="3075" customWidth="1"/>
    <col min="3087" max="3088" width="9.375" style="3075" bestFit="1" customWidth="1"/>
    <col min="3089" max="3089" width="9" style="3075" customWidth="1"/>
    <col min="3090" max="3090" width="9.125" style="3075" customWidth="1"/>
    <col min="3091" max="3091" width="9" style="3075" customWidth="1"/>
    <col min="3092" max="3092" width="23.5" style="3075" customWidth="1"/>
    <col min="3093" max="3328" width="8.75" style="3075"/>
    <col min="3329" max="3329" width="8.5" style="3075" customWidth="1"/>
    <col min="3330" max="3330" width="8.75" style="3075"/>
    <col min="3331" max="3333" width="11.625" style="3075" customWidth="1"/>
    <col min="3334" max="3334" width="42.75" style="3075" customWidth="1"/>
    <col min="3335" max="3335" width="11.75" style="3075" customWidth="1"/>
    <col min="3336" max="3337" width="8.75" style="3075"/>
    <col min="3338" max="3338" width="5.25" style="3075" customWidth="1"/>
    <col min="3339" max="3339" width="10.625" style="3075" customWidth="1"/>
    <col min="3340" max="3341" width="9.75" style="3075" customWidth="1"/>
    <col min="3342" max="3342" width="9" style="3075" customWidth="1"/>
    <col min="3343" max="3344" width="9.375" style="3075" bestFit="1" customWidth="1"/>
    <col min="3345" max="3345" width="9" style="3075" customWidth="1"/>
    <col min="3346" max="3346" width="9.125" style="3075" customWidth="1"/>
    <col min="3347" max="3347" width="9" style="3075" customWidth="1"/>
    <col min="3348" max="3348" width="23.5" style="3075" customWidth="1"/>
    <col min="3349" max="3584" width="8.75" style="3075"/>
    <col min="3585" max="3585" width="8.5" style="3075" customWidth="1"/>
    <col min="3586" max="3586" width="8.75" style="3075"/>
    <col min="3587" max="3589" width="11.625" style="3075" customWidth="1"/>
    <col min="3590" max="3590" width="42.75" style="3075" customWidth="1"/>
    <col min="3591" max="3591" width="11.75" style="3075" customWidth="1"/>
    <col min="3592" max="3593" width="8.75" style="3075"/>
    <col min="3594" max="3594" width="5.25" style="3075" customWidth="1"/>
    <col min="3595" max="3595" width="10.625" style="3075" customWidth="1"/>
    <col min="3596" max="3597" width="9.75" style="3075" customWidth="1"/>
    <col min="3598" max="3598" width="9" style="3075" customWidth="1"/>
    <col min="3599" max="3600" width="9.375" style="3075" bestFit="1" customWidth="1"/>
    <col min="3601" max="3601" width="9" style="3075" customWidth="1"/>
    <col min="3602" max="3602" width="9.125" style="3075" customWidth="1"/>
    <col min="3603" max="3603" width="9" style="3075" customWidth="1"/>
    <col min="3604" max="3604" width="23.5" style="3075" customWidth="1"/>
    <col min="3605" max="3840" width="8.75" style="3075"/>
    <col min="3841" max="3841" width="8.5" style="3075" customWidth="1"/>
    <col min="3842" max="3842" width="8.75" style="3075"/>
    <col min="3843" max="3845" width="11.625" style="3075" customWidth="1"/>
    <col min="3846" max="3846" width="42.75" style="3075" customWidth="1"/>
    <col min="3847" max="3847" width="11.75" style="3075" customWidth="1"/>
    <col min="3848" max="3849" width="8.75" style="3075"/>
    <col min="3850" max="3850" width="5.25" style="3075" customWidth="1"/>
    <col min="3851" max="3851" width="10.625" style="3075" customWidth="1"/>
    <col min="3852" max="3853" width="9.75" style="3075" customWidth="1"/>
    <col min="3854" max="3854" width="9" style="3075" customWidth="1"/>
    <col min="3855" max="3856" width="9.375" style="3075" bestFit="1" customWidth="1"/>
    <col min="3857" max="3857" width="9" style="3075" customWidth="1"/>
    <col min="3858" max="3858" width="9.125" style="3075" customWidth="1"/>
    <col min="3859" max="3859" width="9" style="3075" customWidth="1"/>
    <col min="3860" max="3860" width="23.5" style="3075" customWidth="1"/>
    <col min="3861" max="4096" width="8.75" style="3075"/>
    <col min="4097" max="4097" width="8.5" style="3075" customWidth="1"/>
    <col min="4098" max="4098" width="8.75" style="3075"/>
    <col min="4099" max="4101" width="11.625" style="3075" customWidth="1"/>
    <col min="4102" max="4102" width="42.75" style="3075" customWidth="1"/>
    <col min="4103" max="4103" width="11.75" style="3075" customWidth="1"/>
    <col min="4104" max="4105" width="8.75" style="3075"/>
    <col min="4106" max="4106" width="5.25" style="3075" customWidth="1"/>
    <col min="4107" max="4107" width="10.625" style="3075" customWidth="1"/>
    <col min="4108" max="4109" width="9.75" style="3075" customWidth="1"/>
    <col min="4110" max="4110" width="9" style="3075" customWidth="1"/>
    <col min="4111" max="4112" width="9.375" style="3075" bestFit="1" customWidth="1"/>
    <col min="4113" max="4113" width="9" style="3075" customWidth="1"/>
    <col min="4114" max="4114" width="9.125" style="3075" customWidth="1"/>
    <col min="4115" max="4115" width="9" style="3075" customWidth="1"/>
    <col min="4116" max="4116" width="23.5" style="3075" customWidth="1"/>
    <col min="4117" max="4352" width="8.75" style="3075"/>
    <col min="4353" max="4353" width="8.5" style="3075" customWidth="1"/>
    <col min="4354" max="4354" width="8.75" style="3075"/>
    <col min="4355" max="4357" width="11.625" style="3075" customWidth="1"/>
    <col min="4358" max="4358" width="42.75" style="3075" customWidth="1"/>
    <col min="4359" max="4359" width="11.75" style="3075" customWidth="1"/>
    <col min="4360" max="4361" width="8.75" style="3075"/>
    <col min="4362" max="4362" width="5.25" style="3075" customWidth="1"/>
    <col min="4363" max="4363" width="10.625" style="3075" customWidth="1"/>
    <col min="4364" max="4365" width="9.75" style="3075" customWidth="1"/>
    <col min="4366" max="4366" width="9" style="3075" customWidth="1"/>
    <col min="4367" max="4368" width="9.375" style="3075" bestFit="1" customWidth="1"/>
    <col min="4369" max="4369" width="9" style="3075" customWidth="1"/>
    <col min="4370" max="4370" width="9.125" style="3075" customWidth="1"/>
    <col min="4371" max="4371" width="9" style="3075" customWidth="1"/>
    <col min="4372" max="4372" width="23.5" style="3075" customWidth="1"/>
    <col min="4373" max="4608" width="8.75" style="3075"/>
    <col min="4609" max="4609" width="8.5" style="3075" customWidth="1"/>
    <col min="4610" max="4610" width="8.75" style="3075"/>
    <col min="4611" max="4613" width="11.625" style="3075" customWidth="1"/>
    <col min="4614" max="4614" width="42.75" style="3075" customWidth="1"/>
    <col min="4615" max="4615" width="11.75" style="3075" customWidth="1"/>
    <col min="4616" max="4617" width="8.75" style="3075"/>
    <col min="4618" max="4618" width="5.25" style="3075" customWidth="1"/>
    <col min="4619" max="4619" width="10.625" style="3075" customWidth="1"/>
    <col min="4620" max="4621" width="9.75" style="3075" customWidth="1"/>
    <col min="4622" max="4622" width="9" style="3075" customWidth="1"/>
    <col min="4623" max="4624" width="9.375" style="3075" bestFit="1" customWidth="1"/>
    <col min="4625" max="4625" width="9" style="3075" customWidth="1"/>
    <col min="4626" max="4626" width="9.125" style="3075" customWidth="1"/>
    <col min="4627" max="4627" width="9" style="3075" customWidth="1"/>
    <col min="4628" max="4628" width="23.5" style="3075" customWidth="1"/>
    <col min="4629" max="4864" width="8.75" style="3075"/>
    <col min="4865" max="4865" width="8.5" style="3075" customWidth="1"/>
    <col min="4866" max="4866" width="8.75" style="3075"/>
    <col min="4867" max="4869" width="11.625" style="3075" customWidth="1"/>
    <col min="4870" max="4870" width="42.75" style="3075" customWidth="1"/>
    <col min="4871" max="4871" width="11.75" style="3075" customWidth="1"/>
    <col min="4872" max="4873" width="8.75" style="3075"/>
    <col min="4874" max="4874" width="5.25" style="3075" customWidth="1"/>
    <col min="4875" max="4875" width="10.625" style="3075" customWidth="1"/>
    <col min="4876" max="4877" width="9.75" style="3075" customWidth="1"/>
    <col min="4878" max="4878" width="9" style="3075" customWidth="1"/>
    <col min="4879" max="4880" width="9.375" style="3075" bestFit="1" customWidth="1"/>
    <col min="4881" max="4881" width="9" style="3075" customWidth="1"/>
    <col min="4882" max="4882" width="9.125" style="3075" customWidth="1"/>
    <col min="4883" max="4883" width="9" style="3075" customWidth="1"/>
    <col min="4884" max="4884" width="23.5" style="3075" customWidth="1"/>
    <col min="4885" max="5120" width="8.75" style="3075"/>
    <col min="5121" max="5121" width="8.5" style="3075" customWidth="1"/>
    <col min="5122" max="5122" width="8.75" style="3075"/>
    <col min="5123" max="5125" width="11.625" style="3075" customWidth="1"/>
    <col min="5126" max="5126" width="42.75" style="3075" customWidth="1"/>
    <col min="5127" max="5127" width="11.75" style="3075" customWidth="1"/>
    <col min="5128" max="5129" width="8.75" style="3075"/>
    <col min="5130" max="5130" width="5.25" style="3075" customWidth="1"/>
    <col min="5131" max="5131" width="10.625" style="3075" customWidth="1"/>
    <col min="5132" max="5133" width="9.75" style="3075" customWidth="1"/>
    <col min="5134" max="5134" width="9" style="3075" customWidth="1"/>
    <col min="5135" max="5136" width="9.375" style="3075" bestFit="1" customWidth="1"/>
    <col min="5137" max="5137" width="9" style="3075" customWidth="1"/>
    <col min="5138" max="5138" width="9.125" style="3075" customWidth="1"/>
    <col min="5139" max="5139" width="9" style="3075" customWidth="1"/>
    <col min="5140" max="5140" width="23.5" style="3075" customWidth="1"/>
    <col min="5141" max="5376" width="8.75" style="3075"/>
    <col min="5377" max="5377" width="8.5" style="3075" customWidth="1"/>
    <col min="5378" max="5378" width="8.75" style="3075"/>
    <col min="5379" max="5381" width="11.625" style="3075" customWidth="1"/>
    <col min="5382" max="5382" width="42.75" style="3075" customWidth="1"/>
    <col min="5383" max="5383" width="11.75" style="3075" customWidth="1"/>
    <col min="5384" max="5385" width="8.75" style="3075"/>
    <col min="5386" max="5386" width="5.25" style="3075" customWidth="1"/>
    <col min="5387" max="5387" width="10.625" style="3075" customWidth="1"/>
    <col min="5388" max="5389" width="9.75" style="3075" customWidth="1"/>
    <col min="5390" max="5390" width="9" style="3075" customWidth="1"/>
    <col min="5391" max="5392" width="9.375" style="3075" bestFit="1" customWidth="1"/>
    <col min="5393" max="5393" width="9" style="3075" customWidth="1"/>
    <col min="5394" max="5394" width="9.125" style="3075" customWidth="1"/>
    <col min="5395" max="5395" width="9" style="3075" customWidth="1"/>
    <col min="5396" max="5396" width="23.5" style="3075" customWidth="1"/>
    <col min="5397" max="5632" width="8.75" style="3075"/>
    <col min="5633" max="5633" width="8.5" style="3075" customWidth="1"/>
    <col min="5634" max="5634" width="8.75" style="3075"/>
    <col min="5635" max="5637" width="11.625" style="3075" customWidth="1"/>
    <col min="5638" max="5638" width="42.75" style="3075" customWidth="1"/>
    <col min="5639" max="5639" width="11.75" style="3075" customWidth="1"/>
    <col min="5640" max="5641" width="8.75" style="3075"/>
    <col min="5642" max="5642" width="5.25" style="3075" customWidth="1"/>
    <col min="5643" max="5643" width="10.625" style="3075" customWidth="1"/>
    <col min="5644" max="5645" width="9.75" style="3075" customWidth="1"/>
    <col min="5646" max="5646" width="9" style="3075" customWidth="1"/>
    <col min="5647" max="5648" width="9.375" style="3075" bestFit="1" customWidth="1"/>
    <col min="5649" max="5649" width="9" style="3075" customWidth="1"/>
    <col min="5650" max="5650" width="9.125" style="3075" customWidth="1"/>
    <col min="5651" max="5651" width="9" style="3075" customWidth="1"/>
    <col min="5652" max="5652" width="23.5" style="3075" customWidth="1"/>
    <col min="5653" max="5888" width="8.75" style="3075"/>
    <col min="5889" max="5889" width="8.5" style="3075" customWidth="1"/>
    <col min="5890" max="5890" width="8.75" style="3075"/>
    <col min="5891" max="5893" width="11.625" style="3075" customWidth="1"/>
    <col min="5894" max="5894" width="42.75" style="3075" customWidth="1"/>
    <col min="5895" max="5895" width="11.75" style="3075" customWidth="1"/>
    <col min="5896" max="5897" width="8.75" style="3075"/>
    <col min="5898" max="5898" width="5.25" style="3075" customWidth="1"/>
    <col min="5899" max="5899" width="10.625" style="3075" customWidth="1"/>
    <col min="5900" max="5901" width="9.75" style="3075" customWidth="1"/>
    <col min="5902" max="5902" width="9" style="3075" customWidth="1"/>
    <col min="5903" max="5904" width="9.375" style="3075" bestFit="1" customWidth="1"/>
    <col min="5905" max="5905" width="9" style="3075" customWidth="1"/>
    <col min="5906" max="5906" width="9.125" style="3075" customWidth="1"/>
    <col min="5907" max="5907" width="9" style="3075" customWidth="1"/>
    <col min="5908" max="5908" width="23.5" style="3075" customWidth="1"/>
    <col min="5909" max="6144" width="8.75" style="3075"/>
    <col min="6145" max="6145" width="8.5" style="3075" customWidth="1"/>
    <col min="6146" max="6146" width="8.75" style="3075"/>
    <col min="6147" max="6149" width="11.625" style="3075" customWidth="1"/>
    <col min="6150" max="6150" width="42.75" style="3075" customWidth="1"/>
    <col min="6151" max="6151" width="11.75" style="3075" customWidth="1"/>
    <col min="6152" max="6153" width="8.75" style="3075"/>
    <col min="6154" max="6154" width="5.25" style="3075" customWidth="1"/>
    <col min="6155" max="6155" width="10.625" style="3075" customWidth="1"/>
    <col min="6156" max="6157" width="9.75" style="3075" customWidth="1"/>
    <col min="6158" max="6158" width="9" style="3075" customWidth="1"/>
    <col min="6159" max="6160" width="9.375" style="3075" bestFit="1" customWidth="1"/>
    <col min="6161" max="6161" width="9" style="3075" customWidth="1"/>
    <col min="6162" max="6162" width="9.125" style="3075" customWidth="1"/>
    <col min="6163" max="6163" width="9" style="3075" customWidth="1"/>
    <col min="6164" max="6164" width="23.5" style="3075" customWidth="1"/>
    <col min="6165" max="6400" width="8.75" style="3075"/>
    <col min="6401" max="6401" width="8.5" style="3075" customWidth="1"/>
    <col min="6402" max="6402" width="8.75" style="3075"/>
    <col min="6403" max="6405" width="11.625" style="3075" customWidth="1"/>
    <col min="6406" max="6406" width="42.75" style="3075" customWidth="1"/>
    <col min="6407" max="6407" width="11.75" style="3075" customWidth="1"/>
    <col min="6408" max="6409" width="8.75" style="3075"/>
    <col min="6410" max="6410" width="5.25" style="3075" customWidth="1"/>
    <col min="6411" max="6411" width="10.625" style="3075" customWidth="1"/>
    <col min="6412" max="6413" width="9.75" style="3075" customWidth="1"/>
    <col min="6414" max="6414" width="9" style="3075" customWidth="1"/>
    <col min="6415" max="6416" width="9.375" style="3075" bestFit="1" customWidth="1"/>
    <col min="6417" max="6417" width="9" style="3075" customWidth="1"/>
    <col min="6418" max="6418" width="9.125" style="3075" customWidth="1"/>
    <col min="6419" max="6419" width="9" style="3075" customWidth="1"/>
    <col min="6420" max="6420" width="23.5" style="3075" customWidth="1"/>
    <col min="6421" max="6656" width="8.75" style="3075"/>
    <col min="6657" max="6657" width="8.5" style="3075" customWidth="1"/>
    <col min="6658" max="6658" width="8.75" style="3075"/>
    <col min="6659" max="6661" width="11.625" style="3075" customWidth="1"/>
    <col min="6662" max="6662" width="42.75" style="3075" customWidth="1"/>
    <col min="6663" max="6663" width="11.75" style="3075" customWidth="1"/>
    <col min="6664" max="6665" width="8.75" style="3075"/>
    <col min="6666" max="6666" width="5.25" style="3075" customWidth="1"/>
    <col min="6667" max="6667" width="10.625" style="3075" customWidth="1"/>
    <col min="6668" max="6669" width="9.75" style="3075" customWidth="1"/>
    <col min="6670" max="6670" width="9" style="3075" customWidth="1"/>
    <col min="6671" max="6672" width="9.375" style="3075" bestFit="1" customWidth="1"/>
    <col min="6673" max="6673" width="9" style="3075" customWidth="1"/>
    <col min="6674" max="6674" width="9.125" style="3075" customWidth="1"/>
    <col min="6675" max="6675" width="9" style="3075" customWidth="1"/>
    <col min="6676" max="6676" width="23.5" style="3075" customWidth="1"/>
    <col min="6677" max="6912" width="8.75" style="3075"/>
    <col min="6913" max="6913" width="8.5" style="3075" customWidth="1"/>
    <col min="6914" max="6914" width="8.75" style="3075"/>
    <col min="6915" max="6917" width="11.625" style="3075" customWidth="1"/>
    <col min="6918" max="6918" width="42.75" style="3075" customWidth="1"/>
    <col min="6919" max="6919" width="11.75" style="3075" customWidth="1"/>
    <col min="6920" max="6921" width="8.75" style="3075"/>
    <col min="6922" max="6922" width="5.25" style="3075" customWidth="1"/>
    <col min="6923" max="6923" width="10.625" style="3075" customWidth="1"/>
    <col min="6924" max="6925" width="9.75" style="3075" customWidth="1"/>
    <col min="6926" max="6926" width="9" style="3075" customWidth="1"/>
    <col min="6927" max="6928" width="9.375" style="3075" bestFit="1" customWidth="1"/>
    <col min="6929" max="6929" width="9" style="3075" customWidth="1"/>
    <col min="6930" max="6930" width="9.125" style="3075" customWidth="1"/>
    <col min="6931" max="6931" width="9" style="3075" customWidth="1"/>
    <col min="6932" max="6932" width="23.5" style="3075" customWidth="1"/>
    <col min="6933" max="7168" width="8.75" style="3075"/>
    <col min="7169" max="7169" width="8.5" style="3075" customWidth="1"/>
    <col min="7170" max="7170" width="8.75" style="3075"/>
    <col min="7171" max="7173" width="11.625" style="3075" customWidth="1"/>
    <col min="7174" max="7174" width="42.75" style="3075" customWidth="1"/>
    <col min="7175" max="7175" width="11.75" style="3075" customWidth="1"/>
    <col min="7176" max="7177" width="8.75" style="3075"/>
    <col min="7178" max="7178" width="5.25" style="3075" customWidth="1"/>
    <col min="7179" max="7179" width="10.625" style="3075" customWidth="1"/>
    <col min="7180" max="7181" width="9.75" style="3075" customWidth="1"/>
    <col min="7182" max="7182" width="9" style="3075" customWidth="1"/>
    <col min="7183" max="7184" width="9.375" style="3075" bestFit="1" customWidth="1"/>
    <col min="7185" max="7185" width="9" style="3075" customWidth="1"/>
    <col min="7186" max="7186" width="9.125" style="3075" customWidth="1"/>
    <col min="7187" max="7187" width="9" style="3075" customWidth="1"/>
    <col min="7188" max="7188" width="23.5" style="3075" customWidth="1"/>
    <col min="7189" max="7424" width="8.75" style="3075"/>
    <col min="7425" max="7425" width="8.5" style="3075" customWidth="1"/>
    <col min="7426" max="7426" width="8.75" style="3075"/>
    <col min="7427" max="7429" width="11.625" style="3075" customWidth="1"/>
    <col min="7430" max="7430" width="42.75" style="3075" customWidth="1"/>
    <col min="7431" max="7431" width="11.75" style="3075" customWidth="1"/>
    <col min="7432" max="7433" width="8.75" style="3075"/>
    <col min="7434" max="7434" width="5.25" style="3075" customWidth="1"/>
    <col min="7435" max="7435" width="10.625" style="3075" customWidth="1"/>
    <col min="7436" max="7437" width="9.75" style="3075" customWidth="1"/>
    <col min="7438" max="7438" width="9" style="3075" customWidth="1"/>
    <col min="7439" max="7440" width="9.375" style="3075" bestFit="1" customWidth="1"/>
    <col min="7441" max="7441" width="9" style="3075" customWidth="1"/>
    <col min="7442" max="7442" width="9.125" style="3075" customWidth="1"/>
    <col min="7443" max="7443" width="9" style="3075" customWidth="1"/>
    <col min="7444" max="7444" width="23.5" style="3075" customWidth="1"/>
    <col min="7445" max="7680" width="8.75" style="3075"/>
    <col min="7681" max="7681" width="8.5" style="3075" customWidth="1"/>
    <col min="7682" max="7682" width="8.75" style="3075"/>
    <col min="7683" max="7685" width="11.625" style="3075" customWidth="1"/>
    <col min="7686" max="7686" width="42.75" style="3075" customWidth="1"/>
    <col min="7687" max="7687" width="11.75" style="3075" customWidth="1"/>
    <col min="7688" max="7689" width="8.75" style="3075"/>
    <col min="7690" max="7690" width="5.25" style="3075" customWidth="1"/>
    <col min="7691" max="7691" width="10.625" style="3075" customWidth="1"/>
    <col min="7692" max="7693" width="9.75" style="3075" customWidth="1"/>
    <col min="7694" max="7694" width="9" style="3075" customWidth="1"/>
    <col min="7695" max="7696" width="9.375" style="3075" bestFit="1" customWidth="1"/>
    <col min="7697" max="7697" width="9" style="3075" customWidth="1"/>
    <col min="7698" max="7698" width="9.125" style="3075" customWidth="1"/>
    <col min="7699" max="7699" width="9" style="3075" customWidth="1"/>
    <col min="7700" max="7700" width="23.5" style="3075" customWidth="1"/>
    <col min="7701" max="7936" width="8.75" style="3075"/>
    <col min="7937" max="7937" width="8.5" style="3075" customWidth="1"/>
    <col min="7938" max="7938" width="8.75" style="3075"/>
    <col min="7939" max="7941" width="11.625" style="3075" customWidth="1"/>
    <col min="7942" max="7942" width="42.75" style="3075" customWidth="1"/>
    <col min="7943" max="7943" width="11.75" style="3075" customWidth="1"/>
    <col min="7944" max="7945" width="8.75" style="3075"/>
    <col min="7946" max="7946" width="5.25" style="3075" customWidth="1"/>
    <col min="7947" max="7947" width="10.625" style="3075" customWidth="1"/>
    <col min="7948" max="7949" width="9.75" style="3075" customWidth="1"/>
    <col min="7950" max="7950" width="9" style="3075" customWidth="1"/>
    <col min="7951" max="7952" width="9.375" style="3075" bestFit="1" customWidth="1"/>
    <col min="7953" max="7953" width="9" style="3075" customWidth="1"/>
    <col min="7954" max="7954" width="9.125" style="3075" customWidth="1"/>
    <col min="7955" max="7955" width="9" style="3075" customWidth="1"/>
    <col min="7956" max="7956" width="23.5" style="3075" customWidth="1"/>
    <col min="7957" max="8192" width="8.75" style="3075"/>
    <col min="8193" max="8193" width="8.5" style="3075" customWidth="1"/>
    <col min="8194" max="8194" width="8.75" style="3075"/>
    <col min="8195" max="8197" width="11.625" style="3075" customWidth="1"/>
    <col min="8198" max="8198" width="42.75" style="3075" customWidth="1"/>
    <col min="8199" max="8199" width="11.75" style="3075" customWidth="1"/>
    <col min="8200" max="8201" width="8.75" style="3075"/>
    <col min="8202" max="8202" width="5.25" style="3075" customWidth="1"/>
    <col min="8203" max="8203" width="10.625" style="3075" customWidth="1"/>
    <col min="8204" max="8205" width="9.75" style="3075" customWidth="1"/>
    <col min="8206" max="8206" width="9" style="3075" customWidth="1"/>
    <col min="8207" max="8208" width="9.375" style="3075" bestFit="1" customWidth="1"/>
    <col min="8209" max="8209" width="9" style="3075" customWidth="1"/>
    <col min="8210" max="8210" width="9.125" style="3075" customWidth="1"/>
    <col min="8211" max="8211" width="9" style="3075" customWidth="1"/>
    <col min="8212" max="8212" width="23.5" style="3075" customWidth="1"/>
    <col min="8213" max="8448" width="8.75" style="3075"/>
    <col min="8449" max="8449" width="8.5" style="3075" customWidth="1"/>
    <col min="8450" max="8450" width="8.75" style="3075"/>
    <col min="8451" max="8453" width="11.625" style="3075" customWidth="1"/>
    <col min="8454" max="8454" width="42.75" style="3075" customWidth="1"/>
    <col min="8455" max="8455" width="11.75" style="3075" customWidth="1"/>
    <col min="8456" max="8457" width="8.75" style="3075"/>
    <col min="8458" max="8458" width="5.25" style="3075" customWidth="1"/>
    <col min="8459" max="8459" width="10.625" style="3075" customWidth="1"/>
    <col min="8460" max="8461" width="9.75" style="3075" customWidth="1"/>
    <col min="8462" max="8462" width="9" style="3075" customWidth="1"/>
    <col min="8463" max="8464" width="9.375" style="3075" bestFit="1" customWidth="1"/>
    <col min="8465" max="8465" width="9" style="3075" customWidth="1"/>
    <col min="8466" max="8466" width="9.125" style="3075" customWidth="1"/>
    <col min="8467" max="8467" width="9" style="3075" customWidth="1"/>
    <col min="8468" max="8468" width="23.5" style="3075" customWidth="1"/>
    <col min="8469" max="8704" width="8.75" style="3075"/>
    <col min="8705" max="8705" width="8.5" style="3075" customWidth="1"/>
    <col min="8706" max="8706" width="8.75" style="3075"/>
    <col min="8707" max="8709" width="11.625" style="3075" customWidth="1"/>
    <col min="8710" max="8710" width="42.75" style="3075" customWidth="1"/>
    <col min="8711" max="8711" width="11.75" style="3075" customWidth="1"/>
    <col min="8712" max="8713" width="8.75" style="3075"/>
    <col min="8714" max="8714" width="5.25" style="3075" customWidth="1"/>
    <col min="8715" max="8715" width="10.625" style="3075" customWidth="1"/>
    <col min="8716" max="8717" width="9.75" style="3075" customWidth="1"/>
    <col min="8718" max="8718" width="9" style="3075" customWidth="1"/>
    <col min="8719" max="8720" width="9.375" style="3075" bestFit="1" customWidth="1"/>
    <col min="8721" max="8721" width="9" style="3075" customWidth="1"/>
    <col min="8722" max="8722" width="9.125" style="3075" customWidth="1"/>
    <col min="8723" max="8723" width="9" style="3075" customWidth="1"/>
    <col min="8724" max="8724" width="23.5" style="3075" customWidth="1"/>
    <col min="8725" max="8960" width="8.75" style="3075"/>
    <col min="8961" max="8961" width="8.5" style="3075" customWidth="1"/>
    <col min="8962" max="8962" width="8.75" style="3075"/>
    <col min="8963" max="8965" width="11.625" style="3075" customWidth="1"/>
    <col min="8966" max="8966" width="42.75" style="3075" customWidth="1"/>
    <col min="8967" max="8967" width="11.75" style="3075" customWidth="1"/>
    <col min="8968" max="8969" width="8.75" style="3075"/>
    <col min="8970" max="8970" width="5.25" style="3075" customWidth="1"/>
    <col min="8971" max="8971" width="10.625" style="3075" customWidth="1"/>
    <col min="8972" max="8973" width="9.75" style="3075" customWidth="1"/>
    <col min="8974" max="8974" width="9" style="3075" customWidth="1"/>
    <col min="8975" max="8976" width="9.375" style="3075" bestFit="1" customWidth="1"/>
    <col min="8977" max="8977" width="9" style="3075" customWidth="1"/>
    <col min="8978" max="8978" width="9.125" style="3075" customWidth="1"/>
    <col min="8979" max="8979" width="9" style="3075" customWidth="1"/>
    <col min="8980" max="8980" width="23.5" style="3075" customWidth="1"/>
    <col min="8981" max="9216" width="8.75" style="3075"/>
    <col min="9217" max="9217" width="8.5" style="3075" customWidth="1"/>
    <col min="9218" max="9218" width="8.75" style="3075"/>
    <col min="9219" max="9221" width="11.625" style="3075" customWidth="1"/>
    <col min="9222" max="9222" width="42.75" style="3075" customWidth="1"/>
    <col min="9223" max="9223" width="11.75" style="3075" customWidth="1"/>
    <col min="9224" max="9225" width="8.75" style="3075"/>
    <col min="9226" max="9226" width="5.25" style="3075" customWidth="1"/>
    <col min="9227" max="9227" width="10.625" style="3075" customWidth="1"/>
    <col min="9228" max="9229" width="9.75" style="3075" customWidth="1"/>
    <col min="9230" max="9230" width="9" style="3075" customWidth="1"/>
    <col min="9231" max="9232" width="9.375" style="3075" bestFit="1" customWidth="1"/>
    <col min="9233" max="9233" width="9" style="3075" customWidth="1"/>
    <col min="9234" max="9234" width="9.125" style="3075" customWidth="1"/>
    <col min="9235" max="9235" width="9" style="3075" customWidth="1"/>
    <col min="9236" max="9236" width="23.5" style="3075" customWidth="1"/>
    <col min="9237" max="9472" width="8.75" style="3075"/>
    <col min="9473" max="9473" width="8.5" style="3075" customWidth="1"/>
    <col min="9474" max="9474" width="8.75" style="3075"/>
    <col min="9475" max="9477" width="11.625" style="3075" customWidth="1"/>
    <col min="9478" max="9478" width="42.75" style="3075" customWidth="1"/>
    <col min="9479" max="9479" width="11.75" style="3075" customWidth="1"/>
    <col min="9480" max="9481" width="8.75" style="3075"/>
    <col min="9482" max="9482" width="5.25" style="3075" customWidth="1"/>
    <col min="9483" max="9483" width="10.625" style="3075" customWidth="1"/>
    <col min="9484" max="9485" width="9.75" style="3075" customWidth="1"/>
    <col min="9486" max="9486" width="9" style="3075" customWidth="1"/>
    <col min="9487" max="9488" width="9.375" style="3075" bestFit="1" customWidth="1"/>
    <col min="9489" max="9489" width="9" style="3075" customWidth="1"/>
    <col min="9490" max="9490" width="9.125" style="3075" customWidth="1"/>
    <col min="9491" max="9491" width="9" style="3075" customWidth="1"/>
    <col min="9492" max="9492" width="23.5" style="3075" customWidth="1"/>
    <col min="9493" max="9728" width="8.75" style="3075"/>
    <col min="9729" max="9729" width="8.5" style="3075" customWidth="1"/>
    <col min="9730" max="9730" width="8.75" style="3075"/>
    <col min="9731" max="9733" width="11.625" style="3075" customWidth="1"/>
    <col min="9734" max="9734" width="42.75" style="3075" customWidth="1"/>
    <col min="9735" max="9735" width="11.75" style="3075" customWidth="1"/>
    <col min="9736" max="9737" width="8.75" style="3075"/>
    <col min="9738" max="9738" width="5.25" style="3075" customWidth="1"/>
    <col min="9739" max="9739" width="10.625" style="3075" customWidth="1"/>
    <col min="9740" max="9741" width="9.75" style="3075" customWidth="1"/>
    <col min="9742" max="9742" width="9" style="3075" customWidth="1"/>
    <col min="9743" max="9744" width="9.375" style="3075" bestFit="1" customWidth="1"/>
    <col min="9745" max="9745" width="9" style="3075" customWidth="1"/>
    <col min="9746" max="9746" width="9.125" style="3075" customWidth="1"/>
    <col min="9747" max="9747" width="9" style="3075" customWidth="1"/>
    <col min="9748" max="9748" width="23.5" style="3075" customWidth="1"/>
    <col min="9749" max="9984" width="8.75" style="3075"/>
    <col min="9985" max="9985" width="8.5" style="3075" customWidth="1"/>
    <col min="9986" max="9986" width="8.75" style="3075"/>
    <col min="9987" max="9989" width="11.625" style="3075" customWidth="1"/>
    <col min="9990" max="9990" width="42.75" style="3075" customWidth="1"/>
    <col min="9991" max="9991" width="11.75" style="3075" customWidth="1"/>
    <col min="9992" max="9993" width="8.75" style="3075"/>
    <col min="9994" max="9994" width="5.25" style="3075" customWidth="1"/>
    <col min="9995" max="9995" width="10.625" style="3075" customWidth="1"/>
    <col min="9996" max="9997" width="9.75" style="3075" customWidth="1"/>
    <col min="9998" max="9998" width="9" style="3075" customWidth="1"/>
    <col min="9999" max="10000" width="9.375" style="3075" bestFit="1" customWidth="1"/>
    <col min="10001" max="10001" width="9" style="3075" customWidth="1"/>
    <col min="10002" max="10002" width="9.125" style="3075" customWidth="1"/>
    <col min="10003" max="10003" width="9" style="3075" customWidth="1"/>
    <col min="10004" max="10004" width="23.5" style="3075" customWidth="1"/>
    <col min="10005" max="10240" width="8.75" style="3075"/>
    <col min="10241" max="10241" width="8.5" style="3075" customWidth="1"/>
    <col min="10242" max="10242" width="8.75" style="3075"/>
    <col min="10243" max="10245" width="11.625" style="3075" customWidth="1"/>
    <col min="10246" max="10246" width="42.75" style="3075" customWidth="1"/>
    <col min="10247" max="10247" width="11.75" style="3075" customWidth="1"/>
    <col min="10248" max="10249" width="8.75" style="3075"/>
    <col min="10250" max="10250" width="5.25" style="3075" customWidth="1"/>
    <col min="10251" max="10251" width="10.625" style="3075" customWidth="1"/>
    <col min="10252" max="10253" width="9.75" style="3075" customWidth="1"/>
    <col min="10254" max="10254" width="9" style="3075" customWidth="1"/>
    <col min="10255" max="10256" width="9.375" style="3075" bestFit="1" customWidth="1"/>
    <col min="10257" max="10257" width="9" style="3075" customWidth="1"/>
    <col min="10258" max="10258" width="9.125" style="3075" customWidth="1"/>
    <col min="10259" max="10259" width="9" style="3075" customWidth="1"/>
    <col min="10260" max="10260" width="23.5" style="3075" customWidth="1"/>
    <col min="10261" max="10496" width="8.75" style="3075"/>
    <col min="10497" max="10497" width="8.5" style="3075" customWidth="1"/>
    <col min="10498" max="10498" width="8.75" style="3075"/>
    <col min="10499" max="10501" width="11.625" style="3075" customWidth="1"/>
    <col min="10502" max="10502" width="42.75" style="3075" customWidth="1"/>
    <col min="10503" max="10503" width="11.75" style="3075" customWidth="1"/>
    <col min="10504" max="10505" width="8.75" style="3075"/>
    <col min="10506" max="10506" width="5.25" style="3075" customWidth="1"/>
    <col min="10507" max="10507" width="10.625" style="3075" customWidth="1"/>
    <col min="10508" max="10509" width="9.75" style="3075" customWidth="1"/>
    <col min="10510" max="10510" width="9" style="3075" customWidth="1"/>
    <col min="10511" max="10512" width="9.375" style="3075" bestFit="1" customWidth="1"/>
    <col min="10513" max="10513" width="9" style="3075" customWidth="1"/>
    <col min="10514" max="10514" width="9.125" style="3075" customWidth="1"/>
    <col min="10515" max="10515" width="9" style="3075" customWidth="1"/>
    <col min="10516" max="10516" width="23.5" style="3075" customWidth="1"/>
    <col min="10517" max="10752" width="8.75" style="3075"/>
    <col min="10753" max="10753" width="8.5" style="3075" customWidth="1"/>
    <col min="10754" max="10754" width="8.75" style="3075"/>
    <col min="10755" max="10757" width="11.625" style="3075" customWidth="1"/>
    <col min="10758" max="10758" width="42.75" style="3075" customWidth="1"/>
    <col min="10759" max="10759" width="11.75" style="3075" customWidth="1"/>
    <col min="10760" max="10761" width="8.75" style="3075"/>
    <col min="10762" max="10762" width="5.25" style="3075" customWidth="1"/>
    <col min="10763" max="10763" width="10.625" style="3075" customWidth="1"/>
    <col min="10764" max="10765" width="9.75" style="3075" customWidth="1"/>
    <col min="10766" max="10766" width="9" style="3075" customWidth="1"/>
    <col min="10767" max="10768" width="9.375" style="3075" bestFit="1" customWidth="1"/>
    <col min="10769" max="10769" width="9" style="3075" customWidth="1"/>
    <col min="10770" max="10770" width="9.125" style="3075" customWidth="1"/>
    <col min="10771" max="10771" width="9" style="3075" customWidth="1"/>
    <col min="10772" max="10772" width="23.5" style="3075" customWidth="1"/>
    <col min="10773" max="11008" width="8.75" style="3075"/>
    <col min="11009" max="11009" width="8.5" style="3075" customWidth="1"/>
    <col min="11010" max="11010" width="8.75" style="3075"/>
    <col min="11011" max="11013" width="11.625" style="3075" customWidth="1"/>
    <col min="11014" max="11014" width="42.75" style="3075" customWidth="1"/>
    <col min="11015" max="11015" width="11.75" style="3075" customWidth="1"/>
    <col min="11016" max="11017" width="8.75" style="3075"/>
    <col min="11018" max="11018" width="5.25" style="3075" customWidth="1"/>
    <col min="11019" max="11019" width="10.625" style="3075" customWidth="1"/>
    <col min="11020" max="11021" width="9.75" style="3075" customWidth="1"/>
    <col min="11022" max="11022" width="9" style="3075" customWidth="1"/>
    <col min="11023" max="11024" width="9.375" style="3075" bestFit="1" customWidth="1"/>
    <col min="11025" max="11025" width="9" style="3075" customWidth="1"/>
    <col min="11026" max="11026" width="9.125" style="3075" customWidth="1"/>
    <col min="11027" max="11027" width="9" style="3075" customWidth="1"/>
    <col min="11028" max="11028" width="23.5" style="3075" customWidth="1"/>
    <col min="11029" max="11264" width="8.75" style="3075"/>
    <col min="11265" max="11265" width="8.5" style="3075" customWidth="1"/>
    <col min="11266" max="11266" width="8.75" style="3075"/>
    <col min="11267" max="11269" width="11.625" style="3075" customWidth="1"/>
    <col min="11270" max="11270" width="42.75" style="3075" customWidth="1"/>
    <col min="11271" max="11271" width="11.75" style="3075" customWidth="1"/>
    <col min="11272" max="11273" width="8.75" style="3075"/>
    <col min="11274" max="11274" width="5.25" style="3075" customWidth="1"/>
    <col min="11275" max="11275" width="10.625" style="3075" customWidth="1"/>
    <col min="11276" max="11277" width="9.75" style="3075" customWidth="1"/>
    <col min="11278" max="11278" width="9" style="3075" customWidth="1"/>
    <col min="11279" max="11280" width="9.375" style="3075" bestFit="1" customWidth="1"/>
    <col min="11281" max="11281" width="9" style="3075" customWidth="1"/>
    <col min="11282" max="11282" width="9.125" style="3075" customWidth="1"/>
    <col min="11283" max="11283" width="9" style="3075" customWidth="1"/>
    <col min="11284" max="11284" width="23.5" style="3075" customWidth="1"/>
    <col min="11285" max="11520" width="8.75" style="3075"/>
    <col min="11521" max="11521" width="8.5" style="3075" customWidth="1"/>
    <col min="11522" max="11522" width="8.75" style="3075"/>
    <col min="11523" max="11525" width="11.625" style="3075" customWidth="1"/>
    <col min="11526" max="11526" width="42.75" style="3075" customWidth="1"/>
    <col min="11527" max="11527" width="11.75" style="3075" customWidth="1"/>
    <col min="11528" max="11529" width="8.75" style="3075"/>
    <col min="11530" max="11530" width="5.25" style="3075" customWidth="1"/>
    <col min="11531" max="11531" width="10.625" style="3075" customWidth="1"/>
    <col min="11532" max="11533" width="9.75" style="3075" customWidth="1"/>
    <col min="11534" max="11534" width="9" style="3075" customWidth="1"/>
    <col min="11535" max="11536" width="9.375" style="3075" bestFit="1" customWidth="1"/>
    <col min="11537" max="11537" width="9" style="3075" customWidth="1"/>
    <col min="11538" max="11538" width="9.125" style="3075" customWidth="1"/>
    <col min="11539" max="11539" width="9" style="3075" customWidth="1"/>
    <col min="11540" max="11540" width="23.5" style="3075" customWidth="1"/>
    <col min="11541" max="11776" width="8.75" style="3075"/>
    <col min="11777" max="11777" width="8.5" style="3075" customWidth="1"/>
    <col min="11778" max="11778" width="8.75" style="3075"/>
    <col min="11779" max="11781" width="11.625" style="3075" customWidth="1"/>
    <col min="11782" max="11782" width="42.75" style="3075" customWidth="1"/>
    <col min="11783" max="11783" width="11.75" style="3075" customWidth="1"/>
    <col min="11784" max="11785" width="8.75" style="3075"/>
    <col min="11786" max="11786" width="5.25" style="3075" customWidth="1"/>
    <col min="11787" max="11787" width="10.625" style="3075" customWidth="1"/>
    <col min="11788" max="11789" width="9.75" style="3075" customWidth="1"/>
    <col min="11790" max="11790" width="9" style="3075" customWidth="1"/>
    <col min="11791" max="11792" width="9.375" style="3075" bestFit="1" customWidth="1"/>
    <col min="11793" max="11793" width="9" style="3075" customWidth="1"/>
    <col min="11794" max="11794" width="9.125" style="3075" customWidth="1"/>
    <col min="11795" max="11795" width="9" style="3075" customWidth="1"/>
    <col min="11796" max="11796" width="23.5" style="3075" customWidth="1"/>
    <col min="11797" max="12032" width="8.75" style="3075"/>
    <col min="12033" max="12033" width="8.5" style="3075" customWidth="1"/>
    <col min="12034" max="12034" width="8.75" style="3075"/>
    <col min="12035" max="12037" width="11.625" style="3075" customWidth="1"/>
    <col min="12038" max="12038" width="42.75" style="3075" customWidth="1"/>
    <col min="12039" max="12039" width="11.75" style="3075" customWidth="1"/>
    <col min="12040" max="12041" width="8.75" style="3075"/>
    <col min="12042" max="12042" width="5.25" style="3075" customWidth="1"/>
    <col min="12043" max="12043" width="10.625" style="3075" customWidth="1"/>
    <col min="12044" max="12045" width="9.75" style="3075" customWidth="1"/>
    <col min="12046" max="12046" width="9" style="3075" customWidth="1"/>
    <col min="12047" max="12048" width="9.375" style="3075" bestFit="1" customWidth="1"/>
    <col min="12049" max="12049" width="9" style="3075" customWidth="1"/>
    <col min="12050" max="12050" width="9.125" style="3075" customWidth="1"/>
    <col min="12051" max="12051" width="9" style="3075" customWidth="1"/>
    <col min="12052" max="12052" width="23.5" style="3075" customWidth="1"/>
    <col min="12053" max="12288" width="8.75" style="3075"/>
    <col min="12289" max="12289" width="8.5" style="3075" customWidth="1"/>
    <col min="12290" max="12290" width="8.75" style="3075"/>
    <col min="12291" max="12293" width="11.625" style="3075" customWidth="1"/>
    <col min="12294" max="12294" width="42.75" style="3075" customWidth="1"/>
    <col min="12295" max="12295" width="11.75" style="3075" customWidth="1"/>
    <col min="12296" max="12297" width="8.75" style="3075"/>
    <col min="12298" max="12298" width="5.25" style="3075" customWidth="1"/>
    <col min="12299" max="12299" width="10.625" style="3075" customWidth="1"/>
    <col min="12300" max="12301" width="9.75" style="3075" customWidth="1"/>
    <col min="12302" max="12302" width="9" style="3075" customWidth="1"/>
    <col min="12303" max="12304" width="9.375" style="3075" bestFit="1" customWidth="1"/>
    <col min="12305" max="12305" width="9" style="3075" customWidth="1"/>
    <col min="12306" max="12306" width="9.125" style="3075" customWidth="1"/>
    <col min="12307" max="12307" width="9" style="3075" customWidth="1"/>
    <col min="12308" max="12308" width="23.5" style="3075" customWidth="1"/>
    <col min="12309" max="12544" width="8.75" style="3075"/>
    <col min="12545" max="12545" width="8.5" style="3075" customWidth="1"/>
    <col min="12546" max="12546" width="8.75" style="3075"/>
    <col min="12547" max="12549" width="11.625" style="3075" customWidth="1"/>
    <col min="12550" max="12550" width="42.75" style="3075" customWidth="1"/>
    <col min="12551" max="12551" width="11.75" style="3075" customWidth="1"/>
    <col min="12552" max="12553" width="8.75" style="3075"/>
    <col min="12554" max="12554" width="5.25" style="3075" customWidth="1"/>
    <col min="12555" max="12555" width="10.625" style="3075" customWidth="1"/>
    <col min="12556" max="12557" width="9.75" style="3075" customWidth="1"/>
    <col min="12558" max="12558" width="9" style="3075" customWidth="1"/>
    <col min="12559" max="12560" width="9.375" style="3075" bestFit="1" customWidth="1"/>
    <col min="12561" max="12561" width="9" style="3075" customWidth="1"/>
    <col min="12562" max="12562" width="9.125" style="3075" customWidth="1"/>
    <col min="12563" max="12563" width="9" style="3075" customWidth="1"/>
    <col min="12564" max="12564" width="23.5" style="3075" customWidth="1"/>
    <col min="12565" max="12800" width="8.75" style="3075"/>
    <col min="12801" max="12801" width="8.5" style="3075" customWidth="1"/>
    <col min="12802" max="12802" width="8.75" style="3075"/>
    <col min="12803" max="12805" width="11.625" style="3075" customWidth="1"/>
    <col min="12806" max="12806" width="42.75" style="3075" customWidth="1"/>
    <col min="12807" max="12807" width="11.75" style="3075" customWidth="1"/>
    <col min="12808" max="12809" width="8.75" style="3075"/>
    <col min="12810" max="12810" width="5.25" style="3075" customWidth="1"/>
    <col min="12811" max="12811" width="10.625" style="3075" customWidth="1"/>
    <col min="12812" max="12813" width="9.75" style="3075" customWidth="1"/>
    <col min="12814" max="12814" width="9" style="3075" customWidth="1"/>
    <col min="12815" max="12816" width="9.375" style="3075" bestFit="1" customWidth="1"/>
    <col min="12817" max="12817" width="9" style="3075" customWidth="1"/>
    <col min="12818" max="12818" width="9.125" style="3075" customWidth="1"/>
    <col min="12819" max="12819" width="9" style="3075" customWidth="1"/>
    <col min="12820" max="12820" width="23.5" style="3075" customWidth="1"/>
    <col min="12821" max="13056" width="8.75" style="3075"/>
    <col min="13057" max="13057" width="8.5" style="3075" customWidth="1"/>
    <col min="13058" max="13058" width="8.75" style="3075"/>
    <col min="13059" max="13061" width="11.625" style="3075" customWidth="1"/>
    <col min="13062" max="13062" width="42.75" style="3075" customWidth="1"/>
    <col min="13063" max="13063" width="11.75" style="3075" customWidth="1"/>
    <col min="13064" max="13065" width="8.75" style="3075"/>
    <col min="13066" max="13066" width="5.25" style="3075" customWidth="1"/>
    <col min="13067" max="13067" width="10.625" style="3075" customWidth="1"/>
    <col min="13068" max="13069" width="9.75" style="3075" customWidth="1"/>
    <col min="13070" max="13070" width="9" style="3075" customWidth="1"/>
    <col min="13071" max="13072" width="9.375" style="3075" bestFit="1" customWidth="1"/>
    <col min="13073" max="13073" width="9" style="3075" customWidth="1"/>
    <col min="13074" max="13074" width="9.125" style="3075" customWidth="1"/>
    <col min="13075" max="13075" width="9" style="3075" customWidth="1"/>
    <col min="13076" max="13076" width="23.5" style="3075" customWidth="1"/>
    <col min="13077" max="13312" width="8.75" style="3075"/>
    <col min="13313" max="13313" width="8.5" style="3075" customWidth="1"/>
    <col min="13314" max="13314" width="8.75" style="3075"/>
    <col min="13315" max="13317" width="11.625" style="3075" customWidth="1"/>
    <col min="13318" max="13318" width="42.75" style="3075" customWidth="1"/>
    <col min="13319" max="13319" width="11.75" style="3075" customWidth="1"/>
    <col min="13320" max="13321" width="8.75" style="3075"/>
    <col min="13322" max="13322" width="5.25" style="3075" customWidth="1"/>
    <col min="13323" max="13323" width="10.625" style="3075" customWidth="1"/>
    <col min="13324" max="13325" width="9.75" style="3075" customWidth="1"/>
    <col min="13326" max="13326" width="9" style="3075" customWidth="1"/>
    <col min="13327" max="13328" width="9.375" style="3075" bestFit="1" customWidth="1"/>
    <col min="13329" max="13329" width="9" style="3075" customWidth="1"/>
    <col min="13330" max="13330" width="9.125" style="3075" customWidth="1"/>
    <col min="13331" max="13331" width="9" style="3075" customWidth="1"/>
    <col min="13332" max="13332" width="23.5" style="3075" customWidth="1"/>
    <col min="13333" max="13568" width="8.75" style="3075"/>
    <col min="13569" max="13569" width="8.5" style="3075" customWidth="1"/>
    <col min="13570" max="13570" width="8.75" style="3075"/>
    <col min="13571" max="13573" width="11.625" style="3075" customWidth="1"/>
    <col min="13574" max="13574" width="42.75" style="3075" customWidth="1"/>
    <col min="13575" max="13575" width="11.75" style="3075" customWidth="1"/>
    <col min="13576" max="13577" width="8.75" style="3075"/>
    <col min="13578" max="13578" width="5.25" style="3075" customWidth="1"/>
    <col min="13579" max="13579" width="10.625" style="3075" customWidth="1"/>
    <col min="13580" max="13581" width="9.75" style="3075" customWidth="1"/>
    <col min="13582" max="13582" width="9" style="3075" customWidth="1"/>
    <col min="13583" max="13584" width="9.375" style="3075" bestFit="1" customWidth="1"/>
    <col min="13585" max="13585" width="9" style="3075" customWidth="1"/>
    <col min="13586" max="13586" width="9.125" style="3075" customWidth="1"/>
    <col min="13587" max="13587" width="9" style="3075" customWidth="1"/>
    <col min="13588" max="13588" width="23.5" style="3075" customWidth="1"/>
    <col min="13589" max="13824" width="8.75" style="3075"/>
    <col min="13825" max="13825" width="8.5" style="3075" customWidth="1"/>
    <col min="13826" max="13826" width="8.75" style="3075"/>
    <col min="13827" max="13829" width="11.625" style="3075" customWidth="1"/>
    <col min="13830" max="13830" width="42.75" style="3075" customWidth="1"/>
    <col min="13831" max="13831" width="11.75" style="3075" customWidth="1"/>
    <col min="13832" max="13833" width="8.75" style="3075"/>
    <col min="13834" max="13834" width="5.25" style="3075" customWidth="1"/>
    <col min="13835" max="13835" width="10.625" style="3075" customWidth="1"/>
    <col min="13836" max="13837" width="9.75" style="3075" customWidth="1"/>
    <col min="13838" max="13838" width="9" style="3075" customWidth="1"/>
    <col min="13839" max="13840" width="9.375" style="3075" bestFit="1" customWidth="1"/>
    <col min="13841" max="13841" width="9" style="3075" customWidth="1"/>
    <col min="13842" max="13842" width="9.125" style="3075" customWidth="1"/>
    <col min="13843" max="13843" width="9" style="3075" customWidth="1"/>
    <col min="13844" max="13844" width="23.5" style="3075" customWidth="1"/>
    <col min="13845" max="14080" width="8.75" style="3075"/>
    <col min="14081" max="14081" width="8.5" style="3075" customWidth="1"/>
    <col min="14082" max="14082" width="8.75" style="3075"/>
    <col min="14083" max="14085" width="11.625" style="3075" customWidth="1"/>
    <col min="14086" max="14086" width="42.75" style="3075" customWidth="1"/>
    <col min="14087" max="14087" width="11.75" style="3075" customWidth="1"/>
    <col min="14088" max="14089" width="8.75" style="3075"/>
    <col min="14090" max="14090" width="5.25" style="3075" customWidth="1"/>
    <col min="14091" max="14091" width="10.625" style="3075" customWidth="1"/>
    <col min="14092" max="14093" width="9.75" style="3075" customWidth="1"/>
    <col min="14094" max="14094" width="9" style="3075" customWidth="1"/>
    <col min="14095" max="14096" width="9.375" style="3075" bestFit="1" customWidth="1"/>
    <col min="14097" max="14097" width="9" style="3075" customWidth="1"/>
    <col min="14098" max="14098" width="9.125" style="3075" customWidth="1"/>
    <col min="14099" max="14099" width="9" style="3075" customWidth="1"/>
    <col min="14100" max="14100" width="23.5" style="3075" customWidth="1"/>
    <col min="14101" max="14336" width="8.75" style="3075"/>
    <col min="14337" max="14337" width="8.5" style="3075" customWidth="1"/>
    <col min="14338" max="14338" width="8.75" style="3075"/>
    <col min="14339" max="14341" width="11.625" style="3075" customWidth="1"/>
    <col min="14342" max="14342" width="42.75" style="3075" customWidth="1"/>
    <col min="14343" max="14343" width="11.75" style="3075" customWidth="1"/>
    <col min="14344" max="14345" width="8.75" style="3075"/>
    <col min="14346" max="14346" width="5.25" style="3075" customWidth="1"/>
    <col min="14347" max="14347" width="10.625" style="3075" customWidth="1"/>
    <col min="14348" max="14349" width="9.75" style="3075" customWidth="1"/>
    <col min="14350" max="14350" width="9" style="3075" customWidth="1"/>
    <col min="14351" max="14352" width="9.375" style="3075" bestFit="1" customWidth="1"/>
    <col min="14353" max="14353" width="9" style="3075" customWidth="1"/>
    <col min="14354" max="14354" width="9.125" style="3075" customWidth="1"/>
    <col min="14355" max="14355" width="9" style="3075" customWidth="1"/>
    <col min="14356" max="14356" width="23.5" style="3075" customWidth="1"/>
    <col min="14357" max="14592" width="8.75" style="3075"/>
    <col min="14593" max="14593" width="8.5" style="3075" customWidth="1"/>
    <col min="14594" max="14594" width="8.75" style="3075"/>
    <col min="14595" max="14597" width="11.625" style="3075" customWidth="1"/>
    <col min="14598" max="14598" width="42.75" style="3075" customWidth="1"/>
    <col min="14599" max="14599" width="11.75" style="3075" customWidth="1"/>
    <col min="14600" max="14601" width="8.75" style="3075"/>
    <col min="14602" max="14602" width="5.25" style="3075" customWidth="1"/>
    <col min="14603" max="14603" width="10.625" style="3075" customWidth="1"/>
    <col min="14604" max="14605" width="9.75" style="3075" customWidth="1"/>
    <col min="14606" max="14606" width="9" style="3075" customWidth="1"/>
    <col min="14607" max="14608" width="9.375" style="3075" bestFit="1" customWidth="1"/>
    <col min="14609" max="14609" width="9" style="3075" customWidth="1"/>
    <col min="14610" max="14610" width="9.125" style="3075" customWidth="1"/>
    <col min="14611" max="14611" width="9" style="3075" customWidth="1"/>
    <col min="14612" max="14612" width="23.5" style="3075" customWidth="1"/>
    <col min="14613" max="14848" width="8.75" style="3075"/>
    <col min="14849" max="14849" width="8.5" style="3075" customWidth="1"/>
    <col min="14850" max="14850" width="8.75" style="3075"/>
    <col min="14851" max="14853" width="11.625" style="3075" customWidth="1"/>
    <col min="14854" max="14854" width="42.75" style="3075" customWidth="1"/>
    <col min="14855" max="14855" width="11.75" style="3075" customWidth="1"/>
    <col min="14856" max="14857" width="8.75" style="3075"/>
    <col min="14858" max="14858" width="5.25" style="3075" customWidth="1"/>
    <col min="14859" max="14859" width="10.625" style="3075" customWidth="1"/>
    <col min="14860" max="14861" width="9.75" style="3075" customWidth="1"/>
    <col min="14862" max="14862" width="9" style="3075" customWidth="1"/>
    <col min="14863" max="14864" width="9.375" style="3075" bestFit="1" customWidth="1"/>
    <col min="14865" max="14865" width="9" style="3075" customWidth="1"/>
    <col min="14866" max="14866" width="9.125" style="3075" customWidth="1"/>
    <col min="14867" max="14867" width="9" style="3075" customWidth="1"/>
    <col min="14868" max="14868" width="23.5" style="3075" customWidth="1"/>
    <col min="14869" max="15104" width="8.75" style="3075"/>
    <col min="15105" max="15105" width="8.5" style="3075" customWidth="1"/>
    <col min="15106" max="15106" width="8.75" style="3075"/>
    <col min="15107" max="15109" width="11.625" style="3075" customWidth="1"/>
    <col min="15110" max="15110" width="42.75" style="3075" customWidth="1"/>
    <col min="15111" max="15111" width="11.75" style="3075" customWidth="1"/>
    <col min="15112" max="15113" width="8.75" style="3075"/>
    <col min="15114" max="15114" width="5.25" style="3075" customWidth="1"/>
    <col min="15115" max="15115" width="10.625" style="3075" customWidth="1"/>
    <col min="15116" max="15117" width="9.75" style="3075" customWidth="1"/>
    <col min="15118" max="15118" width="9" style="3075" customWidth="1"/>
    <col min="15119" max="15120" width="9.375" style="3075" bestFit="1" customWidth="1"/>
    <col min="15121" max="15121" width="9" style="3075" customWidth="1"/>
    <col min="15122" max="15122" width="9.125" style="3075" customWidth="1"/>
    <col min="15123" max="15123" width="9" style="3075" customWidth="1"/>
    <col min="15124" max="15124" width="23.5" style="3075" customWidth="1"/>
    <col min="15125" max="15360" width="8.75" style="3075"/>
    <col min="15361" max="15361" width="8.5" style="3075" customWidth="1"/>
    <col min="15362" max="15362" width="8.75" style="3075"/>
    <col min="15363" max="15365" width="11.625" style="3075" customWidth="1"/>
    <col min="15366" max="15366" width="42.75" style="3075" customWidth="1"/>
    <col min="15367" max="15367" width="11.75" style="3075" customWidth="1"/>
    <col min="15368" max="15369" width="8.75" style="3075"/>
    <col min="15370" max="15370" width="5.25" style="3075" customWidth="1"/>
    <col min="15371" max="15371" width="10.625" style="3075" customWidth="1"/>
    <col min="15372" max="15373" width="9.75" style="3075" customWidth="1"/>
    <col min="15374" max="15374" width="9" style="3075" customWidth="1"/>
    <col min="15375" max="15376" width="9.375" style="3075" bestFit="1" customWidth="1"/>
    <col min="15377" max="15377" width="9" style="3075" customWidth="1"/>
    <col min="15378" max="15378" width="9.125" style="3075" customWidth="1"/>
    <col min="15379" max="15379" width="9" style="3075" customWidth="1"/>
    <col min="15380" max="15380" width="23.5" style="3075" customWidth="1"/>
    <col min="15381" max="15616" width="8.75" style="3075"/>
    <col min="15617" max="15617" width="8.5" style="3075" customWidth="1"/>
    <col min="15618" max="15618" width="8.75" style="3075"/>
    <col min="15619" max="15621" width="11.625" style="3075" customWidth="1"/>
    <col min="15622" max="15622" width="42.75" style="3075" customWidth="1"/>
    <col min="15623" max="15623" width="11.75" style="3075" customWidth="1"/>
    <col min="15624" max="15625" width="8.75" style="3075"/>
    <col min="15626" max="15626" width="5.25" style="3075" customWidth="1"/>
    <col min="15627" max="15627" width="10.625" style="3075" customWidth="1"/>
    <col min="15628" max="15629" width="9.75" style="3075" customWidth="1"/>
    <col min="15630" max="15630" width="9" style="3075" customWidth="1"/>
    <col min="15631" max="15632" width="9.375" style="3075" bestFit="1" customWidth="1"/>
    <col min="15633" max="15633" width="9" style="3075" customWidth="1"/>
    <col min="15634" max="15634" width="9.125" style="3075" customWidth="1"/>
    <col min="15635" max="15635" width="9" style="3075" customWidth="1"/>
    <col min="15636" max="15636" width="23.5" style="3075" customWidth="1"/>
    <col min="15637" max="15872" width="8.75" style="3075"/>
    <col min="15873" max="15873" width="8.5" style="3075" customWidth="1"/>
    <col min="15874" max="15874" width="8.75" style="3075"/>
    <col min="15875" max="15877" width="11.625" style="3075" customWidth="1"/>
    <col min="15878" max="15878" width="42.75" style="3075" customWidth="1"/>
    <col min="15879" max="15879" width="11.75" style="3075" customWidth="1"/>
    <col min="15880" max="15881" width="8.75" style="3075"/>
    <col min="15882" max="15882" width="5.25" style="3075" customWidth="1"/>
    <col min="15883" max="15883" width="10.625" style="3075" customWidth="1"/>
    <col min="15884" max="15885" width="9.75" style="3075" customWidth="1"/>
    <col min="15886" max="15886" width="9" style="3075" customWidth="1"/>
    <col min="15887" max="15888" width="9.375" style="3075" bestFit="1" customWidth="1"/>
    <col min="15889" max="15889" width="9" style="3075" customWidth="1"/>
    <col min="15890" max="15890" width="9.125" style="3075" customWidth="1"/>
    <col min="15891" max="15891" width="9" style="3075" customWidth="1"/>
    <col min="15892" max="15892" width="23.5" style="3075" customWidth="1"/>
    <col min="15893" max="16128" width="8.75" style="3075"/>
    <col min="16129" max="16129" width="8.5" style="3075" customWidth="1"/>
    <col min="16130" max="16130" width="8.75" style="3075"/>
    <col min="16131" max="16133" width="11.625" style="3075" customWidth="1"/>
    <col min="16134" max="16134" width="42.75" style="3075" customWidth="1"/>
    <col min="16135" max="16135" width="11.75" style="3075" customWidth="1"/>
    <col min="16136" max="16137" width="8.75" style="3075"/>
    <col min="16138" max="16138" width="5.25" style="3075" customWidth="1"/>
    <col min="16139" max="16139" width="10.625" style="3075" customWidth="1"/>
    <col min="16140" max="16141" width="9.75" style="3075" customWidth="1"/>
    <col min="16142" max="16142" width="9" style="3075" customWidth="1"/>
    <col min="16143" max="16144" width="9.375" style="3075" bestFit="1" customWidth="1"/>
    <col min="16145" max="16145" width="9" style="3075" customWidth="1"/>
    <col min="16146" max="16146" width="9.125" style="3075" customWidth="1"/>
    <col min="16147" max="16147" width="9" style="3075" customWidth="1"/>
    <col min="16148" max="16148" width="23.5" style="3075" customWidth="1"/>
    <col min="16149" max="16384" width="8.75" style="3075"/>
  </cols>
  <sheetData>
    <row r="1" spans="1:22" ht="21" customHeight="1">
      <c r="A1" s="3069" t="s">
        <v>3170</v>
      </c>
      <c r="B1" s="3070"/>
      <c r="C1" s="3071"/>
      <c r="D1" s="3072" t="s">
        <v>70</v>
      </c>
      <c r="E1" s="3073" t="s">
        <v>3171</v>
      </c>
      <c r="F1" s="3240">
        <f>C36</f>
        <v>37.58</v>
      </c>
      <c r="G1" s="3074"/>
      <c r="J1" s="3077" t="s">
        <v>3172</v>
      </c>
      <c r="K1" s="3078"/>
      <c r="L1" s="3078"/>
      <c r="M1" s="3078"/>
      <c r="N1" s="3078"/>
      <c r="O1" s="3078"/>
      <c r="P1" s="3078"/>
      <c r="Q1" s="3078"/>
      <c r="R1" s="3079"/>
      <c r="S1" s="3080"/>
      <c r="T1" s="3080"/>
      <c r="U1" s="3080"/>
    </row>
    <row r="2" spans="1:22" s="3087" customFormat="1" ht="13.15" customHeight="1">
      <c r="A2" s="3081" t="s">
        <v>3173</v>
      </c>
      <c r="B2" s="3082">
        <f ca="1">C40</f>
        <v>137890</v>
      </c>
      <c r="C2" s="3083" t="s">
        <v>3174</v>
      </c>
      <c r="D2" s="3083"/>
      <c r="E2" s="3084"/>
      <c r="F2" s="3085"/>
      <c r="G2" s="3086"/>
      <c r="I2" s="3088"/>
      <c r="J2" s="3594" t="s">
        <v>3175</v>
      </c>
      <c r="K2" s="3595"/>
      <c r="L2" s="3089" t="s">
        <v>3176</v>
      </c>
      <c r="M2" s="3089" t="s">
        <v>3177</v>
      </c>
      <c r="N2" s="3089" t="s">
        <v>3178</v>
      </c>
      <c r="O2" s="3089" t="s">
        <v>3179</v>
      </c>
      <c r="P2" s="3089" t="s">
        <v>3180</v>
      </c>
      <c r="Q2" s="3090" t="s">
        <v>3181</v>
      </c>
      <c r="R2" s="3091" t="s">
        <v>3182</v>
      </c>
      <c r="S2" s="3080"/>
      <c r="T2" s="3080"/>
      <c r="U2" s="3080"/>
      <c r="V2" s="3088"/>
    </row>
    <row r="3" spans="1:22" s="3087" customFormat="1" ht="13.15" customHeight="1">
      <c r="A3" s="3092" t="s">
        <v>3183</v>
      </c>
      <c r="B3" s="3093">
        <f ca="1">ROUND(B2*10000/B4,0)</f>
        <v>9780</v>
      </c>
      <c r="C3" s="3083" t="s">
        <v>3184</v>
      </c>
      <c r="D3" s="3083"/>
      <c r="E3" s="3084"/>
      <c r="F3" s="3085"/>
      <c r="G3" s="3086"/>
      <c r="I3" s="3088"/>
      <c r="J3" s="3596" t="s">
        <v>3185</v>
      </c>
      <c r="K3" s="3597"/>
      <c r="L3" s="3094">
        <v>20000</v>
      </c>
      <c r="M3" s="3094">
        <v>500</v>
      </c>
      <c r="N3" s="3094">
        <v>500</v>
      </c>
      <c r="O3" s="3094">
        <v>10000</v>
      </c>
      <c r="P3" s="3094">
        <v>10000</v>
      </c>
      <c r="Q3" s="3095">
        <v>500</v>
      </c>
      <c r="R3" s="3096">
        <f>SUM(L3:Q3)</f>
        <v>41500</v>
      </c>
      <c r="S3" s="3080"/>
      <c r="T3" s="3080"/>
      <c r="U3" s="3080"/>
      <c r="V3" s="3088"/>
    </row>
    <row r="4" spans="1:22" s="3087" customFormat="1" ht="13.15" customHeight="1">
      <c r="A4" s="3097" t="s">
        <v>3186</v>
      </c>
      <c r="B4" s="3098">
        <f>面积明细!R9</f>
        <v>140992.71000000002</v>
      </c>
      <c r="C4" s="3083"/>
      <c r="D4" s="3083"/>
      <c r="E4" s="3084"/>
      <c r="F4" s="3085"/>
      <c r="G4" s="3086"/>
      <c r="I4" s="3088"/>
      <c r="J4" s="3596" t="s">
        <v>3187</v>
      </c>
      <c r="K4" s="3597"/>
      <c r="L4" s="3099">
        <v>6500</v>
      </c>
      <c r="M4" s="3099">
        <v>150</v>
      </c>
      <c r="N4" s="3099">
        <v>150</v>
      </c>
      <c r="O4" s="3099">
        <v>3500</v>
      </c>
      <c r="P4" s="3099">
        <v>3500</v>
      </c>
      <c r="Q4" s="3100">
        <v>150</v>
      </c>
      <c r="R4" s="3101">
        <f>SUM(L4:Q4)</f>
        <v>13950</v>
      </c>
      <c r="S4" s="3080"/>
      <c r="T4" s="3080"/>
      <c r="U4" s="3080"/>
      <c r="V4" s="3088"/>
    </row>
    <row r="5" spans="1:22" s="3087" customFormat="1" ht="13.15" customHeight="1" thickBot="1">
      <c r="A5" s="3102" t="s">
        <v>3188</v>
      </c>
      <c r="B5" s="3103">
        <f>'数据-基础表'!A3</f>
        <v>47741.399999999994</v>
      </c>
      <c r="C5" s="3083"/>
      <c r="D5" s="3104"/>
      <c r="E5" s="3085"/>
      <c r="F5" s="3085"/>
      <c r="G5" s="3086"/>
      <c r="I5" s="3088"/>
      <c r="J5" s="3105" t="s">
        <v>3189</v>
      </c>
      <c r="K5" s="3106"/>
      <c r="L5" s="3106"/>
      <c r="M5" s="3107"/>
      <c r="N5" s="3107"/>
      <c r="O5" s="3107"/>
      <c r="P5" s="3107"/>
      <c r="Q5" s="3107"/>
      <c r="R5" s="3091">
        <f>SUM(R14,R19,R24,R25,R27,R28)</f>
        <v>17965</v>
      </c>
      <c r="S5" s="3080"/>
      <c r="T5" s="3080" t="s">
        <v>3190</v>
      </c>
      <c r="U5" s="3080">
        <f>ROUND(R5*10000/365/R3,1)</f>
        <v>11.9</v>
      </c>
      <c r="V5" s="3088"/>
    </row>
    <row r="6" spans="1:22" s="3087" customFormat="1" ht="13.15" customHeight="1" thickBot="1">
      <c r="A6" s="3602" t="s">
        <v>3191</v>
      </c>
      <c r="B6" s="3603"/>
      <c r="C6" s="3604"/>
      <c r="D6" s="3108">
        <f>财务报表及预计年收入!K17</f>
        <v>10998</v>
      </c>
      <c r="E6" s="3109"/>
      <c r="F6" s="3110"/>
      <c r="G6" s="3111">
        <f>D6*10000/365/B4</f>
        <v>2.1370967938211178</v>
      </c>
      <c r="I6" s="3088"/>
      <c r="J6" s="3588">
        <v>1</v>
      </c>
      <c r="K6" s="3589" t="s">
        <v>3192</v>
      </c>
      <c r="L6" s="3112" t="s">
        <v>3193</v>
      </c>
      <c r="M6" s="3113" t="s">
        <v>3194</v>
      </c>
      <c r="N6" s="3113" t="s">
        <v>3195</v>
      </c>
      <c r="O6" s="3113" t="s">
        <v>3196</v>
      </c>
      <c r="P6" s="3113" t="s">
        <v>3197</v>
      </c>
      <c r="Q6" s="3113" t="s">
        <v>3198</v>
      </c>
      <c r="R6" s="3096" t="s">
        <v>3199</v>
      </c>
      <c r="S6" s="3080"/>
      <c r="T6" s="3080" t="s">
        <v>3200</v>
      </c>
      <c r="U6" s="3080"/>
      <c r="V6" s="3088"/>
    </row>
    <row r="7" spans="1:22" s="3087" customFormat="1" ht="13.15" customHeight="1">
      <c r="A7" s="3114" t="s">
        <v>3201</v>
      </c>
      <c r="B7" s="3115"/>
      <c r="C7" s="3116"/>
      <c r="D7" s="3117">
        <f ca="1">SUM(D9,D10,D11,D17,0)</f>
        <v>4644</v>
      </c>
      <c r="E7" s="3118">
        <f ca="1">E9+E10+E11+E17</f>
        <v>0.42220403709765408</v>
      </c>
      <c r="F7" s="3119"/>
      <c r="G7" s="3247"/>
      <c r="I7" s="3088"/>
      <c r="J7" s="3588"/>
      <c r="K7" s="3590"/>
      <c r="L7" s="3120" t="s">
        <v>3202</v>
      </c>
      <c r="M7" s="3121">
        <v>1</v>
      </c>
      <c r="N7" s="3098">
        <v>8000</v>
      </c>
      <c r="O7" s="3122">
        <v>0.5</v>
      </c>
      <c r="P7" s="3122">
        <v>0.6</v>
      </c>
      <c r="Q7" s="3123">
        <v>365</v>
      </c>
      <c r="R7" s="3124">
        <f>ROUND(M7*N7*O7*P7*Q7/10000,0)</f>
        <v>88</v>
      </c>
      <c r="S7" s="3080"/>
      <c r="T7" s="3080" t="s">
        <v>3203</v>
      </c>
      <c r="U7" s="3080"/>
      <c r="V7" s="3088"/>
    </row>
    <row r="8" spans="1:22" s="3087" customFormat="1" ht="13.15" customHeight="1">
      <c r="A8" s="3125" t="s">
        <v>3204</v>
      </c>
      <c r="B8" s="3605" t="s">
        <v>3205</v>
      </c>
      <c r="C8" s="3597"/>
      <c r="D8" s="3126" t="s">
        <v>3206</v>
      </c>
      <c r="E8" s="3127" t="s">
        <v>3207</v>
      </c>
      <c r="F8" s="3091" t="s">
        <v>3208</v>
      </c>
      <c r="G8" s="3128"/>
      <c r="I8" s="3088"/>
      <c r="J8" s="3588"/>
      <c r="K8" s="3590"/>
      <c r="L8" s="3120" t="s">
        <v>3209</v>
      </c>
      <c r="M8" s="3121">
        <v>12</v>
      </c>
      <c r="N8" s="3098">
        <v>3200</v>
      </c>
      <c r="O8" s="3122">
        <v>0.5</v>
      </c>
      <c r="P8" s="3122">
        <v>0.6</v>
      </c>
      <c r="Q8" s="3123">
        <v>365</v>
      </c>
      <c r="R8" s="3124">
        <f t="shared" ref="R8:R13" si="0">ROUND(M8*N8*O8*P8*Q8/10000,0)</f>
        <v>420</v>
      </c>
      <c r="S8" s="3080"/>
      <c r="T8" s="3080" t="s">
        <v>3210</v>
      </c>
      <c r="U8" s="3080"/>
      <c r="V8" s="3088"/>
    </row>
    <row r="9" spans="1:22" s="3087" customFormat="1" ht="13.15" customHeight="1">
      <c r="A9" s="3125">
        <v>1</v>
      </c>
      <c r="B9" s="3606" t="s">
        <v>3211</v>
      </c>
      <c r="C9" s="3607"/>
      <c r="D9" s="3126">
        <f>ROUND(D6*E9,0)</f>
        <v>0</v>
      </c>
      <c r="E9" s="3129">
        <v>0</v>
      </c>
      <c r="F9" s="3130" t="s">
        <v>3212</v>
      </c>
      <c r="G9" s="3111"/>
      <c r="I9" s="3088"/>
      <c r="J9" s="3588"/>
      <c r="K9" s="3590"/>
      <c r="L9" s="3120" t="s">
        <v>3213</v>
      </c>
      <c r="M9" s="3121">
        <v>45</v>
      </c>
      <c r="N9" s="3098">
        <v>2700</v>
      </c>
      <c r="O9" s="3122">
        <v>0.5</v>
      </c>
      <c r="P9" s="3122">
        <v>0.6</v>
      </c>
      <c r="Q9" s="3123">
        <v>365</v>
      </c>
      <c r="R9" s="3124">
        <f t="shared" si="0"/>
        <v>1330</v>
      </c>
      <c r="S9" s="3080"/>
      <c r="T9" s="3080"/>
      <c r="U9" s="3080"/>
      <c r="V9" s="3088"/>
    </row>
    <row r="10" spans="1:22" s="3087" customFormat="1" ht="13.15" customHeight="1">
      <c r="A10" s="3125">
        <v>2</v>
      </c>
      <c r="B10" s="3605" t="s">
        <v>3214</v>
      </c>
      <c r="C10" s="3597"/>
      <c r="D10" s="3126">
        <f>ROUND(D6*E10,0)</f>
        <v>2200</v>
      </c>
      <c r="E10" s="3129">
        <v>0.2</v>
      </c>
      <c r="F10" s="3130" t="s">
        <v>3215</v>
      </c>
      <c r="G10" s="3111"/>
      <c r="I10" s="3088"/>
      <c r="J10" s="3588"/>
      <c r="K10" s="3590"/>
      <c r="L10" s="3120" t="s">
        <v>3216</v>
      </c>
      <c r="M10" s="3121">
        <v>368</v>
      </c>
      <c r="N10" s="3098">
        <v>1500</v>
      </c>
      <c r="O10" s="3122">
        <v>0.5</v>
      </c>
      <c r="P10" s="3122">
        <v>0.6</v>
      </c>
      <c r="Q10" s="3123">
        <v>365</v>
      </c>
      <c r="R10" s="3124">
        <f t="shared" si="0"/>
        <v>6044</v>
      </c>
      <c r="S10" s="3080"/>
      <c r="T10" s="3080"/>
      <c r="U10" s="3080"/>
      <c r="V10" s="3088"/>
    </row>
    <row r="11" spans="1:22" s="3087" customFormat="1" ht="13.15" customHeight="1">
      <c r="A11" s="3125">
        <v>3</v>
      </c>
      <c r="B11" s="3605" t="s">
        <v>3217</v>
      </c>
      <c r="C11" s="3597"/>
      <c r="D11" s="3126">
        <f ca="1">D12+D14+D15+D16</f>
        <v>1344</v>
      </c>
      <c r="E11" s="3131">
        <f ca="1">D11/D6</f>
        <v>0.12220403709765412</v>
      </c>
      <c r="F11" s="3091"/>
      <c r="G11" s="3128"/>
      <c r="I11" s="3088"/>
      <c r="J11" s="3588"/>
      <c r="K11" s="3590"/>
      <c r="L11" s="3120" t="s">
        <v>3218</v>
      </c>
      <c r="M11" s="3121">
        <v>50</v>
      </c>
      <c r="N11" s="3098">
        <v>2000</v>
      </c>
      <c r="O11" s="3122">
        <v>0.5</v>
      </c>
      <c r="P11" s="3122">
        <v>0.6</v>
      </c>
      <c r="Q11" s="3123">
        <v>365</v>
      </c>
      <c r="R11" s="3124">
        <f t="shared" si="0"/>
        <v>1095</v>
      </c>
      <c r="S11" s="3080"/>
      <c r="T11" s="3080"/>
      <c r="U11" s="3080"/>
      <c r="V11" s="3088"/>
    </row>
    <row r="12" spans="1:22" s="3087" customFormat="1" ht="13.15" customHeight="1">
      <c r="A12" s="3132" t="s">
        <v>3219</v>
      </c>
      <c r="B12" s="3608" t="s">
        <v>3220</v>
      </c>
      <c r="C12" s="3609"/>
      <c r="D12" s="3133">
        <f ca="1">ROUND(D13*1.2%*(1-30%),0)</f>
        <v>714</v>
      </c>
      <c r="E12" s="3134">
        <v>1.2E-2</v>
      </c>
      <c r="F12" s="3091" t="s">
        <v>3221</v>
      </c>
      <c r="G12" s="3128"/>
      <c r="I12" s="3088"/>
      <c r="J12" s="3588"/>
      <c r="K12" s="3590"/>
      <c r="L12" s="3120" t="s">
        <v>3222</v>
      </c>
      <c r="M12" s="3121">
        <v>36</v>
      </c>
      <c r="N12" s="3098">
        <v>2700</v>
      </c>
      <c r="O12" s="3122">
        <v>0.5</v>
      </c>
      <c r="P12" s="3122">
        <v>0.6</v>
      </c>
      <c r="Q12" s="3123">
        <v>365</v>
      </c>
      <c r="R12" s="3124">
        <f t="shared" si="0"/>
        <v>1064</v>
      </c>
      <c r="S12" s="3080"/>
      <c r="T12" s="3080"/>
      <c r="U12" s="3080"/>
      <c r="V12" s="3088"/>
    </row>
    <row r="13" spans="1:22" s="3087" customFormat="1" ht="13.15" customHeight="1">
      <c r="A13" s="3132"/>
      <c r="B13" s="3135"/>
      <c r="C13" s="3136" t="s">
        <v>3223</v>
      </c>
      <c r="D13" s="3137">
        <f ca="1">成本法!C49</f>
        <v>84973</v>
      </c>
      <c r="E13" s="3138"/>
      <c r="F13" s="3091"/>
      <c r="G13" s="3128"/>
      <c r="I13" s="3088"/>
      <c r="J13" s="3588"/>
      <c r="K13" s="3590"/>
      <c r="L13" s="3120" t="s">
        <v>3224</v>
      </c>
      <c r="M13" s="3121">
        <v>15</v>
      </c>
      <c r="N13" s="3098">
        <v>3200</v>
      </c>
      <c r="O13" s="3122">
        <v>0.5</v>
      </c>
      <c r="P13" s="3122">
        <v>0.6</v>
      </c>
      <c r="Q13" s="3123">
        <v>365</v>
      </c>
      <c r="R13" s="3124">
        <f t="shared" si="0"/>
        <v>526</v>
      </c>
      <c r="S13" s="3080"/>
      <c r="T13" s="3080"/>
      <c r="U13" s="3080"/>
      <c r="V13" s="3088"/>
    </row>
    <row r="14" spans="1:22" s="3087" customFormat="1" ht="13.15" customHeight="1">
      <c r="A14" s="3132" t="s">
        <v>3225</v>
      </c>
      <c r="B14" s="3598" t="s">
        <v>3226</v>
      </c>
      <c r="C14" s="3599"/>
      <c r="D14" s="3133">
        <f>ROUND(E14*B5/10000,0)</f>
        <v>43</v>
      </c>
      <c r="E14" s="3139">
        <f>'数据-取费表'!B56</f>
        <v>9</v>
      </c>
      <c r="F14" s="3091" t="s">
        <v>3227</v>
      </c>
      <c r="G14" s="3128"/>
      <c r="I14" s="3088"/>
      <c r="J14" s="3588"/>
      <c r="K14" s="3591"/>
      <c r="L14" s="3140" t="s">
        <v>3228</v>
      </c>
      <c r="M14" s="3141">
        <f>SUM(M7:M13)</f>
        <v>527</v>
      </c>
      <c r="N14" s="3141">
        <f>ROUND((N7*M7+N8*M8+N9*M9+N10*M10+N11*M11+N12*M12+N13*M13)/M14,0)</f>
        <v>1831</v>
      </c>
      <c r="O14" s="3142"/>
      <c r="P14" s="3142"/>
      <c r="Q14" s="3143"/>
      <c r="R14" s="3091">
        <f>SUM(R7:R13)</f>
        <v>10567</v>
      </c>
      <c r="S14" s="3080"/>
      <c r="T14" s="3080"/>
      <c r="U14" s="3080"/>
      <c r="V14" s="3088"/>
    </row>
    <row r="15" spans="1:22" s="3087" customFormat="1" ht="13.15" customHeight="1">
      <c r="A15" s="3132" t="s">
        <v>3229</v>
      </c>
      <c r="B15" s="3598" t="s">
        <v>3230</v>
      </c>
      <c r="C15" s="3599"/>
      <c r="D15" s="3145">
        <f>ROUND(D6*E15/(1+5%),0)</f>
        <v>587</v>
      </c>
      <c r="E15" s="3134">
        <v>5.6000000000000001E-2</v>
      </c>
      <c r="F15" s="3091" t="s">
        <v>3231</v>
      </c>
      <c r="G15" s="3111"/>
      <c r="I15" s="3088"/>
      <c r="J15" s="3588">
        <v>2</v>
      </c>
      <c r="K15" s="3589" t="s">
        <v>3232</v>
      </c>
      <c r="L15" s="3120" t="s">
        <v>3233</v>
      </c>
      <c r="M15" s="3121" t="s">
        <v>3234</v>
      </c>
      <c r="N15" s="3121" t="s">
        <v>3235</v>
      </c>
      <c r="O15" s="3122" t="s">
        <v>3236</v>
      </c>
      <c r="P15" s="3122" t="s">
        <v>3237</v>
      </c>
      <c r="Q15" s="3098" t="s">
        <v>3238</v>
      </c>
      <c r="R15" s="3144" t="s">
        <v>3239</v>
      </c>
      <c r="S15" s="3080"/>
      <c r="T15" s="3080"/>
      <c r="U15" s="3080"/>
      <c r="V15" s="3088"/>
    </row>
    <row r="16" spans="1:22" s="3087" customFormat="1" ht="13.15" customHeight="1">
      <c r="A16" s="3132" t="s">
        <v>3240</v>
      </c>
      <c r="B16" s="3598" t="s">
        <v>3241</v>
      </c>
      <c r="C16" s="3599"/>
      <c r="D16" s="3145">
        <f>D6*E16</f>
        <v>0</v>
      </c>
      <c r="E16" s="3146"/>
      <c r="F16" s="3130" t="s">
        <v>3242</v>
      </c>
      <c r="G16" s="3111"/>
      <c r="I16" s="3088"/>
      <c r="J16" s="3588"/>
      <c r="K16" s="3590"/>
      <c r="L16" s="3120" t="s">
        <v>3243</v>
      </c>
      <c r="M16" s="3121">
        <v>100</v>
      </c>
      <c r="N16" s="3121">
        <v>100</v>
      </c>
      <c r="O16" s="3122">
        <v>1.2</v>
      </c>
      <c r="P16" s="3123">
        <v>365</v>
      </c>
      <c r="Q16" s="3098"/>
      <c r="R16" s="3144">
        <f>ROUND(M16*N16*O16*P16/10000,0)</f>
        <v>438</v>
      </c>
      <c r="S16" s="3080"/>
      <c r="T16" s="3080"/>
      <c r="U16" s="3080"/>
      <c r="V16" s="3088"/>
    </row>
    <row r="17" spans="1:22" s="3087" customFormat="1" ht="13.15" customHeight="1" thickBot="1">
      <c r="A17" s="3147">
        <v>4</v>
      </c>
      <c r="B17" s="3600" t="s">
        <v>3244</v>
      </c>
      <c r="C17" s="3601"/>
      <c r="D17" s="3148">
        <f>ROUND(D6*E17,0)</f>
        <v>1100</v>
      </c>
      <c r="E17" s="3149">
        <v>0.1</v>
      </c>
      <c r="F17" s="3150" t="s">
        <v>3245</v>
      </c>
      <c r="G17" s="3111"/>
      <c r="I17" s="3088"/>
      <c r="J17" s="3588"/>
      <c r="K17" s="3590"/>
      <c r="L17" s="3120" t="s">
        <v>3246</v>
      </c>
      <c r="M17" s="3121">
        <v>200</v>
      </c>
      <c r="N17" s="3121">
        <v>200</v>
      </c>
      <c r="O17" s="3122">
        <v>2</v>
      </c>
      <c r="P17" s="3123">
        <v>365</v>
      </c>
      <c r="Q17" s="3098"/>
      <c r="R17" s="3144">
        <f>ROUND(M17*N17*O17*P17/10000,0)</f>
        <v>2920</v>
      </c>
      <c r="S17" s="3080"/>
      <c r="T17" s="3080"/>
      <c r="U17" s="3080"/>
      <c r="V17" s="3088"/>
    </row>
    <row r="18" spans="1:22" s="3087" customFormat="1" ht="13.15" customHeight="1" thickBot="1">
      <c r="A18" s="3114" t="s">
        <v>3247</v>
      </c>
      <c r="B18" s="3115"/>
      <c r="C18" s="3115"/>
      <c r="D18" s="3151">
        <f>ROUND(D6*E18,0)</f>
        <v>550</v>
      </c>
      <c r="E18" s="3152">
        <v>0.05</v>
      </c>
      <c r="F18" s="3153" t="s">
        <v>3248</v>
      </c>
      <c r="G18" s="3111"/>
      <c r="I18" s="3088"/>
      <c r="J18" s="3588"/>
      <c r="K18" s="3590"/>
      <c r="L18" s="3120" t="s">
        <v>3249</v>
      </c>
      <c r="M18" s="3121"/>
      <c r="N18" s="3121"/>
      <c r="O18" s="3122"/>
      <c r="P18" s="3123">
        <v>365</v>
      </c>
      <c r="Q18" s="3098"/>
      <c r="R18" s="3144">
        <f>ROUND(M18*N18*O18*P18/10000,0)</f>
        <v>0</v>
      </c>
      <c r="S18" s="3080"/>
      <c r="T18" s="3080"/>
      <c r="U18" s="3080"/>
      <c r="V18" s="3088"/>
    </row>
    <row r="19" spans="1:22" s="3087" customFormat="1" ht="13.15" customHeight="1" thickBot="1">
      <c r="A19" s="3154" t="s">
        <v>3250</v>
      </c>
      <c r="B19" s="3109"/>
      <c r="C19" s="3109"/>
      <c r="D19" s="3109"/>
      <c r="E19" s="3109"/>
      <c r="F19" s="3110"/>
      <c r="G19" s="3128"/>
      <c r="I19" s="3088"/>
      <c r="J19" s="3588"/>
      <c r="K19" s="3591"/>
      <c r="L19" s="3140" t="s">
        <v>3228</v>
      </c>
      <c r="M19" s="3141"/>
      <c r="N19" s="3141">
        <f>SUM(N16:N18)</f>
        <v>300</v>
      </c>
      <c r="O19" s="3142"/>
      <c r="P19" s="3155" t="s">
        <v>3251</v>
      </c>
      <c r="Q19" s="3122">
        <v>0.5</v>
      </c>
      <c r="R19" s="3156">
        <f>ROUND(IF(P19="按比例",R14*Q19,SUM(R16:R18)),0)</f>
        <v>5284</v>
      </c>
      <c r="S19" s="3080"/>
      <c r="T19" s="3080"/>
      <c r="U19" s="3080"/>
      <c r="V19" s="3088"/>
    </row>
    <row r="20" spans="1:22" s="3087" customFormat="1" ht="13.15" customHeight="1">
      <c r="A20" s="3114"/>
      <c r="B20" s="3115"/>
      <c r="C20" s="3115"/>
      <c r="D20" s="3115"/>
      <c r="E20" s="3115"/>
      <c r="F20" s="3157"/>
      <c r="G20" s="3128"/>
      <c r="I20" s="3088"/>
      <c r="J20" s="3588">
        <v>3</v>
      </c>
      <c r="K20" s="3589" t="s">
        <v>3252</v>
      </c>
      <c r="L20" s="3120" t="s">
        <v>3253</v>
      </c>
      <c r="M20" s="3121" t="s">
        <v>3254</v>
      </c>
      <c r="N20" s="3158" t="s">
        <v>3255</v>
      </c>
      <c r="O20" s="3122" t="s">
        <v>3256</v>
      </c>
      <c r="P20" s="3123" t="s">
        <v>3257</v>
      </c>
      <c r="Q20" s="3098" t="s">
        <v>3258</v>
      </c>
      <c r="R20" s="3144" t="s">
        <v>3259</v>
      </c>
      <c r="S20" s="3159"/>
      <c r="T20" s="3159"/>
      <c r="U20" s="3159"/>
      <c r="V20" s="3088"/>
    </row>
    <row r="21" spans="1:22" s="3087" customFormat="1" ht="13.15" customHeight="1">
      <c r="A21" s="3114"/>
      <c r="B21" s="3115"/>
      <c r="C21" s="3160" t="s">
        <v>3260</v>
      </c>
      <c r="D21" s="3161" t="s">
        <v>3261</v>
      </c>
      <c r="E21" s="3162" t="s">
        <v>3262</v>
      </c>
      <c r="F21" s="3157"/>
      <c r="G21" s="3128"/>
      <c r="I21" s="3088"/>
      <c r="J21" s="3588"/>
      <c r="K21" s="3590"/>
      <c r="L21" s="3120" t="s">
        <v>3263</v>
      </c>
      <c r="M21" s="3121">
        <v>2</v>
      </c>
      <c r="N21" s="3121">
        <v>3000</v>
      </c>
      <c r="O21" s="3122">
        <v>0.3</v>
      </c>
      <c r="P21" s="3123">
        <v>365</v>
      </c>
      <c r="Q21" s="3098"/>
      <c r="R21" s="3163">
        <f>ROUND(M21*N21*O21*P21/10000,0)</f>
        <v>66</v>
      </c>
      <c r="S21" s="3159"/>
      <c r="T21" s="3159"/>
      <c r="U21" s="3159"/>
      <c r="V21" s="3088"/>
    </row>
    <row r="22" spans="1:22" s="3087" customFormat="1" ht="13.15" customHeight="1">
      <c r="A22" s="3114"/>
      <c r="B22" s="3115"/>
      <c r="C22" s="3164" t="s">
        <v>3264</v>
      </c>
      <c r="D22" s="3165" t="s">
        <v>3265</v>
      </c>
      <c r="E22" s="3166" t="s">
        <v>3266</v>
      </c>
      <c r="F22" s="3157"/>
      <c r="G22" s="3167"/>
      <c r="I22" s="3088"/>
      <c r="J22" s="3588"/>
      <c r="K22" s="3590"/>
      <c r="L22" s="3120" t="s">
        <v>3267</v>
      </c>
      <c r="M22" s="3121">
        <v>5</v>
      </c>
      <c r="N22" s="3121">
        <v>1500</v>
      </c>
      <c r="O22" s="3122">
        <v>0.5</v>
      </c>
      <c r="P22" s="3123">
        <v>365</v>
      </c>
      <c r="Q22" s="3098"/>
      <c r="R22" s="3163">
        <f>ROUND(M22*N22*O22*P22/10000,0)</f>
        <v>137</v>
      </c>
      <c r="S22" s="3159"/>
      <c r="T22" s="3159"/>
      <c r="U22" s="3159"/>
      <c r="V22" s="3088"/>
    </row>
    <row r="23" spans="1:22" s="3087" customFormat="1" ht="13.15" customHeight="1">
      <c r="A23" s="3168">
        <v>1</v>
      </c>
      <c r="B23" s="3113" t="s">
        <v>3268</v>
      </c>
      <c r="C23" s="3169">
        <f>D6</f>
        <v>10998</v>
      </c>
      <c r="D23" s="3170">
        <f>C23*(1+D24)</f>
        <v>10998</v>
      </c>
      <c r="E23" s="3171">
        <f>D23*(1+E24)</f>
        <v>10998</v>
      </c>
      <c r="F23" s="3172"/>
      <c r="G23" s="3173"/>
      <c r="I23" s="3088"/>
      <c r="J23" s="3588"/>
      <c r="K23" s="3590"/>
      <c r="L23" s="3120" t="s">
        <v>3269</v>
      </c>
      <c r="M23" s="3121">
        <v>8</v>
      </c>
      <c r="N23" s="3121">
        <v>1000</v>
      </c>
      <c r="O23" s="3122">
        <v>0.6</v>
      </c>
      <c r="P23" s="3123">
        <v>365</v>
      </c>
      <c r="Q23" s="3098"/>
      <c r="R23" s="3163">
        <f>ROUND(M23*N23*O23*P23/10000,0)</f>
        <v>175</v>
      </c>
      <c r="S23" s="3080"/>
      <c r="T23" s="3080"/>
      <c r="U23" s="3080"/>
      <c r="V23" s="3088"/>
    </row>
    <row r="24" spans="1:22" s="3087" customFormat="1" ht="13.15" customHeight="1">
      <c r="A24" s="3174"/>
      <c r="B24" s="3175" t="s">
        <v>3270</v>
      </c>
      <c r="C24" s="3176"/>
      <c r="D24" s="3177"/>
      <c r="E24" s="3178"/>
      <c r="F24" s="3179"/>
      <c r="G24" s="3173"/>
      <c r="I24" s="3088"/>
      <c r="J24" s="3588"/>
      <c r="K24" s="3591"/>
      <c r="L24" s="3140" t="s">
        <v>3271</v>
      </c>
      <c r="M24" s="3141">
        <f>SUM(M21:M23)</f>
        <v>15</v>
      </c>
      <c r="N24" s="3141"/>
      <c r="O24" s="3142"/>
      <c r="P24" s="3155" t="s">
        <v>3251</v>
      </c>
      <c r="Q24" s="3122">
        <v>0.1</v>
      </c>
      <c r="R24" s="3156">
        <f>ROUND(IF(P24="按比例",R14*Q24,SUM(R21:R23)),0)</f>
        <v>1057</v>
      </c>
      <c r="S24" s="3080"/>
      <c r="T24" s="3080"/>
      <c r="U24" s="3080"/>
      <c r="V24" s="3088"/>
    </row>
    <row r="25" spans="1:22" s="3186" customFormat="1" ht="13.15" customHeight="1">
      <c r="A25" s="3174"/>
      <c r="B25" s="3175"/>
      <c r="C25" s="3176"/>
      <c r="D25" s="3177"/>
      <c r="E25" s="3178"/>
      <c r="F25" s="3179"/>
      <c r="G25" s="3167"/>
      <c r="H25" s="3087"/>
      <c r="I25" s="3088"/>
      <c r="J25" s="3180">
        <v>4</v>
      </c>
      <c r="K25" s="3181" t="s">
        <v>3272</v>
      </c>
      <c r="L25" s="3182"/>
      <c r="M25" s="3182"/>
      <c r="N25" s="3182"/>
      <c r="O25" s="3182"/>
      <c r="P25" s="3183"/>
      <c r="Q25" s="3184">
        <v>0.1</v>
      </c>
      <c r="R25" s="3156">
        <f>ROUND(R14*Q25,0)</f>
        <v>1057</v>
      </c>
      <c r="S25" s="3080"/>
      <c r="T25" s="3080"/>
      <c r="U25" s="3080"/>
      <c r="V25" s="3185"/>
    </row>
    <row r="26" spans="1:22" s="3186" customFormat="1" ht="13.15" customHeight="1">
      <c r="A26" s="3168">
        <v>2</v>
      </c>
      <c r="B26" s="3113" t="s">
        <v>3273</v>
      </c>
      <c r="C26" s="3169">
        <f ca="1">D7</f>
        <v>4644</v>
      </c>
      <c r="D26" s="3170">
        <f>D23*D27</f>
        <v>0</v>
      </c>
      <c r="E26" s="3171">
        <f>E23*E27</f>
        <v>0</v>
      </c>
      <c r="F26" s="3172"/>
      <c r="G26" s="3173"/>
      <c r="H26" s="3087"/>
      <c r="I26" s="3088"/>
      <c r="J26" s="3592">
        <v>5</v>
      </c>
      <c r="K26" s="3187" t="s">
        <v>3274</v>
      </c>
      <c r="L26" s="3188"/>
      <c r="M26" s="3189"/>
      <c r="N26" s="3190" t="s">
        <v>3275</v>
      </c>
      <c r="O26" s="3190" t="s">
        <v>3276</v>
      </c>
      <c r="P26" s="3191" t="s">
        <v>3277</v>
      </c>
      <c r="Q26" s="3191" t="s">
        <v>3278</v>
      </c>
      <c r="R26" s="3096" t="s">
        <v>3259</v>
      </c>
      <c r="S26" s="3192"/>
      <c r="T26" s="3192"/>
      <c r="U26" s="3192"/>
      <c r="V26" s="3185"/>
    </row>
    <row r="27" spans="1:22" s="3087" customFormat="1" ht="13.15" customHeight="1">
      <c r="A27" s="3174"/>
      <c r="B27" s="3175" t="s">
        <v>3279</v>
      </c>
      <c r="C27" s="3193">
        <f ca="1">E7</f>
        <v>0.42220403709765408</v>
      </c>
      <c r="D27" s="3177"/>
      <c r="E27" s="3178"/>
      <c r="F27" s="3179"/>
      <c r="G27" s="3173"/>
      <c r="H27" s="3186"/>
      <c r="I27" s="3185"/>
      <c r="J27" s="3593"/>
      <c r="K27" s="3194"/>
      <c r="L27" s="3195"/>
      <c r="M27" s="3196"/>
      <c r="N27" s="3197"/>
      <c r="O27" s="3197"/>
      <c r="P27" s="3197"/>
      <c r="Q27" s="3198"/>
      <c r="R27" s="3156">
        <f>ROUND(O27*N27*P27*(1-Q27)/10000,0)</f>
        <v>0</v>
      </c>
      <c r="S27" s="3080"/>
      <c r="T27" s="3080"/>
      <c r="U27" s="3080"/>
      <c r="V27" s="3088"/>
    </row>
    <row r="28" spans="1:22" s="3186" customFormat="1" ht="13.15" customHeight="1" thickBot="1">
      <c r="A28" s="3174"/>
      <c r="B28" s="3175"/>
      <c r="C28" s="3193"/>
      <c r="D28" s="3177"/>
      <c r="E28" s="3178" t="s">
        <v>3280</v>
      </c>
      <c r="F28" s="3179"/>
      <c r="G28" s="3167"/>
      <c r="I28" s="3185"/>
      <c r="J28" s="3199">
        <v>6</v>
      </c>
      <c r="K28" s="3200" t="s">
        <v>3281</v>
      </c>
      <c r="L28" s="3201" t="s">
        <v>3282</v>
      </c>
      <c r="M28" s="3202"/>
      <c r="N28" s="3201" t="s">
        <v>3283</v>
      </c>
      <c r="O28" s="3203" t="s">
        <v>3284</v>
      </c>
      <c r="P28" s="3201" t="s">
        <v>3285</v>
      </c>
      <c r="Q28" s="3204">
        <v>1.4999999999999999E-2</v>
      </c>
      <c r="R28" s="3205"/>
      <c r="S28" s="3159"/>
      <c r="T28" s="3159"/>
      <c r="U28" s="3159"/>
      <c r="V28" s="3185"/>
    </row>
    <row r="29" spans="1:22" s="3186" customFormat="1" ht="13.15" customHeight="1">
      <c r="A29" s="3168">
        <v>3</v>
      </c>
      <c r="B29" s="3113" t="s">
        <v>3286</v>
      </c>
      <c r="C29" s="3169">
        <f>C23*C30</f>
        <v>549.9</v>
      </c>
      <c r="D29" s="3170">
        <f>D23*C30</f>
        <v>549.9</v>
      </c>
      <c r="E29" s="3171">
        <f>E23*C30</f>
        <v>549.9</v>
      </c>
      <c r="F29" s="3172"/>
      <c r="G29" s="3173"/>
      <c r="H29" s="3087"/>
      <c r="I29" s="3088"/>
      <c r="J29" s="3159"/>
      <c r="K29" s="3159"/>
      <c r="L29" s="3159"/>
      <c r="M29" s="3159"/>
      <c r="N29" s="3159"/>
      <c r="O29" s="3159"/>
      <c r="P29" s="3159"/>
      <c r="Q29" s="3159"/>
      <c r="R29" s="3159"/>
      <c r="S29" s="3159"/>
      <c r="T29" s="3159"/>
      <c r="U29" s="3159"/>
      <c r="V29" s="3185"/>
    </row>
    <row r="30" spans="1:22" s="3087" customFormat="1" ht="13.15" customHeight="1" thickBot="1">
      <c r="A30" s="3174"/>
      <c r="B30" s="3175" t="s">
        <v>3287</v>
      </c>
      <c r="C30" s="3193">
        <f>E18</f>
        <v>0.05</v>
      </c>
      <c r="D30" s="3206"/>
      <c r="E30" s="3138"/>
      <c r="F30" s="3179"/>
      <c r="G30" s="3173"/>
      <c r="H30" s="3186"/>
      <c r="I30" s="3185"/>
      <c r="J30" s="3159"/>
      <c r="K30" s="3159"/>
      <c r="L30" s="3159"/>
      <c r="M30" s="3159"/>
      <c r="N30" s="3159"/>
      <c r="O30" s="3159"/>
      <c r="P30" s="3159"/>
      <c r="Q30" s="3159"/>
      <c r="R30" s="3159"/>
      <c r="S30" s="3159"/>
      <c r="T30" s="3159"/>
      <c r="U30" s="3080"/>
      <c r="V30" s="3088"/>
    </row>
    <row r="31" spans="1:22" s="3186" customFormat="1" ht="13.15" customHeight="1">
      <c r="A31" s="3174"/>
      <c r="B31" s="3175"/>
      <c r="C31" s="3207"/>
      <c r="D31" s="3206"/>
      <c r="E31" s="3138"/>
      <c r="F31" s="3179"/>
      <c r="G31" s="3167"/>
      <c r="I31" s="3185"/>
      <c r="J31" s="3077" t="s">
        <v>3288</v>
      </c>
      <c r="K31" s="3078"/>
      <c r="L31" s="3078"/>
      <c r="M31" s="3078"/>
      <c r="N31" s="3078"/>
      <c r="O31" s="3078"/>
      <c r="P31" s="3078"/>
      <c r="Q31" s="3078"/>
      <c r="R31" s="3079"/>
      <c r="S31" s="3159"/>
      <c r="T31" s="3080"/>
      <c r="U31" s="3080"/>
      <c r="V31" s="3185"/>
    </row>
    <row r="32" spans="1:22" s="3186" customFormat="1" ht="13.15" customHeight="1">
      <c r="A32" s="3168">
        <v>4</v>
      </c>
      <c r="B32" s="3113" t="s">
        <v>3289</v>
      </c>
      <c r="C32" s="3169">
        <f ca="1">C23-C26-C29</f>
        <v>5804.1</v>
      </c>
      <c r="D32" s="3170">
        <f>D23-D26-D29</f>
        <v>10448.1</v>
      </c>
      <c r="E32" s="3171">
        <f>E23-E26-E29</f>
        <v>10448.1</v>
      </c>
      <c r="F32" s="3172"/>
      <c r="G32" s="3167"/>
      <c r="H32" s="3087"/>
      <c r="I32" s="3088"/>
      <c r="J32" s="3594" t="s">
        <v>3290</v>
      </c>
      <c r="K32" s="3595"/>
      <c r="L32" s="3089" t="s">
        <v>3291</v>
      </c>
      <c r="M32" s="3089" t="s">
        <v>3177</v>
      </c>
      <c r="N32" s="3089" t="s">
        <v>3178</v>
      </c>
      <c r="O32" s="3089" t="s">
        <v>3179</v>
      </c>
      <c r="P32" s="3089" t="s">
        <v>3180</v>
      </c>
      <c r="Q32" s="3090" t="s">
        <v>3292</v>
      </c>
      <c r="R32" s="3127" t="s">
        <v>3293</v>
      </c>
      <c r="S32" s="3159"/>
      <c r="T32" s="3080"/>
      <c r="U32" s="3080"/>
      <c r="V32" s="3185"/>
    </row>
    <row r="33" spans="1:23" s="3087" customFormat="1" ht="13.15" customHeight="1">
      <c r="A33" s="3168"/>
      <c r="B33" s="3113"/>
      <c r="C33" s="3169"/>
      <c r="D33" s="3208"/>
      <c r="E33" s="3209"/>
      <c r="F33" s="3172"/>
      <c r="G33" s="3167"/>
      <c r="H33" s="3186"/>
      <c r="I33" s="3185"/>
      <c r="J33" s="3596" t="s">
        <v>3294</v>
      </c>
      <c r="K33" s="3597"/>
      <c r="L33" s="3094">
        <v>20000</v>
      </c>
      <c r="M33" s="3094">
        <v>500</v>
      </c>
      <c r="N33" s="3094">
        <v>500</v>
      </c>
      <c r="O33" s="3094">
        <v>10000</v>
      </c>
      <c r="P33" s="3094">
        <v>10000</v>
      </c>
      <c r="Q33" s="3095">
        <v>500</v>
      </c>
      <c r="R33" s="3210">
        <f>SUM(L33:Q33)</f>
        <v>41500</v>
      </c>
      <c r="S33" s="3159"/>
      <c r="T33" s="3080"/>
      <c r="U33" s="3080"/>
      <c r="V33" s="3088"/>
    </row>
    <row r="34" spans="1:23" s="3087" customFormat="1" ht="13.15" customHeight="1">
      <c r="A34" s="3168">
        <v>5</v>
      </c>
      <c r="B34" s="3113" t="s">
        <v>3295</v>
      </c>
      <c r="C34" s="3211">
        <f>'数据-取费表'!I6</f>
        <v>5.5E-2</v>
      </c>
      <c r="D34" s="3212"/>
      <c r="E34" s="3213"/>
      <c r="F34" s="3172"/>
      <c r="G34" s="3167"/>
      <c r="H34" s="3186"/>
      <c r="I34" s="3185"/>
      <c r="J34" s="3596" t="s">
        <v>3187</v>
      </c>
      <c r="K34" s="3597"/>
      <c r="L34" s="3099">
        <v>6500</v>
      </c>
      <c r="M34" s="3099">
        <v>150</v>
      </c>
      <c r="N34" s="3099">
        <v>150</v>
      </c>
      <c r="O34" s="3099">
        <v>3500</v>
      </c>
      <c r="P34" s="3099">
        <v>3500</v>
      </c>
      <c r="Q34" s="3100">
        <v>150</v>
      </c>
      <c r="R34" s="3214">
        <f>SUM(L34:Q34)</f>
        <v>13950</v>
      </c>
      <c r="S34" s="3159"/>
      <c r="T34" s="3080"/>
      <c r="U34" s="3080">
        <f>ROUND(R35*10000/365/R33,1)</f>
        <v>7.3</v>
      </c>
      <c r="V34" s="3088"/>
    </row>
    <row r="35" spans="1:23" s="3087" customFormat="1" ht="13.15" customHeight="1">
      <c r="A35" s="3168">
        <v>6</v>
      </c>
      <c r="B35" s="3113" t="s">
        <v>3296</v>
      </c>
      <c r="C35" s="3215">
        <f>'数据-取费表'!V6</f>
        <v>0.03</v>
      </c>
      <c r="D35" s="3216"/>
      <c r="E35" s="3217"/>
      <c r="F35" s="3172"/>
      <c r="G35" s="3218"/>
      <c r="I35" s="3185"/>
      <c r="J35" s="3105" t="s">
        <v>3189</v>
      </c>
      <c r="K35" s="3106"/>
      <c r="L35" s="3106"/>
      <c r="M35" s="3107"/>
      <c r="N35" s="3107"/>
      <c r="O35" s="3107"/>
      <c r="P35" s="3107"/>
      <c r="Q35" s="3107"/>
      <c r="R35" s="3160">
        <f>R40+R41+R43</f>
        <v>11078</v>
      </c>
      <c r="S35" s="3159"/>
      <c r="T35" s="3080" t="s">
        <v>3190</v>
      </c>
      <c r="U35" s="3080"/>
      <c r="V35" s="3088"/>
    </row>
    <row r="36" spans="1:23" s="3087" customFormat="1" ht="13.15" customHeight="1" thickBot="1">
      <c r="A36" s="3168">
        <v>7</v>
      </c>
      <c r="B36" s="3219" t="s">
        <v>3297</v>
      </c>
      <c r="C36" s="3220">
        <f>项目基本情况!E15</f>
        <v>37.58</v>
      </c>
      <c r="D36" s="3221"/>
      <c r="E36" s="3222"/>
      <c r="F36" s="3223">
        <f>C36+D36+E36</f>
        <v>37.58</v>
      </c>
      <c r="G36" s="3167"/>
      <c r="I36" s="3088"/>
      <c r="J36" s="3588">
        <v>1</v>
      </c>
      <c r="K36" s="3589" t="s">
        <v>3298</v>
      </c>
      <c r="L36" s="3112"/>
      <c r="M36" s="3113"/>
      <c r="N36" s="3113"/>
      <c r="O36" s="3113"/>
      <c r="P36" s="3113"/>
      <c r="Q36" s="3113"/>
      <c r="R36" s="3096" t="s">
        <v>3299</v>
      </c>
      <c r="S36" s="3159"/>
      <c r="T36" s="3080" t="s">
        <v>3300</v>
      </c>
      <c r="U36" s="3080"/>
      <c r="V36" s="3088"/>
    </row>
    <row r="37" spans="1:23" s="3087" customFormat="1" ht="13.15" customHeight="1">
      <c r="A37" s="3168"/>
      <c r="B37" s="3113"/>
      <c r="C37" s="3113"/>
      <c r="D37" s="3113"/>
      <c r="E37" s="3113"/>
      <c r="F37" s="3172"/>
      <c r="G37" s="3167"/>
      <c r="I37" s="3088"/>
      <c r="J37" s="3588"/>
      <c r="K37" s="3590"/>
      <c r="L37" s="3120"/>
      <c r="M37" s="3121"/>
      <c r="N37" s="3098"/>
      <c r="O37" s="3122"/>
      <c r="P37" s="3122"/>
      <c r="Q37" s="3123"/>
      <c r="R37" s="3124">
        <v>10000</v>
      </c>
      <c r="S37" s="3159"/>
      <c r="T37" s="3080" t="s">
        <v>3203</v>
      </c>
      <c r="U37" s="3080"/>
      <c r="V37" s="3088"/>
    </row>
    <row r="38" spans="1:23" s="3087" customFormat="1" ht="13.15" customHeight="1">
      <c r="A38" s="3168">
        <v>8</v>
      </c>
      <c r="B38" s="3113"/>
      <c r="C38" s="3126">
        <f ca="1">ROUND(C32*(1-((1+C35)/(1+C34))^C36)/(C34-C35),0)</f>
        <v>137890</v>
      </c>
      <c r="D38" s="3126" t="e">
        <f>ROUND(D32*(1-((1+D35)/(1+D34))^D36)/(D34-D35),0)</f>
        <v>#DIV/0!</v>
      </c>
      <c r="E38" s="3126" t="e">
        <f>ROUND(E32*(1-((1+E35)/(1+E34))^E36)/(E34-E35),0)</f>
        <v>#DIV/0!</v>
      </c>
      <c r="F38" s="3172"/>
      <c r="G38" s="3167"/>
      <c r="I38" s="3088"/>
      <c r="J38" s="3588"/>
      <c r="K38" s="3590"/>
      <c r="L38" s="3120"/>
      <c r="M38" s="3121"/>
      <c r="N38" s="3098"/>
      <c r="O38" s="3122"/>
      <c r="P38" s="3122"/>
      <c r="Q38" s="3123"/>
      <c r="R38" s="3124"/>
      <c r="S38" s="3159"/>
      <c r="T38" s="3080" t="s">
        <v>3301</v>
      </c>
      <c r="U38" s="3080"/>
      <c r="V38" s="3088"/>
    </row>
    <row r="39" spans="1:23" s="3087" customFormat="1" ht="13.15" customHeight="1">
      <c r="A39" s="3168">
        <v>9</v>
      </c>
      <c r="B39" s="3113" t="s">
        <v>3302</v>
      </c>
      <c r="C39" s="3133">
        <f ca="1">C38</f>
        <v>137890</v>
      </c>
      <c r="D39" s="3113">
        <v>0</v>
      </c>
      <c r="E39" s="3113">
        <v>0</v>
      </c>
      <c r="F39" s="3172"/>
      <c r="G39" s="3224"/>
      <c r="I39" s="3088"/>
      <c r="J39" s="3588"/>
      <c r="K39" s="3590"/>
      <c r="L39" s="3120"/>
      <c r="M39" s="3121"/>
      <c r="N39" s="3098"/>
      <c r="O39" s="3122"/>
      <c r="P39" s="3122"/>
      <c r="Q39" s="3123"/>
      <c r="R39" s="3124"/>
      <c r="S39" s="3159"/>
      <c r="T39" s="3080"/>
      <c r="U39" s="3080"/>
      <c r="V39" s="3088"/>
    </row>
    <row r="40" spans="1:23" s="3087" customFormat="1" ht="13.15" customHeight="1">
      <c r="A40" s="3225">
        <v>10</v>
      </c>
      <c r="B40" s="3113" t="s">
        <v>3303</v>
      </c>
      <c r="C40" s="3226">
        <f ca="1">C39+D39+E39</f>
        <v>137890</v>
      </c>
      <c r="D40" s="3227"/>
      <c r="E40" s="3227"/>
      <c r="F40" s="3228"/>
      <c r="G40" s="3167"/>
      <c r="I40" s="3088"/>
      <c r="J40" s="3588"/>
      <c r="K40" s="3591"/>
      <c r="L40" s="3140" t="s">
        <v>3304</v>
      </c>
      <c r="M40" s="3141"/>
      <c r="N40" s="3141"/>
      <c r="O40" s="3142"/>
      <c r="P40" s="3142"/>
      <c r="Q40" s="3143"/>
      <c r="R40" s="3091">
        <f>SUM(R37:R39)</f>
        <v>10000</v>
      </c>
      <c r="S40" s="3159"/>
      <c r="T40" s="3080"/>
      <c r="U40" s="3080"/>
      <c r="V40" s="3088"/>
    </row>
    <row r="41" spans="1:23" s="3087" customFormat="1" ht="13.15" customHeight="1" thickBot="1">
      <c r="A41" s="3229">
        <v>11</v>
      </c>
      <c r="B41" s="3230" t="s">
        <v>3305</v>
      </c>
      <c r="C41" s="3230">
        <f ca="1">ROUND(C40*10000/B4,0)</f>
        <v>9780</v>
      </c>
      <c r="D41" s="3231"/>
      <c r="E41" s="3231"/>
      <c r="F41" s="3232"/>
      <c r="G41" s="3233"/>
      <c r="I41" s="3088"/>
      <c r="J41" s="3180">
        <v>2</v>
      </c>
      <c r="K41" s="3181" t="s">
        <v>3306</v>
      </c>
      <c r="L41" s="3182"/>
      <c r="M41" s="3182"/>
      <c r="N41" s="3182"/>
      <c r="O41" s="3182"/>
      <c r="P41" s="3183"/>
      <c r="Q41" s="3184">
        <v>0.1</v>
      </c>
      <c r="R41" s="3156">
        <f>ROUND(R40*Q41,0)</f>
        <v>1000</v>
      </c>
      <c r="S41" s="3159"/>
      <c r="T41" s="3080"/>
      <c r="U41" s="3192"/>
      <c r="V41" s="3088"/>
    </row>
    <row r="42" spans="1:23" s="3087" customFormat="1" ht="13.15" customHeight="1">
      <c r="G42" s="3233"/>
      <c r="I42" s="3088"/>
      <c r="J42" s="3592">
        <v>3</v>
      </c>
      <c r="K42" s="3187" t="s">
        <v>3274</v>
      </c>
      <c r="L42" s="3188"/>
      <c r="M42" s="3189"/>
      <c r="N42" s="3190" t="s">
        <v>3275</v>
      </c>
      <c r="O42" s="3190" t="s">
        <v>3307</v>
      </c>
      <c r="P42" s="3191" t="s">
        <v>3308</v>
      </c>
      <c r="Q42" s="3191" t="s">
        <v>3309</v>
      </c>
      <c r="R42" s="3096" t="s">
        <v>3299</v>
      </c>
      <c r="S42" s="3192"/>
      <c r="T42" s="3192"/>
      <c r="U42" s="3080"/>
      <c r="V42" s="3088"/>
    </row>
    <row r="43" spans="1:23" ht="13.15" customHeight="1">
      <c r="A43" s="3087"/>
      <c r="B43" s="3087"/>
      <c r="C43" s="3087"/>
      <c r="D43" s="3087"/>
      <c r="E43" s="3087"/>
      <c r="F43" s="3087"/>
      <c r="I43" s="3075"/>
      <c r="J43" s="3593"/>
      <c r="K43" s="3194"/>
      <c r="L43" s="3195"/>
      <c r="M43" s="3196"/>
      <c r="N43" s="3121">
        <f>Q33</f>
        <v>500</v>
      </c>
      <c r="O43" s="3121">
        <v>5</v>
      </c>
      <c r="P43" s="3121">
        <v>365</v>
      </c>
      <c r="Q43" s="3184">
        <v>0.15</v>
      </c>
      <c r="R43" s="3156">
        <f>ROUND(O43*N43*P43*(1-Q43)/10000,0)</f>
        <v>78</v>
      </c>
      <c r="S43" s="3159"/>
      <c r="T43" s="3080"/>
      <c r="V43" s="3235"/>
      <c r="W43" s="3076"/>
    </row>
    <row r="44" spans="1:23" ht="13.15" customHeight="1" thickBot="1">
      <c r="A44" s="3075" t="s">
        <v>3318</v>
      </c>
      <c r="J44" s="3199">
        <v>6</v>
      </c>
      <c r="K44" s="3200" t="s">
        <v>3310</v>
      </c>
      <c r="L44" s="3236" t="s">
        <v>3311</v>
      </c>
      <c r="M44" s="3202"/>
      <c r="N44" s="3236" t="s">
        <v>3312</v>
      </c>
      <c r="O44" s="3202" t="s">
        <v>3313</v>
      </c>
      <c r="P44" s="3236" t="s">
        <v>3314</v>
      </c>
      <c r="Q44" s="3204">
        <v>1.4999999999999999E-2</v>
      </c>
      <c r="R44" s="3205"/>
    </row>
    <row r="45" spans="1:23" ht="13.15" customHeight="1">
      <c r="A45" s="3075" t="s">
        <v>3315</v>
      </c>
      <c r="B45" s="3075">
        <v>2278</v>
      </c>
      <c r="C45" s="3075" t="s">
        <v>3316</v>
      </c>
      <c r="D45" s="3075">
        <f>B45*2</f>
        <v>4556</v>
      </c>
    </row>
    <row r="46" spans="1:23" ht="13.15" customHeight="1">
      <c r="A46" s="3075" t="s">
        <v>3317</v>
      </c>
    </row>
    <row r="47" spans="1:23" ht="13.15" customHeight="1">
      <c r="A47" s="3075" t="s">
        <v>3315</v>
      </c>
      <c r="B47" s="3075">
        <v>3066</v>
      </c>
      <c r="C47" s="3075" t="s">
        <v>3316</v>
      </c>
      <c r="D47" s="3075">
        <f>B47*2</f>
        <v>6132</v>
      </c>
    </row>
    <row r="51" spans="3:3" ht="13.15" customHeight="1">
      <c r="C51" s="3248"/>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election activeCell="O109" sqref="O109"/>
    </sheetView>
  </sheetViews>
  <sheetFormatPr defaultRowHeight="13.5"/>
  <cols>
    <col min="6" max="6" width="8.875" style="3244"/>
  </cols>
  <sheetData>
    <row r="1" spans="1:17">
      <c r="A1" s="3063" t="s">
        <v>3078</v>
      </c>
      <c r="B1" s="3063" t="s">
        <v>3079</v>
      </c>
      <c r="C1" s="3063" t="s">
        <v>3080</v>
      </c>
      <c r="D1" s="3063" t="s">
        <v>3081</v>
      </c>
      <c r="E1" s="3063" t="s">
        <v>3082</v>
      </c>
      <c r="F1" s="3241" t="s">
        <v>3083</v>
      </c>
      <c r="G1" s="3063" t="s">
        <v>3084</v>
      </c>
      <c r="H1" s="3063" t="s">
        <v>3085</v>
      </c>
      <c r="I1" s="3063" t="s">
        <v>3086</v>
      </c>
      <c r="J1" s="3063" t="s">
        <v>3087</v>
      </c>
      <c r="K1" s="3063" t="s">
        <v>3088</v>
      </c>
      <c r="L1" s="3063" t="s">
        <v>3089</v>
      </c>
      <c r="M1" s="3063" t="s">
        <v>3090</v>
      </c>
      <c r="N1" s="3063" t="s">
        <v>3091</v>
      </c>
      <c r="O1" s="3063" t="s">
        <v>3092</v>
      </c>
      <c r="P1" s="3063" t="s">
        <v>3093</v>
      </c>
      <c r="Q1" s="3063" t="s">
        <v>3094</v>
      </c>
    </row>
    <row r="2" spans="1:17">
      <c r="A2" s="3063" t="s">
        <v>3095</v>
      </c>
      <c r="B2" s="3063" t="s">
        <v>3096</v>
      </c>
      <c r="C2" s="3063" t="s">
        <v>3097</v>
      </c>
      <c r="D2" s="3063">
        <v>95360</v>
      </c>
      <c r="E2" s="3063">
        <v>209792</v>
      </c>
      <c r="F2" s="3241" t="s">
        <v>3098</v>
      </c>
      <c r="G2" s="3063" t="s">
        <v>3099</v>
      </c>
      <c r="H2" s="3063" t="s">
        <v>3100</v>
      </c>
      <c r="I2" s="3063">
        <v>0</v>
      </c>
      <c r="J2" s="3063" t="s">
        <v>3101</v>
      </c>
      <c r="K2" s="3063" t="s">
        <v>3101</v>
      </c>
      <c r="L2" s="3063">
        <v>38190</v>
      </c>
      <c r="M2" s="3063">
        <v>38190</v>
      </c>
      <c r="N2" s="3063">
        <v>1820.36</v>
      </c>
      <c r="O2" s="3063">
        <v>0</v>
      </c>
      <c r="P2" s="3063" t="s">
        <v>3102</v>
      </c>
      <c r="Q2" s="3063" t="s">
        <v>3103</v>
      </c>
    </row>
    <row r="3" spans="1:17" s="3067" customFormat="1">
      <c r="A3" s="3066" t="s">
        <v>3104</v>
      </c>
      <c r="B3" s="3066" t="s">
        <v>3096</v>
      </c>
      <c r="C3" s="3066" t="s">
        <v>3097</v>
      </c>
      <c r="D3" s="3066">
        <v>100346.5</v>
      </c>
      <c r="E3" s="3066">
        <v>130450.45</v>
      </c>
      <c r="F3" s="3242" t="s">
        <v>3105</v>
      </c>
      <c r="G3" s="3066" t="s">
        <v>3099</v>
      </c>
      <c r="H3" s="3066" t="s">
        <v>3106</v>
      </c>
      <c r="I3" s="3066">
        <v>0</v>
      </c>
      <c r="J3" s="3066" t="s">
        <v>3107</v>
      </c>
      <c r="K3" s="3066" t="s">
        <v>3107</v>
      </c>
      <c r="L3" s="3066">
        <v>39707</v>
      </c>
      <c r="M3" s="3066">
        <v>39707</v>
      </c>
      <c r="N3" s="3066">
        <v>3043.84</v>
      </c>
      <c r="O3" s="3066">
        <v>0</v>
      </c>
      <c r="P3" s="3066" t="s">
        <v>3108</v>
      </c>
      <c r="Q3" s="3066" t="s">
        <v>3109</v>
      </c>
    </row>
    <row r="4" spans="1:17">
      <c r="A4" s="3063" t="s">
        <v>3110</v>
      </c>
      <c r="B4" s="3063" t="s">
        <v>3096</v>
      </c>
      <c r="C4" s="3063" t="s">
        <v>3097</v>
      </c>
      <c r="D4" s="3063">
        <v>46222.2</v>
      </c>
      <c r="E4" s="3063">
        <v>115555.5</v>
      </c>
      <c r="F4" s="3241" t="s">
        <v>3111</v>
      </c>
      <c r="G4" s="3063" t="s">
        <v>3099</v>
      </c>
      <c r="H4" s="3063" t="s">
        <v>3112</v>
      </c>
      <c r="I4" s="3063">
        <v>0</v>
      </c>
      <c r="J4" s="3063" t="s">
        <v>3113</v>
      </c>
      <c r="K4" s="3063" t="s">
        <v>3113</v>
      </c>
      <c r="L4" s="3063">
        <v>15998</v>
      </c>
      <c r="M4" s="3063">
        <v>15998</v>
      </c>
      <c r="N4" s="3063">
        <v>1384.44</v>
      </c>
      <c r="O4" s="3063">
        <v>0</v>
      </c>
      <c r="P4" s="3063" t="s">
        <v>3114</v>
      </c>
      <c r="Q4" s="3063" t="s">
        <v>3103</v>
      </c>
    </row>
    <row r="5" spans="1:17">
      <c r="A5" s="3063" t="s">
        <v>3110</v>
      </c>
      <c r="B5" s="3063" t="s">
        <v>3096</v>
      </c>
      <c r="C5" s="3063" t="s">
        <v>3097</v>
      </c>
      <c r="D5" s="3063">
        <v>9543.7999999999993</v>
      </c>
      <c r="E5" s="3063">
        <v>23859.5</v>
      </c>
      <c r="F5" s="3241" t="s">
        <v>3111</v>
      </c>
      <c r="G5" s="3063" t="s">
        <v>3099</v>
      </c>
      <c r="H5" s="3063" t="s">
        <v>3112</v>
      </c>
      <c r="I5" s="3063">
        <v>0</v>
      </c>
      <c r="J5" s="3063" t="s">
        <v>3113</v>
      </c>
      <c r="K5" s="3063" t="s">
        <v>3113</v>
      </c>
      <c r="L5" s="3063">
        <v>3303</v>
      </c>
      <c r="M5" s="3063">
        <v>3303</v>
      </c>
      <c r="N5" s="3063">
        <v>1384.34</v>
      </c>
      <c r="O5" s="3063">
        <v>0</v>
      </c>
      <c r="P5" s="3063" t="s">
        <v>3114</v>
      </c>
      <c r="Q5" s="3063" t="s">
        <v>3103</v>
      </c>
    </row>
    <row r="6" spans="1:17" s="3067" customFormat="1">
      <c r="A6" s="3066" t="s">
        <v>3115</v>
      </c>
      <c r="B6" s="3066" t="s">
        <v>3096</v>
      </c>
      <c r="C6" s="3066" t="s">
        <v>3097</v>
      </c>
      <c r="D6" s="3066">
        <v>8114.3</v>
      </c>
      <c r="E6" s="3066">
        <v>6491.44</v>
      </c>
      <c r="F6" s="3242" t="s">
        <v>3116</v>
      </c>
      <c r="G6" s="3066" t="s">
        <v>3099</v>
      </c>
      <c r="H6" s="3066" t="s">
        <v>3112</v>
      </c>
      <c r="I6" s="3066">
        <v>0</v>
      </c>
      <c r="J6" s="3066" t="s">
        <v>3117</v>
      </c>
      <c r="K6" s="3066" t="s">
        <v>3117</v>
      </c>
      <c r="L6" s="3066">
        <v>1838</v>
      </c>
      <c r="M6" s="3066">
        <v>1838</v>
      </c>
      <c r="N6" s="3066">
        <v>2831.42</v>
      </c>
      <c r="O6" s="3066">
        <v>0</v>
      </c>
      <c r="P6" s="3066" t="s">
        <v>3118</v>
      </c>
      <c r="Q6" s="3066" t="s">
        <v>3109</v>
      </c>
    </row>
    <row r="7" spans="1:17" s="3067" customFormat="1">
      <c r="A7" s="3066" t="s">
        <v>3119</v>
      </c>
      <c r="B7" s="3066" t="s">
        <v>3096</v>
      </c>
      <c r="C7" s="3066" t="s">
        <v>3097</v>
      </c>
      <c r="D7" s="3066">
        <v>15108.1</v>
      </c>
      <c r="E7" s="3066">
        <v>12086.48</v>
      </c>
      <c r="F7" s="3242" t="s">
        <v>3116</v>
      </c>
      <c r="G7" s="3066" t="s">
        <v>3099</v>
      </c>
      <c r="H7" s="3066" t="s">
        <v>3112</v>
      </c>
      <c r="I7" s="3066">
        <v>0</v>
      </c>
      <c r="J7" s="3066" t="s">
        <v>3117</v>
      </c>
      <c r="K7" s="3066" t="s">
        <v>3117</v>
      </c>
      <c r="L7" s="3066">
        <v>3408</v>
      </c>
      <c r="M7" s="3066">
        <v>3408</v>
      </c>
      <c r="N7" s="3066">
        <v>2819.67</v>
      </c>
      <c r="O7" s="3066">
        <v>0</v>
      </c>
      <c r="P7" s="3066" t="s">
        <v>3120</v>
      </c>
      <c r="Q7" s="3066" t="s">
        <v>3109</v>
      </c>
    </row>
    <row r="8" spans="1:17" s="3065" customFormat="1">
      <c r="A8" s="3064" t="s">
        <v>3121</v>
      </c>
      <c r="B8" s="3064" t="s">
        <v>3096</v>
      </c>
      <c r="C8" s="3064" t="s">
        <v>3097</v>
      </c>
      <c r="D8" s="3064">
        <v>47741.4</v>
      </c>
      <c r="E8" s="3064">
        <v>109805.2</v>
      </c>
      <c r="F8" s="3243" t="s">
        <v>3122</v>
      </c>
      <c r="G8" s="3064" t="s">
        <v>3099</v>
      </c>
      <c r="H8" s="3064" t="s">
        <v>3123</v>
      </c>
      <c r="I8" s="3064">
        <v>0</v>
      </c>
      <c r="J8" s="3064" t="s">
        <v>3124</v>
      </c>
      <c r="K8" s="3064" t="s">
        <v>3124</v>
      </c>
      <c r="L8" s="3064">
        <v>22925</v>
      </c>
      <c r="M8" s="3064">
        <v>22925</v>
      </c>
      <c r="N8" s="3064">
        <v>2087.7800000000002</v>
      </c>
      <c r="O8" s="3064">
        <v>0</v>
      </c>
      <c r="P8" s="3064" t="s">
        <v>3125</v>
      </c>
      <c r="Q8" s="3064" t="s">
        <v>3103</v>
      </c>
    </row>
    <row r="9" spans="1:17">
      <c r="A9" s="3063" t="s">
        <v>3126</v>
      </c>
      <c r="B9" s="3063" t="s">
        <v>3096</v>
      </c>
      <c r="C9" s="3063" t="s">
        <v>3097</v>
      </c>
      <c r="D9" s="3063">
        <v>1784.7</v>
      </c>
      <c r="E9" s="3063">
        <v>892.35</v>
      </c>
      <c r="F9" s="3241" t="s">
        <v>3127</v>
      </c>
      <c r="G9" s="3063" t="s">
        <v>3099</v>
      </c>
      <c r="H9" s="3063" t="s">
        <v>3128</v>
      </c>
      <c r="I9" s="3063">
        <v>0</v>
      </c>
      <c r="J9" s="3063" t="s">
        <v>3129</v>
      </c>
      <c r="K9" s="3063" t="s">
        <v>3129</v>
      </c>
      <c r="L9" s="3063">
        <v>700</v>
      </c>
      <c r="M9" s="3063">
        <v>700</v>
      </c>
      <c r="N9" s="3063">
        <v>7844.46</v>
      </c>
      <c r="O9" s="3063">
        <v>0</v>
      </c>
      <c r="P9" s="3063" t="s">
        <v>3130</v>
      </c>
      <c r="Q9" s="3063" t="s">
        <v>3103</v>
      </c>
    </row>
    <row r="10" spans="1:17">
      <c r="A10" s="3063" t="s">
        <v>3131</v>
      </c>
      <c r="B10" s="3063" t="s">
        <v>3096</v>
      </c>
      <c r="C10" s="3063" t="s">
        <v>3097</v>
      </c>
      <c r="D10" s="3063">
        <v>28398.400000000001</v>
      </c>
      <c r="E10" s="3063">
        <v>22718.720000000001</v>
      </c>
      <c r="F10" s="3241" t="s">
        <v>3132</v>
      </c>
      <c r="G10" s="3063" t="s">
        <v>3099</v>
      </c>
      <c r="H10" s="3063" t="s">
        <v>1343</v>
      </c>
      <c r="I10" s="3063">
        <v>0</v>
      </c>
      <c r="J10" s="3063" t="s">
        <v>3133</v>
      </c>
      <c r="K10" s="3063" t="s">
        <v>3133</v>
      </c>
      <c r="L10" s="3063">
        <v>8850</v>
      </c>
      <c r="M10" s="3063">
        <v>8850</v>
      </c>
      <c r="N10" s="3063">
        <v>3895.46</v>
      </c>
      <c r="O10" s="3063">
        <v>0</v>
      </c>
      <c r="P10" s="3063" t="s">
        <v>3134</v>
      </c>
      <c r="Q10" s="3063" t="s">
        <v>3135</v>
      </c>
    </row>
    <row r="11" spans="1:17">
      <c r="A11" s="3063" t="s">
        <v>3136</v>
      </c>
      <c r="B11" s="3063" t="s">
        <v>3096</v>
      </c>
      <c r="C11" s="3063" t="s">
        <v>3097</v>
      </c>
      <c r="D11" s="3063">
        <v>30344.5</v>
      </c>
      <c r="E11" s="3063">
        <v>24275.599999999999</v>
      </c>
      <c r="F11" s="3241" t="s">
        <v>3132</v>
      </c>
      <c r="G11" s="3063" t="s">
        <v>3099</v>
      </c>
      <c r="H11" s="3063" t="s">
        <v>1343</v>
      </c>
      <c r="I11" s="3063">
        <v>0</v>
      </c>
      <c r="J11" s="3063" t="s">
        <v>3133</v>
      </c>
      <c r="K11" s="3063" t="s">
        <v>3133</v>
      </c>
      <c r="L11" s="3063">
        <v>9460</v>
      </c>
      <c r="M11" s="3063">
        <v>9460</v>
      </c>
      <c r="N11" s="3063">
        <v>3896.92</v>
      </c>
      <c r="O11" s="3063">
        <v>0</v>
      </c>
      <c r="P11" s="3063" t="s">
        <v>3134</v>
      </c>
      <c r="Q11" s="3063" t="s">
        <v>3135</v>
      </c>
    </row>
    <row r="12" spans="1:17">
      <c r="A12" s="3063" t="s">
        <v>3137</v>
      </c>
      <c r="B12" s="3063" t="s">
        <v>3096</v>
      </c>
      <c r="C12" s="3063" t="s">
        <v>3097</v>
      </c>
      <c r="D12" s="3063">
        <v>17452.599999999999</v>
      </c>
      <c r="E12" s="3063">
        <v>34905.199999999997</v>
      </c>
      <c r="F12" s="3241" t="s">
        <v>3138</v>
      </c>
      <c r="G12" s="3063" t="s">
        <v>3099</v>
      </c>
      <c r="H12" s="3063" t="s">
        <v>1343</v>
      </c>
      <c r="I12" s="3063">
        <v>0</v>
      </c>
      <c r="J12" s="3063" t="s">
        <v>3133</v>
      </c>
      <c r="K12" s="3063" t="s">
        <v>3133</v>
      </c>
      <c r="L12" s="3063">
        <v>9070</v>
      </c>
      <c r="M12" s="3063">
        <v>9070</v>
      </c>
      <c r="N12" s="3063">
        <v>2598.46</v>
      </c>
      <c r="O12" s="3063">
        <v>0</v>
      </c>
      <c r="P12" s="3063" t="s">
        <v>3120</v>
      </c>
      <c r="Q12" s="3063" t="s">
        <v>3109</v>
      </c>
    </row>
    <row r="13" spans="1:17">
      <c r="A13" s="3063" t="s">
        <v>3139</v>
      </c>
      <c r="B13" s="3063" t="s">
        <v>3096</v>
      </c>
      <c r="C13" s="3063" t="s">
        <v>3097</v>
      </c>
      <c r="D13" s="3063">
        <v>9594.6</v>
      </c>
      <c r="E13" s="3063">
        <v>7675.68</v>
      </c>
      <c r="F13" s="3241" t="s">
        <v>3132</v>
      </c>
      <c r="G13" s="3063" t="s">
        <v>3099</v>
      </c>
      <c r="H13" s="3063" t="s">
        <v>1343</v>
      </c>
      <c r="I13" s="3063">
        <v>0</v>
      </c>
      <c r="J13" s="3063" t="s">
        <v>3133</v>
      </c>
      <c r="K13" s="3063" t="s">
        <v>3133</v>
      </c>
      <c r="L13" s="3063">
        <v>2990</v>
      </c>
      <c r="M13" s="3063">
        <v>2990</v>
      </c>
      <c r="N13" s="3063">
        <v>3895.42</v>
      </c>
      <c r="O13" s="3063">
        <v>0</v>
      </c>
      <c r="P13" s="3063" t="s">
        <v>3134</v>
      </c>
      <c r="Q13" s="3063" t="s">
        <v>3135</v>
      </c>
    </row>
    <row r="14" spans="1:17">
      <c r="A14" s="3063" t="s">
        <v>3140</v>
      </c>
      <c r="B14" s="3063" t="s">
        <v>3096</v>
      </c>
      <c r="C14" s="3063" t="s">
        <v>3097</v>
      </c>
      <c r="D14" s="3063">
        <v>114503.3</v>
      </c>
      <c r="E14" s="3063">
        <v>171754.95</v>
      </c>
      <c r="F14" s="3241" t="s">
        <v>3141</v>
      </c>
      <c r="G14" s="3063" t="s">
        <v>3099</v>
      </c>
      <c r="H14" s="3063" t="s">
        <v>1343</v>
      </c>
      <c r="I14" s="3063">
        <v>0</v>
      </c>
      <c r="J14" s="3063" t="s">
        <v>3142</v>
      </c>
      <c r="K14" s="3063" t="s">
        <v>3142</v>
      </c>
      <c r="L14" s="3063">
        <v>27300</v>
      </c>
      <c r="M14" s="3063">
        <v>27300</v>
      </c>
      <c r="N14" s="3063">
        <v>1589.47</v>
      </c>
      <c r="O14" s="3063">
        <v>0</v>
      </c>
      <c r="P14" s="3063" t="s">
        <v>3143</v>
      </c>
      <c r="Q14" s="3063" t="s">
        <v>3135</v>
      </c>
    </row>
    <row r="15" spans="1:17">
      <c r="A15" s="3063" t="s">
        <v>3144</v>
      </c>
      <c r="B15" s="3063" t="s">
        <v>3096</v>
      </c>
      <c r="C15" s="3063" t="s">
        <v>3097</v>
      </c>
      <c r="D15" s="3063">
        <v>164991.9</v>
      </c>
      <c r="E15" s="3063">
        <v>230988.66</v>
      </c>
      <c r="F15" s="3241" t="s">
        <v>3145</v>
      </c>
      <c r="G15" s="3063" t="s">
        <v>3099</v>
      </c>
      <c r="H15" s="3063" t="s">
        <v>1343</v>
      </c>
      <c r="I15" s="3063">
        <v>0</v>
      </c>
      <c r="J15" s="3063" t="s">
        <v>3142</v>
      </c>
      <c r="K15" s="3063" t="s">
        <v>3142</v>
      </c>
      <c r="L15" s="3063">
        <v>27700</v>
      </c>
      <c r="M15" s="3063">
        <v>27700</v>
      </c>
      <c r="N15" s="3063">
        <v>1199.19</v>
      </c>
      <c r="O15" s="3063">
        <v>0</v>
      </c>
      <c r="P15" s="3063" t="s">
        <v>3143</v>
      </c>
      <c r="Q15" s="3063" t="s">
        <v>3135</v>
      </c>
    </row>
    <row r="16" spans="1:17">
      <c r="A16" s="3063" t="s">
        <v>3146</v>
      </c>
      <c r="B16" s="3063" t="s">
        <v>3096</v>
      </c>
      <c r="C16" s="3063" t="s">
        <v>3097</v>
      </c>
      <c r="D16" s="3063">
        <v>9263</v>
      </c>
      <c r="E16" s="3063">
        <v>11115.6</v>
      </c>
      <c r="F16" s="3241" t="s">
        <v>3147</v>
      </c>
      <c r="G16" s="3063" t="s">
        <v>3099</v>
      </c>
      <c r="H16" s="3063" t="s">
        <v>1343</v>
      </c>
      <c r="I16" s="3063">
        <v>0</v>
      </c>
      <c r="J16" s="3063" t="s">
        <v>3148</v>
      </c>
      <c r="K16" s="3063" t="s">
        <v>3148</v>
      </c>
      <c r="L16" s="3063">
        <v>2080</v>
      </c>
      <c r="M16" s="3063">
        <v>2080</v>
      </c>
      <c r="N16" s="3063">
        <v>1871.24</v>
      </c>
      <c r="O16" s="3063">
        <v>0</v>
      </c>
      <c r="P16" s="3063" t="s">
        <v>3149</v>
      </c>
      <c r="Q16" s="3063" t="s">
        <v>3109</v>
      </c>
    </row>
    <row r="43" spans="1:1">
      <c r="A43" s="3237" t="s">
        <v>3333</v>
      </c>
    </row>
    <row r="44" spans="1:1">
      <c r="A44" s="3237" t="s">
        <v>3334</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
  <sheetViews>
    <sheetView topLeftCell="B1" workbookViewId="0">
      <selection activeCell="J14" sqref="J14:M17"/>
    </sheetView>
  </sheetViews>
  <sheetFormatPr defaultRowHeight="13.5"/>
  <sheetData>
    <row r="1" spans="1:13">
      <c r="A1" s="3237" t="s">
        <v>3321</v>
      </c>
    </row>
    <row r="14" spans="1:13">
      <c r="J14" s="3611" t="s">
        <v>3345</v>
      </c>
      <c r="K14" s="3611" t="s">
        <v>3346</v>
      </c>
      <c r="L14" s="3611" t="s">
        <v>3347</v>
      </c>
      <c r="M14" s="3611" t="s">
        <v>3348</v>
      </c>
    </row>
    <row r="15" spans="1:13">
      <c r="J15" s="3611" t="s">
        <v>3349</v>
      </c>
      <c r="K15" s="3611">
        <v>5565</v>
      </c>
      <c r="L15" s="3611">
        <v>5844</v>
      </c>
      <c r="M15" s="3611">
        <v>6135</v>
      </c>
    </row>
    <row r="16" spans="1:13">
      <c r="J16" s="3611" t="s">
        <v>3350</v>
      </c>
      <c r="K16" s="3611">
        <v>5433</v>
      </c>
      <c r="L16" s="3611">
        <v>5705</v>
      </c>
      <c r="M16" s="3611">
        <v>5990</v>
      </c>
    </row>
    <row r="17" spans="10:15">
      <c r="J17" s="3611" t="s">
        <v>3351</v>
      </c>
      <c r="K17" s="3246">
        <v>10998</v>
      </c>
      <c r="L17" s="3246">
        <v>11549</v>
      </c>
      <c r="M17" s="3246">
        <v>12125</v>
      </c>
    </row>
    <row r="18" spans="10:15">
      <c r="K18">
        <f>L17/K17</f>
        <v>1.0501000181851246</v>
      </c>
      <c r="L18">
        <f>M17/L17</f>
        <v>1.0498744480041562</v>
      </c>
    </row>
    <row r="23" spans="10:15">
      <c r="L23" s="3237" t="s">
        <v>3335</v>
      </c>
      <c r="M23">
        <v>1211.6818000000001</v>
      </c>
    </row>
    <row r="24" spans="10:15">
      <c r="L24" s="3237"/>
      <c r="O24">
        <f>M26/M23</f>
        <v>0.31097273228004252</v>
      </c>
    </row>
    <row r="25" spans="10:15">
      <c r="L25" s="3237" t="s">
        <v>3338</v>
      </c>
      <c r="M25">
        <v>958</v>
      </c>
    </row>
    <row r="26" spans="10:15">
      <c r="L26" s="3237" t="s">
        <v>3336</v>
      </c>
      <c r="M26">
        <v>376.8</v>
      </c>
    </row>
    <row r="27" spans="10:15">
      <c r="L27" s="3237" t="s">
        <v>3337</v>
      </c>
      <c r="M27">
        <v>1717</v>
      </c>
    </row>
    <row r="73" spans="15:19">
      <c r="O73" s="3237" t="s">
        <v>3322</v>
      </c>
      <c r="P73" s="3238" t="s">
        <v>3323</v>
      </c>
      <c r="Q73" s="3238" t="s">
        <v>3325</v>
      </c>
      <c r="R73" s="3238" t="s">
        <v>3324</v>
      </c>
      <c r="S73" s="3238" t="s">
        <v>3327</v>
      </c>
    </row>
    <row r="74" spans="15:19">
      <c r="P74" s="3239">
        <v>1</v>
      </c>
      <c r="Q74" s="3239">
        <f>面积明细!R4</f>
        <v>23647.24</v>
      </c>
      <c r="R74" s="3239">
        <v>4</v>
      </c>
      <c r="S74" s="3239">
        <v>1</v>
      </c>
    </row>
    <row r="75" spans="15:19">
      <c r="P75" s="3239">
        <v>2</v>
      </c>
      <c r="Q75" s="3239">
        <f>面积明细!R5</f>
        <v>24480.79</v>
      </c>
      <c r="R75" s="3239">
        <f>ROUND($R$74*S75,1)</f>
        <v>2.8</v>
      </c>
      <c r="S75" s="3239">
        <v>0.7</v>
      </c>
    </row>
    <row r="76" spans="15:19">
      <c r="P76" s="3239">
        <v>3</v>
      </c>
      <c r="Q76" s="3239">
        <f>面积明细!R6</f>
        <v>24173.07</v>
      </c>
      <c r="R76" s="3239">
        <f t="shared" ref="R76:R79" si="0">ROUND($R$74*S76,1)</f>
        <v>2.4</v>
      </c>
      <c r="S76" s="3239">
        <v>0.6</v>
      </c>
    </row>
    <row r="77" spans="15:19">
      <c r="P77" s="3239">
        <v>4</v>
      </c>
      <c r="Q77" s="3239">
        <f>面积明细!R7</f>
        <v>23579.65</v>
      </c>
      <c r="R77" s="3239">
        <f t="shared" si="0"/>
        <v>2</v>
      </c>
      <c r="S77" s="3239">
        <v>0.5</v>
      </c>
    </row>
    <row r="78" spans="15:19">
      <c r="P78" s="3238">
        <v>5</v>
      </c>
      <c r="Q78" s="3239">
        <f>面积明细!R8</f>
        <v>4466.37</v>
      </c>
      <c r="R78" s="3239">
        <f t="shared" si="0"/>
        <v>2</v>
      </c>
      <c r="S78" s="3239">
        <v>0.5</v>
      </c>
    </row>
    <row r="79" spans="15:19">
      <c r="P79" s="3238" t="s">
        <v>3326</v>
      </c>
      <c r="Q79" s="3239">
        <f>面积明细!R3</f>
        <v>40645.590000000004</v>
      </c>
      <c r="R79" s="3239">
        <f t="shared" si="0"/>
        <v>2.6</v>
      </c>
      <c r="S79" s="3239">
        <v>0.65</v>
      </c>
    </row>
    <row r="80" spans="15:19">
      <c r="P80" s="3238" t="s">
        <v>3328</v>
      </c>
      <c r="Q80" s="3239">
        <f>SUM(Q74:Q79)</f>
        <v>140992.71</v>
      </c>
      <c r="R80" s="3239">
        <f>ROUND((R74*Q74+R75*Q75+R76*Q76+R77*Q77+R78*Q78+R79*Q79)/Q80,1)</f>
        <v>2.7</v>
      </c>
      <c r="S80" s="3239"/>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V9"/>
  <sheetViews>
    <sheetView topLeftCell="F1" workbookViewId="0">
      <selection activeCell="V10" sqref="V10"/>
    </sheetView>
  </sheetViews>
  <sheetFormatPr defaultRowHeight="13.5"/>
  <cols>
    <col min="16" max="16" width="12.75" customWidth="1"/>
    <col min="17" max="17" width="12.5" customWidth="1"/>
  </cols>
  <sheetData>
    <row r="2" spans="14:22">
      <c r="N2" s="3237" t="s">
        <v>3339</v>
      </c>
      <c r="O2" s="3238" t="s">
        <v>3330</v>
      </c>
      <c r="P2" s="3238" t="s">
        <v>3340</v>
      </c>
      <c r="Q2" s="3238" t="s">
        <v>3341</v>
      </c>
      <c r="R2" s="3238" t="s">
        <v>3331</v>
      </c>
    </row>
    <row r="3" spans="14:22">
      <c r="N3">
        <v>1</v>
      </c>
      <c r="O3" s="3238" t="s">
        <v>3329</v>
      </c>
      <c r="P3" s="3239">
        <f>222.72+21067.83</f>
        <v>21290.550000000003</v>
      </c>
      <c r="Q3" s="3239">
        <f>274.47+19080.57</f>
        <v>19355.04</v>
      </c>
      <c r="R3" s="3239">
        <f>P3+Q3</f>
        <v>40645.590000000004</v>
      </c>
      <c r="T3" s="3246">
        <v>4000</v>
      </c>
      <c r="V3">
        <f>T3*R3/10000</f>
        <v>16258.236000000003</v>
      </c>
    </row>
    <row r="4" spans="14:22">
      <c r="N4">
        <v>2</v>
      </c>
      <c r="O4" s="3239">
        <v>1</v>
      </c>
      <c r="P4" s="3239">
        <v>13629.87</v>
      </c>
      <c r="Q4" s="3239">
        <v>10017.370000000001</v>
      </c>
      <c r="R4" s="3239">
        <f t="shared" ref="R4:R8" si="0">P4+Q4</f>
        <v>23647.24</v>
      </c>
      <c r="T4" s="3245">
        <v>20000</v>
      </c>
      <c r="V4">
        <f>T4*R4/10000</f>
        <v>47294.48</v>
      </c>
    </row>
    <row r="5" spans="14:22">
      <c r="N5">
        <v>3</v>
      </c>
      <c r="O5" s="3239">
        <v>2</v>
      </c>
      <c r="P5" s="3239">
        <v>14070.38</v>
      </c>
      <c r="Q5" s="3239">
        <v>10410.41</v>
      </c>
      <c r="R5" s="3239">
        <f t="shared" si="0"/>
        <v>24480.79</v>
      </c>
      <c r="T5" s="3246">
        <f>T4*U5</f>
        <v>14000</v>
      </c>
      <c r="U5">
        <v>0.7</v>
      </c>
      <c r="V5">
        <f>T5*R5/10000</f>
        <v>34273.106</v>
      </c>
    </row>
    <row r="6" spans="14:22">
      <c r="N6">
        <v>4</v>
      </c>
      <c r="O6" s="3239">
        <v>3</v>
      </c>
      <c r="P6" s="3239">
        <v>13949.27</v>
      </c>
      <c r="Q6" s="3239">
        <v>10223.799999999999</v>
      </c>
      <c r="R6" s="3239">
        <f t="shared" si="0"/>
        <v>24173.07</v>
      </c>
      <c r="T6" s="3246">
        <f>T4*U6</f>
        <v>8000</v>
      </c>
      <c r="U6">
        <v>0.4</v>
      </c>
      <c r="V6">
        <f>T6*R6/10000</f>
        <v>19338.455999999998</v>
      </c>
    </row>
    <row r="7" spans="14:22">
      <c r="N7">
        <v>5</v>
      </c>
      <c r="O7" s="3239">
        <v>4</v>
      </c>
      <c r="P7" s="3239">
        <v>13303.04</v>
      </c>
      <c r="Q7" s="3239">
        <v>10276.61</v>
      </c>
      <c r="R7" s="3239">
        <f t="shared" si="0"/>
        <v>23579.65</v>
      </c>
      <c r="T7" s="3246">
        <f>T6</f>
        <v>8000</v>
      </c>
      <c r="V7">
        <f>T7*R7/10000</f>
        <v>18863.72</v>
      </c>
    </row>
    <row r="8" spans="14:22">
      <c r="N8">
        <v>6</v>
      </c>
      <c r="O8" s="3239">
        <v>5</v>
      </c>
      <c r="P8" s="3239">
        <f>1766.07+405.51</f>
        <v>2171.58</v>
      </c>
      <c r="Q8" s="3239">
        <f>1984.96+309.83</f>
        <v>2294.79</v>
      </c>
      <c r="R8" s="3239">
        <f t="shared" si="0"/>
        <v>4466.37</v>
      </c>
      <c r="T8" s="3246">
        <f>T7</f>
        <v>8000</v>
      </c>
      <c r="V8">
        <f>T8*R8/10000</f>
        <v>3573.096</v>
      </c>
    </row>
    <row r="9" spans="14:22">
      <c r="N9">
        <v>7</v>
      </c>
      <c r="O9" s="3238" t="s">
        <v>3331</v>
      </c>
      <c r="P9" s="3239">
        <f>SUM(P3:P8)</f>
        <v>78414.690000000017</v>
      </c>
      <c r="Q9" s="3239">
        <f>SUM(Q3:Q8)</f>
        <v>62578.020000000011</v>
      </c>
      <c r="R9" s="3239">
        <f>P9+Q9</f>
        <v>140992.71000000002</v>
      </c>
      <c r="T9" s="3246"/>
      <c r="V9">
        <f>SUM(V3:V8)</f>
        <v>139601.09400000001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1606</v>
      </c>
      <c r="B2" s="3270" t="s">
        <v>1607</v>
      </c>
      <c r="C2" s="3270" t="s">
        <v>1608</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64"/>
      <c r="B3" s="3264"/>
      <c r="C3" s="3264"/>
      <c r="D3" s="963" t="s">
        <v>1603</v>
      </c>
      <c r="E3" s="963" t="s">
        <v>1609</v>
      </c>
      <c r="F3" s="963" t="s">
        <v>1603</v>
      </c>
      <c r="G3" s="963" t="s">
        <v>1604</v>
      </c>
      <c r="H3" s="963" t="s">
        <v>1603</v>
      </c>
      <c r="I3" s="963" t="s">
        <v>1604</v>
      </c>
    </row>
    <row r="4" spans="1:9" ht="15">
      <c r="A4" s="1690" t="str">
        <f>项目基本情况!S2</f>
        <v>房地产</v>
      </c>
      <c r="B4" s="963">
        <f>项目基本情况!C17</f>
        <v>140992.71000000002</v>
      </c>
      <c r="C4" s="963">
        <f>项目基本情况!C18</f>
        <v>47741.4</v>
      </c>
      <c r="D4" s="963">
        <f ca="1">结果表!D118</f>
        <v>42297</v>
      </c>
      <c r="E4" s="963">
        <f ca="1">结果表!E118</f>
        <v>3000</v>
      </c>
      <c r="F4" s="963">
        <f ca="1">结果表!F118</f>
        <v>88248</v>
      </c>
      <c r="G4" s="963">
        <f ca="1">结果表!G118</f>
        <v>6259</v>
      </c>
      <c r="H4" s="963">
        <f ca="1">结果表!H118</f>
        <v>130545</v>
      </c>
      <c r="I4" s="963">
        <f ca="1">结果表!I118</f>
        <v>9259</v>
      </c>
    </row>
    <row r="5" spans="1:9" ht="30" customHeight="1">
      <c r="A5" s="3264" t="s">
        <v>1605</v>
      </c>
      <c r="B5" s="3264"/>
      <c r="C5" s="3264"/>
      <c r="D5" s="3265" t="str">
        <f ca="1">结果表!D119</f>
        <v>肆亿贰仟贰佰玖拾柒万元整</v>
      </c>
      <c r="E5" s="3265"/>
      <c r="F5" s="3265" t="str">
        <f ca="1">结果表!F119</f>
        <v>捌亿捌仟贰佰肆拾捌万元整</v>
      </c>
      <c r="G5" s="3265"/>
      <c r="H5" s="3265" t="str">
        <f ca="1">结果表!H119</f>
        <v>壹拾叁亿零伍佰肆拾伍万元整</v>
      </c>
      <c r="I5" s="3265"/>
    </row>
    <row r="6" spans="1:9" ht="15.75">
      <c r="A6" s="3263" t="str">
        <f>结果表!A120</f>
        <v>估价师知悉的法定优先受偿款</v>
      </c>
      <c r="B6" s="3263"/>
      <c r="C6" s="3263"/>
      <c r="D6" s="3263">
        <f>结果表!D120</f>
        <v>0</v>
      </c>
      <c r="E6" s="3263"/>
      <c r="F6" s="3263"/>
      <c r="G6" s="3263"/>
      <c r="H6" s="3263"/>
      <c r="I6" s="3263"/>
    </row>
    <row r="7" spans="1:9" ht="15">
      <c r="A7" s="3264" t="s">
        <v>1605</v>
      </c>
      <c r="B7" s="3264"/>
      <c r="C7" s="3264"/>
      <c r="D7" s="3266" t="str">
        <f>结果表!D121</f>
        <v>零元整</v>
      </c>
      <c r="E7" s="3267"/>
      <c r="F7" s="3267"/>
      <c r="G7" s="3267"/>
      <c r="H7" s="3267"/>
      <c r="I7" s="3268"/>
    </row>
    <row r="8" spans="1:9" ht="15.75">
      <c r="A8" s="3263" t="str">
        <f>结果表!A122</f>
        <v>房地产抵押价值</v>
      </c>
      <c r="B8" s="3263"/>
      <c r="C8" s="3263"/>
      <c r="D8" s="3263">
        <f ca="1">结果表!D122</f>
        <v>130545</v>
      </c>
      <c r="E8" s="3263"/>
      <c r="F8" s="3263"/>
      <c r="G8" s="3263"/>
      <c r="H8" s="3263"/>
      <c r="I8" s="3263"/>
    </row>
    <row r="9" spans="1:9" ht="15">
      <c r="A9" s="3264" t="s">
        <v>1605</v>
      </c>
      <c r="B9" s="3264"/>
      <c r="C9" s="3264"/>
      <c r="D9" s="3265" t="str">
        <f ca="1">结果表!D123</f>
        <v>壹拾叁亿零伍佰肆拾伍万元整</v>
      </c>
      <c r="E9" s="3265"/>
      <c r="F9" s="3265"/>
      <c r="G9" s="3265"/>
      <c r="H9" s="3265"/>
      <c r="I9" s="3265"/>
    </row>
    <row r="10" spans="1:9" ht="15.75">
      <c r="A10" s="3263" t="str">
        <f>结果表!A124</f>
        <v/>
      </c>
      <c r="B10" s="3263"/>
      <c r="C10" s="3263"/>
      <c r="D10" s="3263" t="str">
        <f>结果表!D124</f>
        <v>——</v>
      </c>
      <c r="E10" s="3263"/>
      <c r="F10" s="3263"/>
      <c r="G10" s="3263"/>
      <c r="H10" s="3263"/>
      <c r="I10" s="3263"/>
    </row>
    <row r="11" spans="1:9" ht="15">
      <c r="A11" s="3264" t="s">
        <v>1605</v>
      </c>
      <c r="B11" s="3264"/>
      <c r="C11" s="3264"/>
      <c r="D11" s="3265" t="e">
        <f>结果表!D125</f>
        <v>#VALUE!</v>
      </c>
      <c r="E11" s="3265"/>
      <c r="F11" s="3265"/>
      <c r="G11" s="3265"/>
      <c r="H11" s="3265"/>
      <c r="I11" s="3265"/>
    </row>
    <row r="12" spans="1:9" ht="15.75">
      <c r="A12" s="3263" t="str">
        <f>结果表!A126</f>
        <v>抵押净值</v>
      </c>
      <c r="B12" s="3263"/>
      <c r="C12" s="3263"/>
      <c r="D12" s="3263">
        <f ca="1">结果表!D126</f>
        <v>117693</v>
      </c>
      <c r="E12" s="3263"/>
      <c r="F12" s="3263"/>
      <c r="G12" s="3263"/>
      <c r="H12" s="3263"/>
      <c r="I12" s="3263"/>
    </row>
    <row r="13" spans="1:9" ht="15.75" thickBot="1">
      <c r="A13" s="3260" t="s">
        <v>1605</v>
      </c>
      <c r="B13" s="3260"/>
      <c r="C13" s="3260"/>
      <c r="D13" s="3261" t="str">
        <f ca="1">结果表!D127</f>
        <v>壹拾壹亿柒仟陆佰玖拾叁万元整</v>
      </c>
      <c r="E13" s="3261"/>
      <c r="F13" s="3261"/>
      <c r="G13" s="3261"/>
      <c r="H13" s="3261"/>
      <c r="I13" s="3261"/>
    </row>
    <row r="14" spans="1:9" ht="15" thickTop="1">
      <c r="A14" s="3262" t="s">
        <v>1610</v>
      </c>
      <c r="B14" s="3262"/>
      <c r="C14" s="3262"/>
      <c r="D14" s="3262"/>
      <c r="E14" s="3262"/>
      <c r="F14" s="3262"/>
      <c r="G14" s="3262"/>
      <c r="H14" s="3262"/>
      <c r="I14" s="3262"/>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77" t="s">
        <v>1627</v>
      </c>
      <c r="B1" s="3277"/>
      <c r="C1" s="3277"/>
      <c r="D1" s="3277"/>
    </row>
    <row r="2" spans="1:4" ht="18">
      <c r="A2" s="3278" t="s">
        <v>1611</v>
      </c>
      <c r="B2" s="3278"/>
      <c r="C2" s="3278"/>
      <c r="D2" s="3278"/>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278" t="s">
        <v>1617</v>
      </c>
      <c r="B6" s="3278"/>
      <c r="C6" s="3278"/>
      <c r="D6" s="3278"/>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279" t="s">
        <v>1620</v>
      </c>
      <c r="B11" s="3271"/>
      <c r="C11" s="3271"/>
      <c r="D11" s="3271"/>
    </row>
    <row r="12" spans="1:4" ht="15.75">
      <c r="A12" s="32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1" t="str">
        <f>IF(项目基本情况!B8="抵押","4.本次评估估价师所知悉的法定优先受偿款情况说明如下：","——")</f>
        <v>4.本次评估估价师所知悉的法定优先受偿款情况说明如下：</v>
      </c>
      <c r="B14" s="3276"/>
      <c r="C14" s="3276"/>
      <c r="D14" s="3276"/>
    </row>
    <row r="15" spans="1:4" ht="42" customHeight="1">
      <c r="A15" s="3271" t="str">
        <f>IF(项目基本情况!B8="抵押","（1）"&amp;CONCATENATE(项目基本情况!L20,项目基本情况!L21,项目基本情况!L22),"——")</f>
        <v>（1）根据估价对象《房屋所有权证》原件、《国有土地使用权》复印件，截至价值时点，估价对象抵押权未见登记。</v>
      </c>
      <c r="B15" s="3271"/>
      <c r="C15" s="3271"/>
      <c r="D15" s="3271"/>
    </row>
    <row r="16" spans="1:4" ht="30" customHeight="1">
      <c r="A16" s="3273" t="s">
        <v>1621</v>
      </c>
      <c r="B16" s="3273"/>
      <c r="C16" s="3273"/>
      <c r="D16" s="3273"/>
    </row>
    <row r="17" spans="1:4" ht="144" customHeight="1">
      <c r="A17" s="3273" t="s">
        <v>1622</v>
      </c>
      <c r="B17" s="3273"/>
      <c r="C17" s="3273"/>
      <c r="D17" s="3273"/>
    </row>
    <row r="18" spans="1:4" ht="15.75" customHeight="1">
      <c r="A18" s="3271" t="str">
        <f>IF(项目基本情况!B8="抵押",结果表!K120,"——")</f>
        <v>故，本次评估不存在估价师知悉的法定优先受偿款</v>
      </c>
      <c r="B18" s="3271"/>
      <c r="C18" s="3271"/>
      <c r="D18" s="3271"/>
    </row>
    <row r="19" spans="1:4" ht="46.5" customHeight="1">
      <c r="A19" s="32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1"/>
      <c r="C19" s="3271"/>
      <c r="D19" s="3271"/>
    </row>
    <row r="20" spans="1:4" ht="57.75" customHeight="1">
      <c r="A20" s="32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1"/>
      <c r="C20" s="3271"/>
      <c r="D20" s="3271"/>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1623</v>
      </c>
      <c r="B22" s="3275"/>
      <c r="C22" s="3275"/>
      <c r="D22" s="3275"/>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272">
        <v>42551</v>
      </c>
      <c r="D31" s="32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285" t="s">
        <v>1634</v>
      </c>
      <c r="B15" s="3280" t="s">
        <v>136</v>
      </c>
      <c r="C15" s="3281"/>
    </row>
    <row r="16" spans="1:7" ht="13.5">
      <c r="A16" s="3286"/>
      <c r="B16" s="3280" t="s">
        <v>69</v>
      </c>
      <c r="C16" s="3281"/>
    </row>
    <row r="17" spans="1:3" ht="13.5">
      <c r="A17" s="3286"/>
      <c r="B17" s="3283" t="s">
        <v>1635</v>
      </c>
      <c r="C17" s="1717" t="s">
        <v>1634</v>
      </c>
    </row>
    <row r="18" spans="1:3" ht="13.5">
      <c r="A18" s="3286"/>
      <c r="B18" s="3283"/>
      <c r="C18" s="1717" t="s">
        <v>1636</v>
      </c>
    </row>
    <row r="19" spans="1:3" ht="13.5">
      <c r="A19" s="3286"/>
      <c r="B19" s="3283"/>
      <c r="C19" s="1717" t="s">
        <v>1637</v>
      </c>
    </row>
    <row r="20" spans="1:3" ht="13.5">
      <c r="A20" s="3287"/>
      <c r="B20" s="3282" t="s">
        <v>1638</v>
      </c>
      <c r="C20" s="3281"/>
    </row>
    <row r="21" spans="1:3" ht="13.5">
      <c r="A21" s="1718" t="s">
        <v>1639</v>
      </c>
      <c r="B21" s="1719"/>
      <c r="C21" s="1720"/>
    </row>
    <row r="22" spans="1:3" ht="13.5">
      <c r="A22" s="3284" t="s">
        <v>1640</v>
      </c>
      <c r="B22" s="3282" t="s">
        <v>1641</v>
      </c>
      <c r="C22" s="3281"/>
    </row>
    <row r="23" spans="1:3" ht="13.5">
      <c r="A23" s="3284"/>
      <c r="B23" s="3282" t="s">
        <v>1642</v>
      </c>
      <c r="C23" s="3281"/>
    </row>
    <row r="24" spans="1:3" ht="13.5">
      <c r="A24" s="3284"/>
      <c r="B24" s="3282" t="s">
        <v>1643</v>
      </c>
      <c r="C24" s="3281"/>
    </row>
    <row r="25" spans="1:3" ht="13.5">
      <c r="A25" s="3284"/>
      <c r="B25" s="3283" t="s">
        <v>1644</v>
      </c>
      <c r="C25" s="1717" t="s">
        <v>1645</v>
      </c>
    </row>
    <row r="26" spans="1:3" ht="13.5">
      <c r="A26" s="3284"/>
      <c r="B26" s="3283"/>
      <c r="C26" s="1717" t="s">
        <v>1646</v>
      </c>
    </row>
    <row r="27" spans="1:3" ht="13.5">
      <c r="A27" s="3284"/>
      <c r="B27" s="3283"/>
      <c r="C27" s="1717" t="s">
        <v>1647</v>
      </c>
    </row>
    <row r="28" spans="1:3" ht="13.5">
      <c r="A28" s="3284"/>
      <c r="B28" s="3283"/>
      <c r="C28" s="1717" t="s">
        <v>1648</v>
      </c>
    </row>
    <row r="29" spans="1:3" ht="13.5">
      <c r="A29" s="3284"/>
      <c r="B29" s="3283"/>
      <c r="C29" s="1717" t="s">
        <v>1649</v>
      </c>
    </row>
    <row r="30" spans="1:3" ht="13.5">
      <c r="A30" s="3284"/>
      <c r="B30" s="3283"/>
      <c r="C30" s="1717" t="s">
        <v>1650</v>
      </c>
    </row>
    <row r="31" spans="1:3" ht="13.5">
      <c r="A31" s="3284"/>
      <c r="B31" s="3283"/>
      <c r="C31" s="1717" t="s">
        <v>1651</v>
      </c>
    </row>
    <row r="32" spans="1:3" ht="13.5">
      <c r="A32" s="3284"/>
      <c r="B32" s="3283"/>
      <c r="C32" s="1717" t="s">
        <v>1652</v>
      </c>
    </row>
    <row r="33" spans="1:3" ht="13.5">
      <c r="A33" s="3284"/>
      <c r="B33" s="328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44449</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288" t="s">
        <v>2901</v>
      </c>
      <c r="B17" s="3288"/>
      <c r="C17" s="3288"/>
      <c r="D17" s="3288"/>
      <c r="E17" s="3288"/>
      <c r="F17" s="3288"/>
      <c r="G17" s="3288"/>
      <c r="H17" s="3288"/>
    </row>
    <row r="18" spans="1:8" ht="24" customHeight="1">
      <c r="A18" s="3289" t="s">
        <v>2902</v>
      </c>
      <c r="B18" s="3289"/>
      <c r="C18" s="3289"/>
      <c r="D18" s="2566"/>
      <c r="E18" s="3290" t="s">
        <v>2903</v>
      </c>
      <c r="F18" s="3289"/>
      <c r="G18" s="3289"/>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收益法-经营</vt:lpstr>
      <vt:lpstr>土地案例</vt:lpstr>
      <vt:lpstr>财务报表及预计年收入</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2021-09-10T02:41:06Z</dcterms:modified>
</cp:coreProperties>
</file>