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17-丰联广场办公及地下商业\"/>
    </mc:Choice>
  </mc:AlternateContent>
  <xr:revisionPtr revIDLastSave="0" documentId="13_ncr:1_{E1838D73-0006-42D1-B3CC-B54695F76E89}" xr6:coauthVersionLast="47" xr6:coauthVersionMax="47" xr10:uidLastSave="{00000000-0000-0000-0000-000000000000}"/>
  <bookViews>
    <workbookView xWindow="-108" yWindow="-108" windowWidth="23256" windowHeight="12576"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r:id="rId20"/>
    <sheet name="收益法 (元)" sheetId="67"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N6" i="1" l="1"/>
  <c r="K84" i="9"/>
  <c r="H13" i="3"/>
  <c r="H14" i="3"/>
  <c r="H5" i="3"/>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G13" i="3"/>
  <c r="G14" i="3"/>
  <c r="G5" i="3"/>
  <c r="B3" i="3"/>
  <c r="AY6" i="3"/>
  <c r="D3" i="6"/>
  <c r="E3" i="6"/>
  <c r="D20" i="6"/>
  <c r="M19" i="9"/>
  <c r="C118" i="9"/>
  <c r="C14" i="74"/>
  <c r="M18" i="9"/>
  <c r="B118" i="9"/>
  <c r="B14" i="74"/>
  <c r="J49" i="67"/>
  <c r="D37" i="43"/>
  <c r="N7" i="1"/>
  <c r="Y7" i="1"/>
  <c r="K5" i="3"/>
  <c r="O20" i="1"/>
  <c r="O22" i="1"/>
  <c r="L7" i="1"/>
  <c r="B21" i="1"/>
  <c r="F20" i="6"/>
  <c r="D3" i="4"/>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6" i="79"/>
  <c r="AQ7" i="79"/>
  <c r="AQ8" i="79"/>
  <c r="AQ9" i="79"/>
  <c r="AQ10" i="79"/>
  <c r="AQ11" i="79"/>
  <c r="AQ12" i="79"/>
  <c r="AQ13" i="79"/>
  <c r="AQ14" i="79"/>
  <c r="AQ15" i="79"/>
  <c r="AQ16" i="79"/>
  <c r="AQ17" i="79"/>
  <c r="AQ18" i="79"/>
  <c r="AQ19" i="79"/>
  <c r="AQ20" i="79"/>
  <c r="AQ21" i="79"/>
  <c r="AQ22" i="79"/>
  <c r="AQ23" i="79"/>
  <c r="AQ24"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R6" i="79"/>
  <c r="AR7" i="79"/>
  <c r="AC6" i="79"/>
  <c r="AB6" i="79"/>
  <c r="AA6" i="79"/>
  <c r="AD6" i="79"/>
  <c r="Z6" i="79"/>
  <c r="Y6" i="79"/>
  <c r="O6" i="79"/>
  <c r="N6" i="79"/>
  <c r="M6" i="79"/>
  <c r="P6" i="79"/>
  <c r="L6" i="79"/>
  <c r="K6" i="79"/>
  <c r="I6" i="79"/>
  <c r="AC7" i="79"/>
  <c r="AB7" i="79"/>
  <c r="AA7" i="79"/>
  <c r="AD7" i="79"/>
  <c r="Z7" i="79"/>
  <c r="Y7" i="79"/>
  <c r="O7" i="79"/>
  <c r="N7" i="79"/>
  <c r="M7" i="79"/>
  <c r="P7" i="79"/>
  <c r="L7" i="79"/>
  <c r="K7" i="79"/>
  <c r="I7"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AR18" i="79"/>
  <c r="AR19" i="79"/>
  <c r="AR20" i="79"/>
  <c r="AR21" i="79"/>
  <c r="AR22" i="79"/>
  <c r="AR23" i="79"/>
  <c r="AR24" i="79"/>
  <c r="U35" i="79"/>
  <c r="AI35" i="79"/>
  <c r="U34" i="79"/>
  <c r="AI34"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A15" i="51"/>
  <c r="B12" i="72"/>
  <c r="C76" i="9"/>
  <c r="I107" i="40"/>
  <c r="K6" i="4"/>
  <c r="M56" i="9"/>
  <c r="B22" i="31"/>
  <c r="E16" i="74"/>
  <c r="F16" i="74"/>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F21" i="33"/>
  <c r="AA21" i="33"/>
  <c r="E83" i="21"/>
  <c r="F83" i="21"/>
  <c r="H1" i="69"/>
  <c r="AC25" i="40"/>
  <c r="U25" i="40"/>
  <c r="U29" i="39"/>
  <c r="W29" i="39"/>
  <c r="W18" i="36"/>
  <c r="S21" i="37"/>
  <c r="U21" i="34"/>
  <c r="S21" i="33"/>
  <c r="AC18" i="35"/>
  <c r="J21" i="37"/>
  <c r="W21" i="37"/>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C21" i="68"/>
  <c r="F20" i="68"/>
  <c r="F39"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M54" i="43"/>
  <c r="N54" i="43"/>
  <c r="K54" i="43"/>
  <c r="J54" i="43"/>
  <c r="D54" i="43"/>
  <c r="M53" i="43"/>
  <c r="N53" i="43"/>
  <c r="K53" i="43"/>
  <c r="J53" i="43"/>
  <c r="M52" i="43"/>
  <c r="N52" i="43"/>
  <c r="K52" i="43"/>
  <c r="J52" i="43"/>
  <c r="D52" i="43"/>
  <c r="M51" i="43"/>
  <c r="N51" i="43"/>
  <c r="K51" i="43"/>
  <c r="J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22" i="1"/>
  <c r="G41" i="69"/>
  <c r="B23" i="1"/>
  <c r="B24" i="1"/>
  <c r="F34" i="68"/>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E22" i="6"/>
  <c r="E23" i="6"/>
  <c r="K10" i="1"/>
  <c r="M10" i="1"/>
  <c r="O10" i="1"/>
  <c r="P10" i="1"/>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C5" i="3"/>
  <c r="BD570" i="3"/>
  <c r="BE570" i="3"/>
  <c r="BF570" i="3"/>
  <c r="BG570" i="3"/>
  <c r="BG5" i="3"/>
  <c r="BH570" i="3"/>
  <c r="BI570" i="3"/>
  <c r="BJ570" i="3"/>
  <c r="BK570" i="3"/>
  <c r="BK5"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R5" i="3"/>
  <c r="BS573" i="3"/>
  <c r="BT573" i="3"/>
  <c r="H574" i="3"/>
  <c r="AC574" i="3"/>
  <c r="BB574" i="3"/>
  <c r="BC574" i="3"/>
  <c r="BD574" i="3"/>
  <c r="BE574" i="3"/>
  <c r="BF574" i="3"/>
  <c r="BG574" i="3"/>
  <c r="BH574" i="3"/>
  <c r="BI574" i="3"/>
  <c r="BI5"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c r="U33" i="33"/>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F28" i="40"/>
  <c r="AA28" i="40"/>
  <c r="AA29" i="35"/>
  <c r="AA42" i="34"/>
  <c r="S42" i="34"/>
  <c r="AC38" i="34"/>
  <c r="AA38" i="34"/>
  <c r="J37" i="34"/>
  <c r="AC37" i="34"/>
  <c r="J11" i="33"/>
  <c r="W11" i="33"/>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J44" i="33"/>
  <c r="AC44" i="33"/>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26" i="37"/>
  <c r="W47" i="34"/>
  <c r="AC36" i="34"/>
  <c r="AA13" i="33"/>
  <c r="AC31" i="33"/>
  <c r="W44"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4" i="52"/>
  <c r="B41" i="72"/>
  <c r="J11" i="39"/>
  <c r="W11" i="39"/>
  <c r="F11" i="39"/>
  <c r="G4" i="4"/>
  <c r="I4" i="4"/>
  <c r="F61" i="43"/>
  <c r="H64" i="43"/>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A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BJ5" i="3"/>
  <c r="AC5" i="3"/>
  <c r="AZ496" i="3"/>
  <c r="G548" i="3"/>
  <c r="G538" i="3"/>
  <c r="G520" i="3"/>
  <c r="G502" i="3"/>
  <c r="BN5" i="3"/>
  <c r="BE5" i="3"/>
  <c r="G17" i="3"/>
  <c r="BA17" i="3"/>
  <c r="BT5" i="3"/>
  <c r="AZ356" i="3"/>
  <c r="BA15" i="3"/>
  <c r="AZ15" i="3"/>
  <c r="AZ392" i="3"/>
  <c r="AZ499" i="3"/>
  <c r="AZ509" i="3"/>
  <c r="G509" i="3"/>
  <c r="BL493" i="3"/>
  <c r="AZ493" i="3"/>
  <c r="U36" i="40"/>
  <c r="F83" i="43"/>
  <c r="H85" i="43"/>
  <c r="F50" i="43"/>
  <c r="H54" i="43"/>
  <c r="F72" i="43"/>
  <c r="H75" i="43"/>
  <c r="U17" i="39"/>
  <c r="S14" i="35"/>
  <c r="U43" i="21"/>
  <c r="U35" i="21"/>
  <c r="AC35" i="21"/>
  <c r="AC11" i="39"/>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c r="S13" i="1"/>
  <c r="AR13" i="1"/>
  <c r="R13" i="1"/>
  <c r="J51" i="67"/>
  <c r="C42" i="1"/>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W42" i="33"/>
  <c r="S27" i="33"/>
  <c r="S32" i="33"/>
  <c r="AA29" i="33"/>
  <c r="AB29" i="33"/>
  <c r="W38" i="33"/>
  <c r="H41" i="33"/>
  <c r="F121" i="33"/>
  <c r="G121" i="33"/>
  <c r="H121" i="33"/>
  <c r="I121" i="33"/>
  <c r="J121" i="33"/>
  <c r="K121" i="33"/>
  <c r="L121" i="33"/>
  <c r="M121" i="33"/>
  <c r="U42" i="33"/>
  <c r="S42" i="33"/>
  <c r="F36" i="33"/>
  <c r="AA36" i="33"/>
  <c r="G111" i="33"/>
  <c r="H111" i="33"/>
  <c r="I111" i="33"/>
  <c r="J111" i="33"/>
  <c r="K111" i="33"/>
  <c r="L111" i="33"/>
  <c r="M111" i="33"/>
  <c r="G108" i="33"/>
  <c r="H108" i="33"/>
  <c r="I108" i="33"/>
  <c r="J108" i="33"/>
  <c r="K108" i="33"/>
  <c r="L108" i="33"/>
  <c r="M108" i="33"/>
  <c r="J35" i="33"/>
  <c r="S37" i="33"/>
  <c r="AA37" i="33"/>
  <c r="S39" i="33"/>
  <c r="F101" i="33"/>
  <c r="G101" i="33"/>
  <c r="H101" i="33"/>
  <c r="I101" i="33"/>
  <c r="J101" i="33"/>
  <c r="K101" i="33"/>
  <c r="L101" i="33"/>
  <c r="M101" i="33"/>
  <c r="J32" i="33"/>
  <c r="AC32" i="33"/>
  <c r="S46" i="33"/>
  <c r="W43" i="33"/>
  <c r="S43" i="33"/>
  <c r="F91" i="33"/>
  <c r="G91" i="33"/>
  <c r="H91" i="33"/>
  <c r="I91" i="33"/>
  <c r="J91" i="33"/>
  <c r="K91" i="33"/>
  <c r="L91" i="33"/>
  <c r="M91" i="33"/>
  <c r="H27" i="33"/>
  <c r="F87" i="33"/>
  <c r="H25" i="33"/>
  <c r="F25" i="33"/>
  <c r="S25" i="33"/>
  <c r="J23" i="33"/>
  <c r="AC23" i="33"/>
  <c r="F85" i="33"/>
  <c r="H23" i="33"/>
  <c r="F81" i="33"/>
  <c r="G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J56" i="9"/>
  <c r="J57" i="9"/>
  <c r="J59" i="9"/>
  <c r="J61" i="9"/>
  <c r="A24" i="51"/>
  <c r="B18" i="72"/>
  <c r="U29" i="34"/>
  <c r="E5" i="6"/>
  <c r="E32" i="6"/>
  <c r="E19" i="69"/>
  <c r="E19" i="68"/>
  <c r="E19" i="11"/>
  <c r="E1" i="73"/>
  <c r="G22" i="11"/>
  <c r="C6" i="43"/>
  <c r="B19" i="53"/>
  <c r="B37" i="72"/>
  <c r="C7" i="39"/>
  <c r="C67" i="39"/>
  <c r="C7" i="35"/>
  <c r="C7" i="33"/>
  <c r="C7" i="21"/>
  <c r="C7" i="40"/>
  <c r="C63" i="40"/>
  <c r="M47" i="9"/>
  <c r="G23" i="43"/>
  <c r="C23" i="43"/>
  <c r="A4" i="51"/>
  <c r="B6" i="72"/>
  <c r="C48" i="35"/>
  <c r="D48" i="35"/>
  <c r="L20" i="6"/>
  <c r="K11" i="1"/>
  <c r="M11" i="1"/>
  <c r="O11" i="1"/>
  <c r="B9" i="1"/>
  <c r="E9" i="1"/>
  <c r="K7" i="1"/>
  <c r="M7"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U41" i="33"/>
  <c r="W35" i="33"/>
  <c r="AC35" i="33"/>
  <c r="J36" i="33"/>
  <c r="W36" i="33"/>
  <c r="H36" i="33"/>
  <c r="U36" i="33"/>
  <c r="S36" i="33"/>
  <c r="W32" i="33"/>
  <c r="U27" i="33"/>
  <c r="AB27" i="33"/>
  <c r="J27" i="33"/>
  <c r="AC27" i="33"/>
  <c r="U25" i="33"/>
  <c r="AB25" i="33"/>
  <c r="G87" i="33"/>
  <c r="H87" i="33"/>
  <c r="I87" i="33"/>
  <c r="J87" i="33"/>
  <c r="K87" i="33"/>
  <c r="L87" i="33"/>
  <c r="M87" i="33"/>
  <c r="J25" i="33"/>
  <c r="AB23" i="33"/>
  <c r="U23" i="33"/>
  <c r="F23" i="33"/>
  <c r="G85" i="33"/>
  <c r="AA19" i="33"/>
  <c r="H19" i="33"/>
  <c r="U19" i="33"/>
  <c r="H17" i="33"/>
  <c r="U17" i="33"/>
  <c r="F17" i="33"/>
  <c r="S17" i="33"/>
  <c r="W17" i="33"/>
  <c r="AC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B36" i="33"/>
  <c r="W27" i="33"/>
  <c r="W25" i="33"/>
  <c r="AC25" i="33"/>
  <c r="AB19" i="33"/>
  <c r="AC23" i="21"/>
  <c r="W23" i="21"/>
  <c r="H109" i="9"/>
  <c r="AD3" i="71"/>
  <c r="J1" i="73"/>
  <c r="D24" i="71"/>
  <c r="U24" i="71"/>
  <c r="S24" i="71"/>
  <c r="T24" i="71"/>
  <c r="AB22" i="71"/>
  <c r="X20" i="71"/>
  <c r="X19" i="71"/>
  <c r="AA20" i="71"/>
  <c r="AA19" i="71"/>
  <c r="X23" i="71"/>
  <c r="Y19" i="71"/>
  <c r="Z19" i="71"/>
  <c r="AB20" i="71"/>
  <c r="AB19" i="71"/>
  <c r="F21" i="71"/>
  <c r="F20" i="71"/>
  <c r="F19" i="71"/>
  <c r="F18" i="71"/>
  <c r="F17" i="71"/>
  <c r="Y20" i="71"/>
  <c r="Z20" i="71"/>
  <c r="X3" i="71"/>
  <c r="E12" i="76"/>
  <c r="F20" i="31"/>
  <c r="D34" i="9"/>
  <c r="D35" i="9"/>
  <c r="F6" i="73"/>
  <c r="F5" i="73"/>
  <c r="E11" i="76"/>
  <c r="E8" i="76"/>
  <c r="B9" i="76"/>
  <c r="D6" i="73"/>
  <c r="F3" i="73"/>
  <c r="B11" i="76"/>
  <c r="E9" i="76"/>
  <c r="E13" i="76"/>
  <c r="B12" i="76"/>
  <c r="AO13" i="1"/>
  <c r="F7" i="73"/>
  <c r="E7" i="76"/>
  <c r="F4" i="73"/>
  <c r="E2" i="68"/>
  <c r="E10" i="76"/>
  <c r="B13" i="76"/>
  <c r="E2" i="69"/>
  <c r="B7" i="76"/>
  <c r="B8" i="76"/>
  <c r="B10" i="76"/>
  <c r="C18" i="9"/>
  <c r="D18" i="9"/>
  <c r="D53" i="43"/>
  <c r="D51" i="43"/>
  <c r="D55" i="43"/>
  <c r="B79" i="43"/>
  <c r="B57" i="43"/>
  <c r="B77" i="43"/>
  <c r="B68" i="43"/>
  <c r="G1" i="15"/>
  <c r="B6" i="1"/>
  <c r="E6" i="1"/>
  <c r="K6" i="1"/>
  <c r="AP6" i="1"/>
  <c r="G1" i="67"/>
  <c r="K1" i="12"/>
  <c r="G1" i="69"/>
  <c r="G1" i="68"/>
  <c r="B41" i="1"/>
  <c r="G26" i="12"/>
  <c r="G22" i="68"/>
  <c r="G22" i="69"/>
  <c r="BB5" i="3"/>
  <c r="BD5" i="3"/>
  <c r="BH5" i="3"/>
  <c r="BP5" i="3"/>
  <c r="E11" i="6"/>
  <c r="E60" i="39"/>
  <c r="A118" i="9"/>
  <c r="A2" i="9"/>
  <c r="AZ572" i="3"/>
  <c r="AB23" i="21"/>
  <c r="W9" i="21"/>
  <c r="S13" i="21"/>
  <c r="AB21" i="39"/>
  <c r="AB35" i="37"/>
  <c r="AA35" i="33"/>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S5" i="3"/>
  <c r="BL575" i="3"/>
  <c r="BA575" i="3"/>
  <c r="AZ575" i="3"/>
  <c r="BA574" i="3"/>
  <c r="AZ574" i="3"/>
  <c r="G572" i="3"/>
  <c r="BA571" i="3"/>
  <c r="AZ571" i="3"/>
  <c r="BL570" i="3"/>
  <c r="BA570" i="3"/>
  <c r="AA25" i="33"/>
  <c r="G29" i="6"/>
  <c r="BM5" i="3"/>
  <c r="AZ313" i="3"/>
  <c r="AZ394" i="3"/>
  <c r="AZ511" i="3"/>
  <c r="AZ536" i="3"/>
  <c r="J25" i="35"/>
  <c r="H25" i="35"/>
  <c r="AC28" i="36"/>
  <c r="W28" i="36"/>
  <c r="AA17" i="33"/>
  <c r="S17" i="37"/>
  <c r="S43" i="34"/>
  <c r="AB31" i="37"/>
  <c r="BO5" i="3"/>
  <c r="AZ375" i="3"/>
  <c r="AZ529" i="3"/>
  <c r="AB11" i="33"/>
  <c r="U11" i="33"/>
  <c r="AB35" i="33"/>
  <c r="U35" i="3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S44" i="33"/>
  <c r="AA44" i="33"/>
  <c r="J12" i="36"/>
  <c r="F12" i="36"/>
  <c r="H12" i="36"/>
  <c r="AA31" i="35"/>
  <c r="S31" i="35"/>
  <c r="G582" i="3"/>
  <c r="AZ519" i="3"/>
  <c r="BL573" i="3"/>
  <c r="AZ573" i="3"/>
  <c r="B97" i="43"/>
  <c r="B75" i="43"/>
  <c r="AA38" i="33"/>
  <c r="S38" i="33"/>
  <c r="J26" i="33"/>
  <c r="F26" i="33"/>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16" i="3"/>
  <c r="AZ16" i="3"/>
  <c r="BL400" i="3"/>
  <c r="BA408" i="3"/>
  <c r="AZ408" i="3"/>
  <c r="BA409" i="3"/>
  <c r="AZ409" i="3"/>
  <c r="BL412" i="3"/>
  <c r="BL417" i="3"/>
  <c r="BA225" i="3"/>
  <c r="BL230" i="3"/>
  <c r="G251" i="3"/>
  <c r="W9" i="34"/>
  <c r="U30" i="37"/>
  <c r="G587" i="3"/>
  <c r="F9" i="33"/>
  <c r="AA9" i="33"/>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BL21" i="3"/>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AB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c r="O13" i="1"/>
  <c r="P13" i="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BQ5" i="3"/>
  <c r="F28" i="6"/>
  <c r="G28" i="6"/>
  <c r="E28" i="6"/>
  <c r="K14" i="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c r="J26" i="43"/>
  <c r="L19" i="6"/>
  <c r="L27" i="6"/>
  <c r="M6" i="1"/>
  <c r="O6" i="1"/>
  <c r="T13" i="1"/>
  <c r="C58" i="21"/>
  <c r="D58" i="21"/>
  <c r="C58" i="33"/>
  <c r="C59" i="34"/>
  <c r="D59" i="34"/>
  <c r="E59" i="34"/>
  <c r="F59" i="34"/>
  <c r="G59" i="34"/>
  <c r="H59" i="34"/>
  <c r="I59" i="34"/>
  <c r="J59" i="34"/>
  <c r="K59" i="34"/>
  <c r="L59" i="34"/>
  <c r="M59" i="34"/>
  <c r="N59" i="34"/>
  <c r="O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P11" i="1"/>
  <c r="D9" i="11"/>
  <c r="C9" i="11"/>
  <c r="D19" i="12"/>
  <c r="C19" i="12"/>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B13" i="70"/>
  <c r="C36" i="68"/>
  <c r="D9" i="68"/>
  <c r="M8" i="15"/>
  <c r="F37" i="15"/>
  <c r="F7" i="67"/>
  <c r="F36" i="15"/>
  <c r="F16" i="15"/>
  <c r="M22" i="67"/>
  <c r="F26" i="67"/>
  <c r="M26" i="15"/>
  <c r="M29" i="67"/>
  <c r="F43" i="67"/>
  <c r="F8" i="67"/>
  <c r="M29" i="15"/>
  <c r="F26" i="15"/>
  <c r="F6" i="67"/>
  <c r="D3" i="73"/>
  <c r="F8" i="15"/>
  <c r="M23" i="67"/>
  <c r="F42" i="15"/>
  <c r="F13" i="67"/>
  <c r="F9" i="67"/>
  <c r="D5" i="73"/>
  <c r="F16" i="67"/>
  <c r="F9" i="15"/>
  <c r="M24" i="15"/>
  <c r="F40" i="67"/>
  <c r="M28" i="15"/>
  <c r="F42" i="67"/>
  <c r="M23" i="15"/>
  <c r="F43" i="15"/>
  <c r="F40" i="15"/>
  <c r="L47" i="67"/>
  <c r="M28" i="67"/>
  <c r="F38" i="67"/>
  <c r="M9" i="67"/>
  <c r="F6" i="15"/>
  <c r="D9" i="69"/>
  <c r="C76" i="15"/>
  <c r="L48" i="67"/>
  <c r="D4" i="73"/>
  <c r="M22" i="15"/>
  <c r="F37" i="67"/>
  <c r="M24" i="67"/>
  <c r="F13" i="15"/>
  <c r="M6" i="15"/>
  <c r="C76" i="67"/>
  <c r="M26" i="67"/>
  <c r="J15" i="15"/>
  <c r="L48" i="15"/>
  <c r="F36" i="67"/>
  <c r="M6" i="67"/>
  <c r="F7" i="15"/>
  <c r="F38" i="15"/>
  <c r="L47" i="15"/>
  <c r="M9" i="15"/>
  <c r="M8" i="67"/>
  <c r="D7" i="73"/>
  <c r="J15" i="67"/>
  <c r="C27" i="15"/>
  <c r="F51" i="15"/>
  <c r="C6" i="15"/>
  <c r="J57" i="15"/>
  <c r="J55" i="15"/>
  <c r="J58" i="15"/>
  <c r="Q50" i="15"/>
  <c r="J53" i="15"/>
  <c r="L56" i="15"/>
  <c r="I54" i="15"/>
  <c r="F65" i="15"/>
  <c r="M7" i="15"/>
  <c r="J6" i="15"/>
  <c r="F50" i="15"/>
  <c r="Q71" i="15"/>
  <c r="F66" i="15"/>
  <c r="M59" i="15"/>
  <c r="L58" i="15"/>
  <c r="Q73" i="15"/>
  <c r="L59" i="15"/>
  <c r="Q74" i="15"/>
  <c r="N59" i="15"/>
  <c r="F71" i="15"/>
  <c r="F64" i="15"/>
  <c r="F68" i="15"/>
  <c r="C27" i="67"/>
  <c r="F66" i="67"/>
  <c r="M59" i="67"/>
  <c r="N59" i="67"/>
  <c r="L58" i="67"/>
  <c r="Q60" i="67"/>
  <c r="L59" i="67"/>
  <c r="Q61" i="67"/>
  <c r="F51" i="67"/>
  <c r="F71" i="67"/>
  <c r="Q71" i="67"/>
  <c r="C6" i="67"/>
  <c r="C32" i="67"/>
  <c r="F68" i="67"/>
  <c r="F64" i="67"/>
  <c r="M7" i="67"/>
  <c r="J6" i="67"/>
  <c r="J18" i="67"/>
  <c r="F50" i="67"/>
  <c r="F65" i="67"/>
  <c r="I54" i="67"/>
  <c r="L56" i="67"/>
  <c r="J53" i="67"/>
  <c r="F1" i="67"/>
  <c r="J57" i="67"/>
  <c r="J55" i="67"/>
  <c r="J58" i="67"/>
  <c r="Q50" i="67"/>
  <c r="E26" i="43"/>
  <c r="E10" i="6"/>
  <c r="F48" i="9"/>
  <c r="O52" i="9"/>
  <c r="F30" i="68"/>
  <c r="F52" i="9"/>
  <c r="F32" i="15"/>
  <c r="F60" i="15"/>
  <c r="F54" i="9"/>
  <c r="F30" i="11"/>
  <c r="M18" i="67"/>
  <c r="M18" i="15"/>
  <c r="F28" i="67"/>
  <c r="C28" i="67"/>
  <c r="F32" i="67"/>
  <c r="F60" i="67"/>
  <c r="F28" i="15"/>
  <c r="C28" i="15"/>
  <c r="F31" i="12"/>
  <c r="C31" i="12"/>
  <c r="F30" i="69"/>
  <c r="D68" i="9"/>
  <c r="P6" i="1"/>
  <c r="C13" i="12"/>
  <c r="H16" i="1"/>
  <c r="E15" i="6"/>
  <c r="E64" i="39"/>
  <c r="F26" i="43"/>
  <c r="E13" i="6"/>
  <c r="E58" i="40"/>
  <c r="E12" i="6"/>
  <c r="E57" i="40"/>
  <c r="E14" i="6"/>
  <c r="H26" i="43"/>
  <c r="N370" i="46"/>
  <c r="G30" i="6"/>
  <c r="G31" i="6"/>
  <c r="G26" i="43"/>
  <c r="N94" i="46"/>
  <c r="Q16" i="1"/>
  <c r="C70" i="71"/>
  <c r="D70" i="71"/>
  <c r="D71" i="71"/>
  <c r="C22" i="71"/>
  <c r="D23" i="71"/>
  <c r="AZ368" i="3"/>
  <c r="AZ353" i="3"/>
  <c r="C52" i="71"/>
  <c r="D51" i="71"/>
  <c r="AZ282" i="3"/>
  <c r="AC44" i="39"/>
  <c r="W44" i="39"/>
  <c r="AC24" i="36"/>
  <c r="W24" i="36"/>
  <c r="W25" i="35"/>
  <c r="AC25" i="35"/>
  <c r="W13" i="39"/>
  <c r="AC13" i="39"/>
  <c r="E510" i="3"/>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G16" i="1"/>
  <c r="F10" i="39"/>
  <c r="S10" i="39"/>
  <c r="D83" i="71"/>
  <c r="C82" i="71"/>
  <c r="D82" i="71"/>
  <c r="AZ53" i="3"/>
  <c r="C26" i="71"/>
  <c r="D26" i="71"/>
  <c r="D27" i="71"/>
  <c r="AZ302" i="3"/>
  <c r="AZ284" i="3"/>
  <c r="AZ491" i="3"/>
  <c r="W12" i="35"/>
  <c r="AC12" i="35"/>
  <c r="S24" i="36"/>
  <c r="AA24" i="36"/>
  <c r="S26" i="33"/>
  <c r="AA26" i="33"/>
  <c r="AA12" i="36"/>
  <c r="S12" i="36"/>
  <c r="AB39" i="37"/>
  <c r="U39" i="37"/>
  <c r="F29" i="6"/>
  <c r="E29" i="6"/>
  <c r="K15" i="1"/>
  <c r="K16" i="1"/>
  <c r="B29" i="1"/>
  <c r="C8" i="68"/>
  <c r="C5" i="68"/>
  <c r="AA13" i="39"/>
  <c r="S13" i="39"/>
  <c r="C40" i="71"/>
  <c r="D39" i="71"/>
  <c r="B19" i="71"/>
  <c r="B18" i="71"/>
  <c r="B17" i="71"/>
  <c r="B16" i="71"/>
  <c r="S20" i="71"/>
  <c r="AZ74" i="3"/>
  <c r="AZ182" i="3"/>
  <c r="AZ271" i="3"/>
  <c r="AZ130" i="3"/>
  <c r="AZ244" i="3"/>
  <c r="AZ239" i="3"/>
  <c r="AZ397" i="3"/>
  <c r="D67" i="71"/>
  <c r="C66" i="71"/>
  <c r="O67" i="71"/>
  <c r="AB24" i="36"/>
  <c r="U24" i="36"/>
  <c r="AC26" i="33"/>
  <c r="W26" i="33"/>
  <c r="W12" i="36"/>
  <c r="AC12" i="36"/>
  <c r="AC39" i="37"/>
  <c r="W39" i="37"/>
  <c r="AB36" i="35"/>
  <c r="U36" i="35"/>
  <c r="AB25" i="35"/>
  <c r="U25" i="35"/>
  <c r="AZ576" i="3"/>
  <c r="U13" i="39"/>
  <c r="AB13" i="39"/>
  <c r="J7" i="37"/>
  <c r="K1" i="73"/>
  <c r="E499" i="3"/>
  <c r="E442" i="3"/>
  <c r="E449" i="3"/>
  <c r="E517" i="3"/>
  <c r="E479" i="3"/>
  <c r="E56" i="3"/>
  <c r="E258" i="3"/>
  <c r="E241" i="3"/>
  <c r="E363" i="3"/>
  <c r="E76" i="3"/>
  <c r="E59" i="3"/>
  <c r="E425" i="3"/>
  <c r="E64" i="3"/>
  <c r="E160" i="3"/>
  <c r="E267" i="3"/>
  <c r="E310" i="3"/>
  <c r="E23" i="3"/>
  <c r="E84" i="3"/>
  <c r="E184" i="3"/>
  <c r="E233" i="3"/>
  <c r="E68" i="3"/>
  <c r="E264" i="3"/>
  <c r="E309" i="3"/>
  <c r="E21" i="3"/>
  <c r="E332" i="3"/>
  <c r="E391" i="3"/>
  <c r="AL6" i="3"/>
  <c r="E18" i="3"/>
  <c r="E129" i="3"/>
  <c r="E235" i="3"/>
  <c r="E86" i="3"/>
  <c r="E206" i="3"/>
  <c r="E251"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E240" i="3"/>
  <c r="E487" i="3"/>
  <c r="E219" i="3"/>
  <c r="W40" i="40"/>
  <c r="AC40" i="40"/>
  <c r="AC12" i="21"/>
  <c r="W12" i="21"/>
  <c r="AB12" i="21"/>
  <c r="U12" i="21"/>
  <c r="AA27" i="34"/>
  <c r="S27" i="34"/>
  <c r="AC26" i="37"/>
  <c r="W26" i="37"/>
  <c r="BL5" i="3"/>
  <c r="B15" i="71"/>
  <c r="B14" i="71"/>
  <c r="B13" i="71"/>
  <c r="B12" i="71"/>
  <c r="S16" i="71"/>
  <c r="F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56" i="39"/>
  <c r="H7" i="34"/>
  <c r="AB7" i="34"/>
  <c r="T49" i="34"/>
  <c r="G49" i="34"/>
  <c r="E67" i="39"/>
  <c r="E69" i="39"/>
  <c r="J7" i="34"/>
  <c r="W7" i="34"/>
  <c r="F7" i="34"/>
  <c r="S7" i="34"/>
  <c r="AA26" i="35"/>
  <c r="S26" i="35"/>
  <c r="AC26" i="35"/>
  <c r="W26" i="35"/>
  <c r="AB26" i="35"/>
  <c r="U26" i="35"/>
  <c r="E56" i="40"/>
  <c r="C9" i="69"/>
  <c r="C9" i="68"/>
  <c r="E72" i="43"/>
  <c r="B70" i="43"/>
  <c r="E60" i="40"/>
  <c r="E51" i="40"/>
  <c r="E62" i="39"/>
  <c r="M14" i="1"/>
  <c r="D5" i="43"/>
  <c r="C7" i="43"/>
  <c r="C5" i="43"/>
  <c r="D10" i="52"/>
  <c r="D125" i="9"/>
  <c r="D11" i="52"/>
  <c r="B7" i="74"/>
  <c r="C7" i="74"/>
  <c r="F67" i="39"/>
  <c r="F59" i="67"/>
  <c r="H7" i="37"/>
  <c r="AB7" i="37"/>
  <c r="T42" i="37"/>
  <c r="G42" i="37"/>
  <c r="H7" i="33"/>
  <c r="J7" i="33"/>
  <c r="D65" i="40"/>
  <c r="E63" i="40"/>
  <c r="F48" i="35"/>
  <c r="S7" i="36"/>
  <c r="AA7" i="36"/>
  <c r="R36" i="36"/>
  <c r="AC7" i="37"/>
  <c r="W7" i="37"/>
  <c r="U7" i="36"/>
  <c r="F7" i="33"/>
  <c r="E58" i="21"/>
  <c r="AC7" i="36"/>
  <c r="V36" i="36"/>
  <c r="I36" i="36"/>
  <c r="W7" i="36"/>
  <c r="F7" i="37"/>
  <c r="M17" i="67"/>
  <c r="M17" i="15"/>
  <c r="F59" i="15"/>
  <c r="P28" i="43"/>
  <c r="B66" i="40"/>
  <c r="P25" i="43"/>
  <c r="P29" i="43"/>
  <c r="P27" i="43"/>
  <c r="B70" i="39"/>
  <c r="M11" i="67"/>
  <c r="J10" i="67"/>
  <c r="F11" i="15"/>
  <c r="M11" i="15"/>
  <c r="J10" i="15"/>
  <c r="F11" i="67"/>
  <c r="Q60" i="15"/>
  <c r="AE11" i="1"/>
  <c r="AE9" i="1"/>
  <c r="AE8" i="1"/>
  <c r="AE12" i="1"/>
  <c r="AE10" i="1"/>
  <c r="AE7" i="1"/>
  <c r="C16" i="15"/>
  <c r="G1" i="73"/>
  <c r="C16" i="67"/>
  <c r="AE6" i="1"/>
  <c r="F27" i="69"/>
  <c r="C36" i="69"/>
  <c r="C47" i="69"/>
  <c r="D45" i="69"/>
  <c r="C49" i="67"/>
  <c r="C49" i="15"/>
  <c r="Q52" i="15"/>
  <c r="F1" i="15"/>
  <c r="Q61" i="15"/>
  <c r="J5" i="67"/>
  <c r="J24" i="67"/>
  <c r="Q73" i="67"/>
  <c r="Q52" i="67"/>
  <c r="Q74" i="67"/>
  <c r="J18" i="15"/>
  <c r="J5" i="15"/>
  <c r="J24" i="15"/>
  <c r="H6" i="3"/>
  <c r="AF6" i="3"/>
  <c r="E522" i="3"/>
  <c r="E482" i="3"/>
  <c r="E494" i="3"/>
  <c r="E63" i="3"/>
  <c r="E144" i="3"/>
  <c r="E300" i="3"/>
  <c r="E467" i="3"/>
  <c r="E389" i="3"/>
  <c r="E95" i="3"/>
  <c r="E554" i="3"/>
  <c r="E286" i="3"/>
  <c r="C48" i="11"/>
  <c r="C30" i="11"/>
  <c r="F48" i="68"/>
  <c r="C48" i="68"/>
  <c r="C30" i="68"/>
  <c r="C32" i="15"/>
  <c r="F48" i="69"/>
  <c r="C48" i="69"/>
  <c r="C30" i="69"/>
  <c r="D26" i="43"/>
  <c r="C25" i="43"/>
  <c r="E276" i="3"/>
  <c r="E108" i="3"/>
  <c r="E401" i="3"/>
  <c r="AH6" i="3"/>
  <c r="E422" i="3"/>
  <c r="E543" i="3"/>
  <c r="E105" i="3"/>
  <c r="E16" i="3"/>
  <c r="E158" i="3"/>
  <c r="E49" i="3"/>
  <c r="E220" i="3"/>
  <c r="E428" i="3"/>
  <c r="E115" i="3"/>
  <c r="E420" i="3"/>
  <c r="E497" i="3"/>
  <c r="E408" i="3"/>
  <c r="E405" i="3"/>
  <c r="E173" i="3"/>
  <c r="E22" i="3"/>
  <c r="E102" i="3"/>
  <c r="E34" i="3"/>
  <c r="E174" i="3"/>
  <c r="E75" i="3"/>
  <c r="E198" i="3"/>
  <c r="E283" i="3"/>
  <c r="E381" i="3"/>
  <c r="E67" i="3"/>
  <c r="E371" i="3"/>
  <c r="E103" i="3"/>
  <c r="E409" i="3"/>
  <c r="E349" i="3"/>
  <c r="E192" i="3"/>
  <c r="E435" i="3"/>
  <c r="E430" i="3"/>
  <c r="E212" i="3"/>
  <c r="F45" i="69"/>
  <c r="E383" i="3"/>
  <c r="E96" i="3"/>
  <c r="E42" i="3"/>
  <c r="E281" i="3"/>
  <c r="E513" i="3"/>
  <c r="E81" i="3"/>
  <c r="E355" i="3"/>
  <c r="E33" i="3"/>
  <c r="E492" i="3"/>
  <c r="E249" i="3"/>
  <c r="E46" i="3"/>
  <c r="E484" i="3"/>
  <c r="E544" i="3"/>
  <c r="E292" i="3"/>
  <c r="E152" i="3"/>
  <c r="E417" i="3"/>
  <c r="E255" i="3"/>
  <c r="E502" i="3"/>
  <c r="E536" i="3"/>
  <c r="AP6" i="3"/>
  <c r="AC6" i="3"/>
  <c r="E6" i="3"/>
  <c r="F27" i="11"/>
  <c r="C29" i="11"/>
  <c r="D27" i="11"/>
  <c r="F28" i="12"/>
  <c r="C29" i="12"/>
  <c r="D28" i="12"/>
  <c r="E16" i="6"/>
  <c r="E61" i="39"/>
  <c r="F27" i="68"/>
  <c r="C47" i="68"/>
  <c r="D45" i="68"/>
  <c r="C29" i="69"/>
  <c r="D27" i="69"/>
  <c r="E63" i="39"/>
  <c r="E59" i="40"/>
  <c r="E37" i="3"/>
  <c r="E491" i="3"/>
  <c r="E466" i="3"/>
  <c r="E575" i="3"/>
  <c r="E539" i="3"/>
  <c r="I3" i="6"/>
  <c r="E541" i="3"/>
  <c r="R6" i="3"/>
  <c r="E199" i="3"/>
  <c r="AA10" i="39"/>
  <c r="F10" i="40"/>
  <c r="S10" i="40"/>
  <c r="H10" i="39"/>
  <c r="U10" i="39"/>
  <c r="H10" i="40"/>
  <c r="AB10" i="40"/>
  <c r="J10" i="40"/>
  <c r="AC10" i="40"/>
  <c r="J10" i="39"/>
  <c r="W10" i="39"/>
  <c r="AY176" i="3"/>
  <c r="D3" i="21"/>
  <c r="O65" i="71"/>
  <c r="D66" i="71"/>
  <c r="O66" i="71"/>
  <c r="T40" i="71"/>
  <c r="D40" i="71"/>
  <c r="T52" i="71"/>
  <c r="D52" i="71"/>
  <c r="D22" i="71"/>
  <c r="C21" i="71"/>
  <c r="E30" i="6"/>
  <c r="E31" i="6"/>
  <c r="D56" i="71"/>
  <c r="T56" i="71"/>
  <c r="F30" i="6"/>
  <c r="F31" i="6"/>
  <c r="B40" i="1"/>
  <c r="V42" i="37"/>
  <c r="I42" i="37"/>
  <c r="B11" i="71"/>
  <c r="B10" i="71"/>
  <c r="B9" i="71"/>
  <c r="B8" i="71"/>
  <c r="B7" i="71"/>
  <c r="B6" i="71"/>
  <c r="B5" i="71"/>
  <c r="S12" i="71"/>
  <c r="E11" i="71"/>
  <c r="E10" i="71"/>
  <c r="E9" i="71"/>
  <c r="E8" i="71"/>
  <c r="E7" i="71"/>
  <c r="E6" i="71"/>
  <c r="E5" i="71"/>
  <c r="V12"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6" i="69"/>
  <c r="C7" i="69"/>
  <c r="C41" i="43"/>
  <c r="K21" i="6"/>
  <c r="S8" i="1"/>
  <c r="E8" i="70"/>
  <c r="K25" i="6"/>
  <c r="K20" i="6"/>
  <c r="K23" i="6"/>
  <c r="K22" i="6"/>
  <c r="K24" i="6"/>
  <c r="K19" i="6"/>
  <c r="S6" i="1"/>
  <c r="O14" i="1"/>
  <c r="O16" i="1"/>
  <c r="M16" i="1"/>
  <c r="AY188" i="3"/>
  <c r="AY335" i="3"/>
  <c r="AY209" i="3"/>
  <c r="AY260" i="3"/>
  <c r="AY549" i="3"/>
  <c r="AY44" i="3"/>
  <c r="AY283" i="3"/>
  <c r="AY360" i="3"/>
  <c r="AY295" i="3"/>
  <c r="AY475" i="3"/>
  <c r="AY534" i="3"/>
  <c r="AY387" i="3"/>
  <c r="AY562" i="3"/>
  <c r="AY302" i="3"/>
  <c r="AY279" i="3"/>
  <c r="BN6" i="3"/>
  <c r="AY31" i="3"/>
  <c r="AY478" i="3"/>
  <c r="AY173" i="3"/>
  <c r="AY29" i="3"/>
  <c r="AY419"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14" i="12"/>
  <c r="M20" i="6"/>
  <c r="I20" i="6"/>
  <c r="L18" i="9"/>
  <c r="C39" i="43"/>
  <c r="C42" i="43"/>
  <c r="E42" i="43"/>
  <c r="C38" i="43"/>
  <c r="W10" i="40"/>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10" i="67"/>
  <c r="C5" i="67"/>
  <c r="C38" i="67"/>
  <c r="C53" i="15"/>
  <c r="C10" i="15"/>
  <c r="C5" i="15"/>
  <c r="C38" i="15"/>
  <c r="F41" i="67"/>
  <c r="F41" i="15"/>
  <c r="M27" i="15"/>
  <c r="M27" i="67"/>
  <c r="F69" i="67"/>
  <c r="C48" i="15"/>
  <c r="C66" i="15"/>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80" i="3"/>
  <c r="AY507" i="3"/>
  <c r="AY20" i="3"/>
  <c r="AY212" i="3"/>
  <c r="AY49" i="3"/>
  <c r="AY435" i="3"/>
  <c r="AY40" i="3"/>
  <c r="AY146" i="3"/>
  <c r="AY481" i="3"/>
  <c r="AY90" i="3"/>
  <c r="BQ6" i="3"/>
  <c r="AY348" i="3"/>
  <c r="AY166" i="3"/>
  <c r="AY397" i="3"/>
  <c r="AY133" i="3"/>
  <c r="AY61" i="3"/>
  <c r="AY420" i="3"/>
  <c r="AY26" i="3"/>
  <c r="AY261" i="3"/>
  <c r="AY225" i="3"/>
  <c r="AY115"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341"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25" i="6"/>
  <c r="AY579" i="3"/>
  <c r="AY410" i="3"/>
  <c r="AY453" i="3"/>
  <c r="AY487" i="3"/>
  <c r="AY313" i="3"/>
  <c r="AY369" i="3"/>
  <c r="AY266" i="3"/>
  <c r="AY129" i="3"/>
  <c r="AY189" i="3"/>
  <c r="AY80" i="3"/>
  <c r="AY519" i="3"/>
  <c r="AY584" i="3"/>
  <c r="AY536" i="3"/>
  <c r="AY275" i="3"/>
  <c r="AY286" i="3"/>
  <c r="AY573" i="3"/>
  <c r="AY350" i="3"/>
  <c r="AY508" i="3"/>
  <c r="AY356" i="3"/>
  <c r="AY222" i="3"/>
  <c r="AY89" i="3"/>
  <c r="AY425" i="3"/>
  <c r="AY495" i="3"/>
  <c r="AY462" i="3"/>
  <c r="AY242" i="3"/>
  <c r="AY109" i="3"/>
  <c r="AY247" i="3"/>
  <c r="AY190" i="3"/>
  <c r="AY533" i="3"/>
  <c r="AY372" i="3"/>
  <c r="AY473" i="3"/>
  <c r="AY50" i="3"/>
  <c r="AY276" i="3"/>
  <c r="AY66" i="3"/>
  <c r="C48" i="67"/>
  <c r="C66" i="67"/>
  <c r="L36" i="43"/>
  <c r="L37" i="43"/>
  <c r="P37" i="43"/>
  <c r="AB10" i="39"/>
  <c r="F45" i="68"/>
  <c r="C29" i="68"/>
  <c r="D27" i="68"/>
  <c r="AA10" i="40"/>
  <c r="E65" i="39"/>
  <c r="D3" i="37"/>
  <c r="D37" i="11"/>
  <c r="D3" i="33"/>
  <c r="D3" i="34"/>
  <c r="E6" i="6"/>
  <c r="D19" i="11"/>
  <c r="C19" i="11"/>
  <c r="C17" i="4"/>
  <c r="B4" i="52"/>
  <c r="B43" i="72"/>
  <c r="B1" i="74"/>
  <c r="U10" i="40"/>
  <c r="F25" i="12"/>
  <c r="C26" i="12"/>
  <c r="D25" i="12"/>
  <c r="AC10" i="39"/>
  <c r="D21" i="71"/>
  <c r="C20" i="71"/>
  <c r="D116" i="43"/>
  <c r="F22" i="68"/>
  <c r="C44" i="68"/>
  <c r="D41" i="68"/>
  <c r="F22" i="11"/>
  <c r="C23" i="11"/>
  <c r="F24" i="67"/>
  <c r="C24" i="67"/>
  <c r="F24" i="15"/>
  <c r="C24" i="15"/>
  <c r="F22" i="69"/>
  <c r="F41" i="69"/>
  <c r="E49" i="34"/>
  <c r="M21" i="6"/>
  <c r="I21" i="6"/>
  <c r="S21" i="6"/>
  <c r="E6" i="70"/>
  <c r="C34" i="43"/>
  <c r="E34" i="43"/>
  <c r="F69" i="15"/>
  <c r="E33" i="43"/>
  <c r="M24" i="6"/>
  <c r="I24" i="6"/>
  <c r="S24" i="6"/>
  <c r="S11" i="1"/>
  <c r="E11" i="70"/>
  <c r="M22" i="6"/>
  <c r="I22" i="6"/>
  <c r="S22" i="6"/>
  <c r="S9" i="1"/>
  <c r="AQ8" i="1"/>
  <c r="T8" i="1"/>
  <c r="AR8" i="1"/>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1" i="6"/>
  <c r="D26" i="6"/>
  <c r="D9" i="6"/>
  <c r="H24" i="6"/>
  <c r="D5" i="6"/>
  <c r="D28"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D10" i="68"/>
  <c r="D10" i="69"/>
  <c r="C17" i="67"/>
  <c r="C17" i="15"/>
  <c r="C34" i="69"/>
  <c r="C14" i="67"/>
  <c r="C60" i="67"/>
  <c r="D13" i="6"/>
  <c r="D23" i="6"/>
  <c r="H21" i="6"/>
  <c r="D6" i="6"/>
  <c r="H26" i="6"/>
  <c r="D11" i="6"/>
  <c r="D15" i="6"/>
  <c r="D22" i="6"/>
  <c r="H22" i="6"/>
  <c r="R22" i="6"/>
  <c r="R9" i="1"/>
  <c r="C18" i="4"/>
  <c r="D29" i="6"/>
  <c r="D14" i="6"/>
  <c r="B2" i="74"/>
  <c r="D7" i="74"/>
  <c r="E61" i="40"/>
  <c r="D12" i="6"/>
  <c r="D19" i="6"/>
  <c r="D10" i="6"/>
  <c r="D8" i="6"/>
  <c r="D16" i="6"/>
  <c r="D24" i="6"/>
  <c r="O37" i="43"/>
  <c r="P36" i="43"/>
  <c r="O36" i="43"/>
  <c r="Q37" i="43"/>
  <c r="M36" i="43"/>
  <c r="M37" i="43"/>
  <c r="N36" i="43"/>
  <c r="N37" i="43"/>
  <c r="Q36" i="43"/>
  <c r="D30" i="6"/>
  <c r="H25" i="6"/>
  <c r="C44" i="11"/>
  <c r="D41" i="11"/>
  <c r="C26" i="11"/>
  <c r="D22" i="11"/>
  <c r="D20" i="71"/>
  <c r="U20" i="71"/>
  <c r="T20" i="71"/>
  <c r="C19" i="71"/>
  <c r="C26" i="68"/>
  <c r="D22" i="68"/>
  <c r="F41" i="68"/>
  <c r="C23" i="68"/>
  <c r="C25" i="11"/>
  <c r="C24" i="11"/>
  <c r="C44" i="69"/>
  <c r="D41" i="69"/>
  <c r="C26" i="69"/>
  <c r="D22" i="69"/>
  <c r="C18" i="67"/>
  <c r="C15" i="67"/>
  <c r="H23" i="6"/>
  <c r="R23" i="6"/>
  <c r="R10" i="1"/>
  <c r="C30" i="43"/>
  <c r="B2" i="43"/>
  <c r="B3" i="43"/>
  <c r="C31" i="43"/>
  <c r="H20" i="6"/>
  <c r="C38" i="69"/>
  <c r="C35" i="69"/>
  <c r="E12" i="70"/>
  <c r="F34" i="11"/>
  <c r="F11" i="12"/>
  <c r="S16" i="1"/>
  <c r="E9" i="70"/>
  <c r="E2" i="70"/>
  <c r="AR9" i="1"/>
  <c r="AQ9" i="1"/>
  <c r="T9" i="1"/>
  <c r="AQ11" i="1"/>
  <c r="AR11" i="1"/>
  <c r="T11" i="1"/>
  <c r="AR12" i="1"/>
  <c r="T12" i="1"/>
  <c r="AQ12" i="1"/>
  <c r="AQ10" i="1"/>
  <c r="T10" i="1"/>
  <c r="AR10" i="1"/>
  <c r="AR7" i="1"/>
  <c r="AQ7" i="1"/>
  <c r="T7" i="1"/>
  <c r="M27" i="6"/>
  <c r="I19" i="6"/>
  <c r="R26" i="6"/>
  <c r="R24" i="6"/>
  <c r="R11" i="1"/>
  <c r="C15" i="12"/>
  <c r="C12" i="12"/>
  <c r="D27" i="6"/>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R20" i="6"/>
  <c r="R7" i="1"/>
  <c r="L19" i="9"/>
  <c r="D31" i="6"/>
  <c r="I6" i="6"/>
  <c r="C18" i="71"/>
  <c r="D19" i="71"/>
  <c r="C22" i="11"/>
  <c r="C31" i="11"/>
  <c r="C19"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C23" i="69"/>
  <c r="E2" i="76"/>
  <c r="B2" i="76"/>
  <c r="I69" i="39"/>
  <c r="J67" i="39"/>
  <c r="I63" i="40"/>
  <c r="H65" i="40"/>
  <c r="I58" i="21"/>
  <c r="J58" i="21"/>
  <c r="K58" i="21"/>
  <c r="L58" i="21"/>
  <c r="M58" i="21"/>
  <c r="N58" i="21"/>
  <c r="O58" i="21"/>
  <c r="H7" i="21"/>
  <c r="J48" i="35"/>
  <c r="C20" i="67"/>
  <c r="C26" i="67"/>
  <c r="C17" i="71"/>
  <c r="D18" i="71"/>
  <c r="F7" i="21"/>
  <c r="S7" i="21"/>
  <c r="J7" i="21"/>
  <c r="AC7" i="21"/>
  <c r="V48" i="21"/>
  <c r="I48" i="21"/>
  <c r="C19" i="15"/>
  <c r="C33"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I91" i="9"/>
  <c r="C88" i="9"/>
  <c r="C89" i="9"/>
  <c r="C87" i="9"/>
  <c r="C23" i="67"/>
  <c r="C29" i="67"/>
  <c r="J59" i="67"/>
  <c r="J60" i="67"/>
  <c r="Q48" i="67"/>
  <c r="C39" i="68"/>
  <c r="C46" i="68"/>
  <c r="C45" i="68"/>
  <c r="C91" i="9"/>
  <c r="C20" i="15"/>
  <c r="C26" i="15"/>
  <c r="C16" i="71"/>
  <c r="D17" i="71"/>
  <c r="W7" i="21"/>
  <c r="AA7" i="21"/>
  <c r="R48" i="21"/>
  <c r="R49" i="21"/>
  <c r="J7" i="35"/>
  <c r="W7" i="35"/>
  <c r="C33" i="11"/>
  <c r="C39" i="11"/>
  <c r="C61" i="67"/>
  <c r="C42" i="68"/>
  <c r="C32" i="12"/>
  <c r="B2" i="12"/>
  <c r="B3" i="12"/>
  <c r="C41" i="69"/>
  <c r="R27" i="6"/>
  <c r="R6" i="1"/>
  <c r="C46" i="69"/>
  <c r="C45" i="69"/>
  <c r="C25" i="69"/>
  <c r="C22" i="69"/>
  <c r="C31" i="69"/>
  <c r="C25" i="68"/>
  <c r="C22" i="68"/>
  <c r="C31" i="68"/>
  <c r="L67" i="39"/>
  <c r="K69" i="39"/>
  <c r="J65" i="40"/>
  <c r="K63" i="40"/>
  <c r="I52" i="21"/>
  <c r="J52" i="21"/>
  <c r="U7" i="35"/>
  <c r="AB7" i="35"/>
  <c r="T38" i="35"/>
  <c r="G38" i="35"/>
  <c r="E48" i="21"/>
  <c r="G52" i="21"/>
  <c r="H52" i="21"/>
  <c r="G53" i="21"/>
  <c r="H53" i="21"/>
  <c r="F7" i="35"/>
  <c r="F35" i="15"/>
  <c r="F35" i="67"/>
  <c r="M21" i="15"/>
  <c r="M21" i="67"/>
  <c r="J14" i="67"/>
  <c r="J13" i="67"/>
  <c r="J23" i="67"/>
  <c r="Q49" i="67"/>
  <c r="C43" i="68"/>
  <c r="C41" i="68"/>
  <c r="C49" i="68"/>
  <c r="C51" i="68"/>
  <c r="C52" i="68"/>
  <c r="B2" i="68"/>
  <c r="B3" i="68"/>
  <c r="C13" i="67"/>
  <c r="Q70" i="67"/>
  <c r="C57" i="67"/>
  <c r="C64" i="67"/>
  <c r="C36" i="67"/>
  <c r="C23" i="15"/>
  <c r="C29" i="15"/>
  <c r="C36" i="15"/>
  <c r="C92" i="9"/>
  <c r="C94" i="9"/>
  <c r="T16" i="71"/>
  <c r="D16" i="71"/>
  <c r="U16" i="71"/>
  <c r="C15" i="71"/>
  <c r="AC7" i="35"/>
  <c r="V38" i="35"/>
  <c r="I38" i="35"/>
  <c r="G43" i="35"/>
  <c r="H43" i="35"/>
  <c r="J22" i="67"/>
  <c r="C46" i="11"/>
  <c r="C45" i="11"/>
  <c r="C43" i="11"/>
  <c r="C42" i="11"/>
  <c r="C34" i="67"/>
  <c r="C31" i="67"/>
  <c r="F63" i="67"/>
  <c r="C62" i="67"/>
  <c r="C59" i="67"/>
  <c r="J20" i="67"/>
  <c r="J17" i="67"/>
  <c r="J19" i="15"/>
  <c r="F63" i="15"/>
  <c r="C62" i="15"/>
  <c r="C34" i="15"/>
  <c r="J20" i="15"/>
  <c r="R16" i="1"/>
  <c r="C49" i="69"/>
  <c r="C51" i="69"/>
  <c r="C52" i="69"/>
  <c r="B2" i="69"/>
  <c r="L69" i="39"/>
  <c r="M67" i="39"/>
  <c r="S7" i="35"/>
  <c r="AA7" i="35"/>
  <c r="R38" i="35"/>
  <c r="C49" i="21"/>
  <c r="C48" i="21"/>
  <c r="E52" i="21"/>
  <c r="F52" i="21"/>
  <c r="E53" i="21"/>
  <c r="F53" i="21"/>
  <c r="G42" i="35"/>
  <c r="H42" i="35"/>
  <c r="I53" i="21"/>
  <c r="J53" i="21"/>
  <c r="K65" i="40"/>
  <c r="L63" i="40"/>
  <c r="C19" i="9"/>
  <c r="C75" i="67"/>
  <c r="C37" i="67"/>
  <c r="C13" i="15"/>
  <c r="Q70" i="15"/>
  <c r="C56" i="67"/>
  <c r="C65" i="67"/>
  <c r="C58" i="67"/>
  <c r="C67" i="67"/>
  <c r="C68" i="67"/>
  <c r="C71" i="67"/>
  <c r="J14" i="15"/>
  <c r="J13" i="15"/>
  <c r="J23" i="15"/>
  <c r="C57" i="15"/>
  <c r="Q49" i="15"/>
  <c r="J59" i="15"/>
  <c r="J60" i="15"/>
  <c r="Q48" i="15"/>
  <c r="C102" i="9"/>
  <c r="C21" i="9"/>
  <c r="I42" i="35"/>
  <c r="J42" i="35"/>
  <c r="C14" i="71"/>
  <c r="D15" i="71"/>
  <c r="J16" i="67"/>
  <c r="J25" i="67"/>
  <c r="J26" i="67"/>
  <c r="J29" i="67"/>
  <c r="C30" i="67"/>
  <c r="C39" i="67"/>
  <c r="Q69" i="67"/>
  <c r="Q68" i="67"/>
  <c r="C41" i="11"/>
  <c r="C49" i="11"/>
  <c r="C51" i="11"/>
  <c r="C52" i="11"/>
  <c r="B2" i="11"/>
  <c r="B3" i="11"/>
  <c r="C61" i="15"/>
  <c r="C59" i="15"/>
  <c r="C64" i="15"/>
  <c r="C37" i="15"/>
  <c r="J17" i="15"/>
  <c r="C31" i="15"/>
  <c r="C57" i="69"/>
  <c r="C56" i="69"/>
  <c r="C57" i="68"/>
  <c r="C56" i="68"/>
  <c r="M69" i="39"/>
  <c r="N67" i="39"/>
  <c r="R39" i="35"/>
  <c r="E38" i="35"/>
  <c r="M63" i="40"/>
  <c r="L65" i="40"/>
  <c r="D2" i="21"/>
  <c r="B3" i="69"/>
  <c r="C20" i="9"/>
  <c r="C75" i="15"/>
  <c r="C56" i="15"/>
  <c r="C65" i="15"/>
  <c r="J22" i="15"/>
  <c r="J16" i="15"/>
  <c r="J25" i="15"/>
  <c r="J26" i="15"/>
  <c r="J29" i="15"/>
  <c r="C103" i="9"/>
  <c r="D14" i="71"/>
  <c r="C13" i="71"/>
  <c r="C80" i="67"/>
  <c r="C79" i="67"/>
  <c r="C40" i="67"/>
  <c r="C45" i="67"/>
  <c r="C56" i="11"/>
  <c r="C57" i="11"/>
  <c r="B2" i="21"/>
  <c r="B3" i="21"/>
  <c r="C58" i="15"/>
  <c r="C67" i="15"/>
  <c r="C68" i="15"/>
  <c r="C71" i="15"/>
  <c r="C30" i="15"/>
  <c r="C39" i="15"/>
  <c r="Q69" i="15"/>
  <c r="Q68" i="15"/>
  <c r="O67" i="39"/>
  <c r="O69" i="39"/>
  <c r="N69" i="39"/>
  <c r="F7" i="39"/>
  <c r="C39" i="35"/>
  <c r="C38" i="35"/>
  <c r="N63" i="40"/>
  <c r="M65" i="40"/>
  <c r="E43" i="35"/>
  <c r="F43" i="35"/>
  <c r="E42" i="35"/>
  <c r="F42" i="35"/>
  <c r="I43" i="35"/>
  <c r="J43" i="35"/>
  <c r="D2" i="33"/>
  <c r="L51" i="67"/>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19" i="9"/>
  <c r="L51" i="15"/>
  <c r="D2" i="37"/>
  <c r="D2" i="35"/>
  <c r="D2" i="36"/>
  <c r="D102" i="9"/>
  <c r="D21" i="9"/>
  <c r="G19" i="9"/>
  <c r="G21" i="9"/>
  <c r="D22" i="9"/>
  <c r="D12" i="71"/>
  <c r="U12" i="71"/>
  <c r="C11" i="71"/>
  <c r="T12"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2" i="1"/>
  <c r="AO7" i="1"/>
  <c r="AO8" i="1"/>
  <c r="D20" i="9"/>
  <c r="AO6" i="1"/>
  <c r="AO9" i="1"/>
  <c r="AO10" i="1"/>
  <c r="AO11" i="1"/>
  <c r="D103" i="9"/>
  <c r="G20" i="9"/>
  <c r="C32" i="9"/>
  <c r="C10" i="71"/>
  <c r="D11"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D10" i="71"/>
  <c r="C9"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G118" i="9"/>
  <c r="G4" i="52"/>
  <c r="B52" i="72"/>
  <c r="I118" i="9"/>
  <c r="H102" i="9"/>
  <c r="D7" i="53"/>
  <c r="B21" i="72"/>
  <c r="H118" i="9"/>
  <c r="D14" i="74"/>
  <c r="G14" i="74"/>
  <c r="J14" i="74"/>
  <c r="C105" i="9"/>
  <c r="F118" i="9"/>
  <c r="I4" i="52"/>
  <c r="E118" i="9"/>
  <c r="E14" i="74"/>
  <c r="F14" i="74"/>
  <c r="H4" i="52"/>
  <c r="H101" i="9"/>
  <c r="C104" i="9"/>
  <c r="H119" i="9"/>
  <c r="H5" i="52"/>
  <c r="E4" i="52"/>
  <c r="B48" i="72"/>
  <c r="D118" i="9"/>
  <c r="F4" i="52"/>
  <c r="B51" i="72"/>
  <c r="F119" i="9"/>
  <c r="F5" i="52"/>
  <c r="B53" i="72"/>
  <c r="D5" i="53"/>
  <c r="H107" i="9"/>
  <c r="D45" i="9"/>
  <c r="M48" i="9"/>
  <c r="D4" i="52"/>
  <c r="B47" i="72"/>
  <c r="D119" i="9"/>
  <c r="D5" i="52"/>
  <c r="B49" i="72"/>
  <c r="D13" i="53"/>
  <c r="M49" i="9"/>
  <c r="D122" i="9"/>
  <c r="H108" i="9"/>
  <c r="D53" i="9"/>
  <c r="D48" i="9"/>
  <c r="M52" i="9"/>
  <c r="C72" i="9"/>
  <c r="D52" i="9"/>
  <c r="C93" i="9"/>
  <c r="C86" i="9"/>
  <c r="C78" i="9"/>
  <c r="C73" i="9"/>
  <c r="D55" i="9"/>
  <c r="M53" i="9"/>
  <c r="C85" i="9"/>
  <c r="C64" i="9"/>
  <c r="C63" i="9"/>
  <c r="C67" i="9"/>
  <c r="B20" i="72"/>
  <c r="D6" i="53"/>
  <c r="B22" i="72"/>
  <c r="C95" i="9"/>
  <c r="C79" i="9"/>
  <c r="C80" i="9"/>
  <c r="E80" i="9"/>
  <c r="E81" i="9"/>
  <c r="D59" i="9"/>
  <c r="M55" i="9"/>
  <c r="C68" i="9"/>
  <c r="D54" i="9"/>
  <c r="D15" i="53"/>
  <c r="B31" i="72"/>
  <c r="C96" i="9"/>
  <c r="E96" i="9"/>
  <c r="E97" i="9"/>
  <c r="D8" i="52"/>
  <c r="D123" i="9"/>
  <c r="D9" i="52"/>
  <c r="L68" i="9"/>
  <c r="M68" i="9"/>
  <c r="L65" i="9"/>
  <c r="M65" i="9"/>
  <c r="L66" i="9"/>
  <c r="M66" i="9"/>
  <c r="L67" i="9"/>
  <c r="M67" i="9"/>
  <c r="L64" i="9"/>
  <c r="M64" i="9"/>
  <c r="L63" i="9"/>
  <c r="M63" i="9"/>
  <c r="B30" i="72"/>
  <c r="D14" i="53"/>
  <c r="B32" i="72"/>
  <c r="C81" i="9"/>
  <c r="M69" i="9"/>
  <c r="N69" i="9"/>
  <c r="C97" i="9"/>
  <c r="D58" i="9"/>
  <c r="D56" i="9"/>
  <c r="M54" i="9"/>
  <c r="N57" i="9"/>
  <c r="N58" i="9"/>
  <c r="P57" i="9"/>
  <c r="N59" i="9"/>
  <c r="N61" i="9"/>
  <c r="H112" i="9"/>
  <c r="H111" i="9"/>
  <c r="J111" i="9"/>
  <c r="N60" i="9"/>
  <c r="I14" i="74"/>
  <c r="D19" i="53"/>
  <c r="D126" i="9"/>
  <c r="D21" i="53"/>
  <c r="B39" i="72"/>
  <c r="D12" i="52"/>
  <c r="D127" i="9"/>
  <c r="D13" i="52"/>
  <c r="B38" i="72"/>
  <c r="D20" i="53"/>
  <c r="B40" i="72"/>
  <c r="F15" i="74"/>
  <c r="E15" i="74"/>
  <c r="B5" i="74"/>
  <c r="B6" i="74"/>
  <c r="E6" i="74"/>
  <c r="D5" i="74"/>
  <c r="C5" i="74"/>
  <c r="C6" i="74"/>
  <c r="D6" i="74"/>
  <c r="B8" i="74"/>
  <c r="E8" i="74"/>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<sst xmlns="http://schemas.openxmlformats.org/spreadsheetml/2006/main" count="7892" uniqueCount="3462">
  <si>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</si>
  <si>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</si>
  <si>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</si>
  <si>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</si>
  <si>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</si>
  <si>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</si>
  <si>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</si>
  <si>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</si>
  <si>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</si>
  <si>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</si>
  <si>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</si>
  <si>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</si>
  <si>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</si>
  <si>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</si>
  <si>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</si>
  <si>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</si>
  <si>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</si>
  <si>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</si>
  <si>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</si>
  <si>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</si>
  <si>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</si>
  <si>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</si>
  <si>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</si>
  <si>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</si>
  <si>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</si>
  <si>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</si>
  <si>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</si>
  <si>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</si>
  <si>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</si>
  <si>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</si>
  <si>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</si>
  <si>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</si>
  <si>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</si>
  <si>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</si>
  <si>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</si>
  <si>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</si>
  <si>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</si>
  <si>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</si>
  <si>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</si>
  <si>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</si>
  <si>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</si>
  <si>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</si>
  <si>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</si>
  <si>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</si>
  <si>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</si>
  <si>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</si>
  <si>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</si>
  <si>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</si>
  <si>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</si>
  <si>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</si>
  <si>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</si>
  <si>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</si>
  <si>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</si>
  <si>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</si>
  <si>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</si>
  <si>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</si>
  <si>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</si>
  <si>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</si>
  <si>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</si>
  <si>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</si>
  <si>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</si>
  <si>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</si>
  <si>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</si>
  <si>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</si>
  <si>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</si>
  <si>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</si>
  <si>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</si>
  <si>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</si>
  <si>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</si>
  <si>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</si>
  <si>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</si>
  <si>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</si>
  <si>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</si>
  <si>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</si>
  <si>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</si>
  <si>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</si>
  <si>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</si>
  <si>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</si>
  <si>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</si>
  <si>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</si>
  <si>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</si>
  <si>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</si>
  <si>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</si>
  <si>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</si>
  <si>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</si>
  <si>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</si>
  <si>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</si>
  <si>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</si>
  <si>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</si>
  <si>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</si>
  <si>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</si>
  <si>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</si>
  <si>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</si>
  <si>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</si>
  <si>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</si>
  <si>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</si>
  <si>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</si>
  <si>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</si>
  <si>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</si>
  <si>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</si>
  <si>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</si>
  <si>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</si>
  <si>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</si>
  <si>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</si>
  <si>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</si>
  <si>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</si>
  <si>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</si>
  <si>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</si>
  <si>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</si>
  <si>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</si>
  <si>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</si>
  <si>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</si>
  <si>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</si>
  <si>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</si>
  <si>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</si>
  <si>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</si>
  <si>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</si>
  <si>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</si>
  <si>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</si>
  <si>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</si>
  <si>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</si>
  <si>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</si>
  <si>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</si>
  <si>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</si>
  <si>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</si>
  <si>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</si>
  <si>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</si>
  <si>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</si>
  <si>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</si>
  <si>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</si>
  <si>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</si>
  <si>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</si>
  <si>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</si>
  <si>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</si>
  <si>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</si>
  <si>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</si>
  <si>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</si>
  <si>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</si>
  <si>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</si>
  <si>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</si>
  <si>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</si>
  <si>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</si>
  <si>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</si>
  <si>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</si>
  <si>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</si>
  <si>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</si>
  <si>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</si>
  <si>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</si>
  <si>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</si>
  <si>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</si>
  <si>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</si>
  <si>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</si>
  <si>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</si>
  <si>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</si>
  <si>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</si>
  <si>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</si>
  <si>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</si>
  <si>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</si>
  <si>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</si>
  <si>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</si>
  <si>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</si>
  <si>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</si>
  <si>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</si>
  <si>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</si>
  <si>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</si>
  <si>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</si>
  <si>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</si>
  <si>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</si>
  <si>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</si>
  <si>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</si>
  <si>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</si>
  <si>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</si>
  <si>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</si>
  <si>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</si>
  <si>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</si>
  <si>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</si>
  <si>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</si>
  <si>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</si>
  <si>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</si>
  <si>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</si>
  <si>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</si>
  <si>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</si>
  <si>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</si>
  <si>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</si>
  <si>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</si>
  <si>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</si>
  <si>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</si>
  <si>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</si>
  <si>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</si>
  <si>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</si>
  <si>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</si>
  <si>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</si>
  <si>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</si>
  <si>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</si>
  <si>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</si>
  <si>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</si>
  <si>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</si>
  <si>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</si>
  <si>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</si>
  <si>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</si>
  <si>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</si>
  <si>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</si>
  <si>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</si>
  <si>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</si>
  <si>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</si>
  <si>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</si>
  <si>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</si>
  <si>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</si>
  <si>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</si>
  <si>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</si>
  <si>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</si>
  <si>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</si>
  <si>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</si>
  <si>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</si>
  <si>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</si>
  <si>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</si>
  <si>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</si>
  <si>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</si>
  <si>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</si>
  <si>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</si>
  <si>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</si>
  <si>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</si>
  <si>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</si>
  <si>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</si>
  <si>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</si>
  <si>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</si>
  <si>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</si>
  <si>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</si>
  <si>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</si>
  <si>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</si>
  <si>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</si>
  <si>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</si>
  <si>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</si>
  <si>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</si>
  <si>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</si>
  <si>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</si>
  <si>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</si>
  <si>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</si>
  <si>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</si>
  <si>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</si>
  <si>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</si>
  <si>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</si>
  <si>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</si>
  <si>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</si>
  <si>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</si>
  <si>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</si>
  <si>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</si>
  <si>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</si>
  <si>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</si>
  <si>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</si>
  <si>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</si>
  <si>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</si>
  <si>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</si>
  <si>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</si>
  <si>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</si>
  <si>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</si>
  <si>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</si>
  <si>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</si>
  <si>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</si>
  <si>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</si>
  <si>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</si>
  <si>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</si>
  <si>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</si>
  <si>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</si>
  <si>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</si>
  <si>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</si>
  <si>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</si>
  <si>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</si>
  <si>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</si>
  <si>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</si>
  <si>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</si>
  <si>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</si>
  <si>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</si>
  <si>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</si>
  <si>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</si>
  <si>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</si>
  <si>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</si>
  <si>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</si>
  <si>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</si>
  <si>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</si>
  <si>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</si>
  <si>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</si>
  <si>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</si>
  <si>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</si>
  <si>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</si>
  <si>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</si>
  <si>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</si>
  <si>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</si>
  <si>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</si>
  <si>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</si>
  <si>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</si>
  <si>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</si>
  <si>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</si>
  <si>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</si>
  <si>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</si>
  <si>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</si>
  <si>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</si>
  <si>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</si>
  <si>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</si>
  <si>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</si>
  <si>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</si>
  <si>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</si>
  <si>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</si>
  <si>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</si>
  <si>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</si>
  <si>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</si>
  <si>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</si>
  <si>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</si>
  <si>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</si>
  <si>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</si>
  <si>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</si>
  <si>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</si>
  <si>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</si>
  <si>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</si>
  <si>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</si>
  <si>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</si>
  <si>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</si>
  <si>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</si>
  <si>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</si>
  <si>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</si>
  <si>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</si>
  <si>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</si>
  <si>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</si>
  <si>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</si>
  <si>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</si>
  <si>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</si>
  <si>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</si>
  <si>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</si>
  <si>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</si>
  <si>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</si>
  <si>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</si>
  <si>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</si>
  <si>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</si>
  <si>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</si>
  <si>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</si>
  <si>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</si>
  <si>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</si>
  <si>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</si>
  <si>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</si>
  <si>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</si>
  <si>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</si>
  <si>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</si>
  <si>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</si>
  <si>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</si>
  <si>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</si>
  <si>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</si>
  <si>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</si>
  <si>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</si>
  <si>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</si>
  <si>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</si>
  <si>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</si>
  <si>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</si>
  <si>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</si>
  <si>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</si>
  <si>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</si>
  <si>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</si>
  <si>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</si>
  <si>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</si>
  <si>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</si>
  <si>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</si>
  <si>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</si>
  <si>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</si>
  <si>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</si>
  <si>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</si>
  <si>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</si>
  <si>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</si>
  <si>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</si>
  <si>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</si>
  <si>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</si>
  <si>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</si>
  <si>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</si>
  <si>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</si>
  <si>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</si>
  <si>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</si>
  <si>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</si>
  <si>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</si>
  <si>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</si>
  <si>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</si>
  <si>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</si>
  <si>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</si>
  <si>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</si>
  <si>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</si>
  <si>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</si>
  <si>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</si>
  <si>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</si>
  <si>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</si>
  <si>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</si>
  <si>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</si>
  <si>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</si>
  <si>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</si>
  <si>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</si>
  <si>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</si>
  <si>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</si>
  <si>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</si>
  <si>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</si>
  <si>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</si>
  <si>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</si>
  <si>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</si>
  <si>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</si>
  <si>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</si>
  <si>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</si>
  <si>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</si>
  <si>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</si>
  <si>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</si>
  <si>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</si>
  <si>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</si>
  <si>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</si>
  <si>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</si>
  <si>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</si>
  <si>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</si>
  <si>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</si>
  <si>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</si>
  <si>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</si>
  <si>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</si>
  <si>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</si>
  <si>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</si>
  <si>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</si>
  <si>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</si>
  <si>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</si>
  <si>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</si>
  <si>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</si>
  <si>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</si>
  <si>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</si>
  <si>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</si>
  <si>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</si>
  <si>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</si>
  <si>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</si>
  <si>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</si>
  <si>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</si>
  <si>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</si>
  <si>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</si>
  <si>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</si>
  <si>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</si>
  <si>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</si>
  <si>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</si>
  <si>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</si>
  <si>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</si>
  <si>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</si>
  <si>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</si>
  <si>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</si>
  <si>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</si>
  <si>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</si>
  <si>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</si>
  <si>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</si>
  <si>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</si>
  <si>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</si>
  <si>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</si>
  <si>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</si>
  <si>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</si>
  <si>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</si>
  <si>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</si>
  <si>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</si>
  <si>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</si>
  <si>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</si>
  <si>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</si>
  <si>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</si>
  <si>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</si>
  <si>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</si>
  <si>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</si>
  <si>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</si>
  <si>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</si>
  <si>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</si>
  <si>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</si>
  <si>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</si>
  <si>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</si>
  <si>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</si>
  <si>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</si>
  <si>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</si>
  <si>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</si>
  <si>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</si>
  <si>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</si>
  <si>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</si>
  <si>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</si>
  <si>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</si>
  <si>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</si>
  <si>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</si>
  <si>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</si>
  <si>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</si>
  <si>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</si>
  <si>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</si>
  <si>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</si>
  <si>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</si>
  <si>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</si>
  <si>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</si>
  <si>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</si>
  <si>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</si>
  <si>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</si>
  <si>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</si>
  <si>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</si>
  <si>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</si>
  <si>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</si>
  <si>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</si>
  <si>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</si>
  <si>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</si>
  <si>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</si>
  <si>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</si>
  <si>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</si>
  <si>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</si>
  <si>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</si>
  <si>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</si>
  <si>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</si>
  <si>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</si>
  <si>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</si>
  <si>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</si>
  <si>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</si>
  <si>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</si>
  <si>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</si>
  <si>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</si>
  <si>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</si>
  <si>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</si>
  <si>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</si>
  <si>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</si>
  <si>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</si>
  <si>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</si>
  <si>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</si>
  <si>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</si>
  <si>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</si>
  <si>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</si>
  <si>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</si>
  <si>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</si>
  <si>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</si>
  <si>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</si>
  <si>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</si>
  <si>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</si>
  <si>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</si>
  <si>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</si>
  <si>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</si>
  <si>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</si>
  <si>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</si>
  <si>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</si>
  <si>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</si>
  <si>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</si>
  <si>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</si>
  <si>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</si>
  <si>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</si>
  <si>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</si>
  <si>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</si>
  <si>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</si>
  <si>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</si>
  <si>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</si>
  <si>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</si>
  <si>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</si>
  <si>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</si>
  <si>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</si>
  <si>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</si>
  <si>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</si>
  <si>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</si>
  <si>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</si>
  <si>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</si>
  <si>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</si>
  <si>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</si>
  <si>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</si>
  <si>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</si>
  <si>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</si>
  <si>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</si>
  <si>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</si>
  <si>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</si>
  <si>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</si>
  <si>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</si>
  <si>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</si>
  <si>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</si>
  <si>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</si>
  <si>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</si>
  <si>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</si>
  <si>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</si>
  <si>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</si>
  <si>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</si>
  <si>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</si>
  <si>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</si>
  <si>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</si>
  <si>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</si>
  <si>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</si>
  <si>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</si>
  <si>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</si>
  <si>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</si>
  <si>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</si>
  <si>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</si>
  <si>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</si>
  <si>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</si>
  <si>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</si>
  <si>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</si>
  <si>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</si>
  <si>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</si>
  <si>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</si>
  <si>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</si>
  <si>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</si>
  <si>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</si>
  <si>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</si>
  <si>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</si>
  <si>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</si>
  <si>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</si>
  <si>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</si>
  <si>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</si>
  <si>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</si>
  <si>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</si>
  <si>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</si>
  <si>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</si>
  <si>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</si>
  <si>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</si>
  <si>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</si>
  <si>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</si>
  <si>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</si>
  <si>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</si>
  <si>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</si>
  <si>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</si>
  <si>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</si>
  <si>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</si>
  <si>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</si>
  <si>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</si>
  <si>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</si>
  <si>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</si>
  <si>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</si>
  <si>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</si>
  <si>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</si>
  <si>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</si>
  <si>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</si>
  <si>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</si>
  <si>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</si>
  <si>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</si>
  <si>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</si>
  <si>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</si>
  <si>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</si>
  <si>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</si>
  <si>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</si>
  <si>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</si>
  <si>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</si>
  <si>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</si>
  <si>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</si>
  <si>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</si>
  <si>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</si>
  <si>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</si>
  <si>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</si>
  <si>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</si>
  <si>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</si>
  <si>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</si>
  <si>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</si>
  <si>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</si>
  <si>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</si>
  <si>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</si>
  <si>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</si>
  <si>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</si>
  <si>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</si>
  <si>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</si>
  <si>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</si>
  <si>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</si>
  <si>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</si>
  <si>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</si>
  <si>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</si>
  <si>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</si>
  <si>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</si>
  <si>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</si>
  <si>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</si>
  <si>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</si>
  <si>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</si>
  <si>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</si>
  <si>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</si>
  <si>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</si>
  <si>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</si>
  <si>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</si>
  <si>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</si>
  <si>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</si>
  <si>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</si>
  <si>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</si>
  <si>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</si>
  <si>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</si>
  <si>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</si>
  <si>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</si>
  <si>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</si>
  <si>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</si>
  <si>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</si>
  <si>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</si>
  <si>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</si>
  <si>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</si>
  <si>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</si>
  <si>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</si>
  <si>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</si>
  <si>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</si>
  <si>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</si>
  <si>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</si>
  <si>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</si>
  <si>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</si>
  <si>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</si>
  <si>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</si>
  <si>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</si>
  <si>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</si>
  <si>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</si>
  <si>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</si>
  <si>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</si>
  <si>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</si>
  <si>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</si>
  <si>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</si>
  <si>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</si>
  <si>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</si>
  <si>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</si>
  <si>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</si>
  <si>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</si>
  <si>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</si>
  <si>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</si>
  <si>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</si>
  <si>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</si>
  <si>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</si>
  <si>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</si>
  <si>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</si>
  <si>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</si>
  <si>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</si>
  <si>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</si>
  <si>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</si>
  <si>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</si>
  <si>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</si>
  <si>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</si>
  <si>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</si>
  <si>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</si>
  <si>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</si>
  <si>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</si>
  <si>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</si>
  <si>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</si>
  <si>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</si>
  <si>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</si>
  <si>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</si>
  <si>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</si>
  <si>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</si>
  <si>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</si>
  <si>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</si>
  <si>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</si>
  <si>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</si>
  <si>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</si>
  <si>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</si>
  <si>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</si>
  <si>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</si>
  <si>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</si>
  <si>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</si>
  <si>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</si>
  <si>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</si>
  <si>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</si>
  <si>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</si>
  <si>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</si>
  <si>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</si>
  <si>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</si>
  <si>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</si>
  <si>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</si>
  <si>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</si>
  <si>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</si>
  <si>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</si>
  <si>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</si>
  <si>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</si>
  <si>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</si>
  <si>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</si>
  <si>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</si>
  <si>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</si>
  <si>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</si>
  <si>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</si>
  <si>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</si>
  <si>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</si>
  <si>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</si>
  <si>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</si>
  <si>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</si>
  <si>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</si>
  <si>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</si>
  <si>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</si>
  <si>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</si>
  <si>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</si>
  <si>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</si>
  <si>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</si>
  <si>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</si>
  <si>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</si>
  <si>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</si>
  <si>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</si>
  <si>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</si>
  <si>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</si>
  <si>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</si>
  <si>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</si>
  <si>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</si>
  <si>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</si>
  <si>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</si>
  <si>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</si>
  <si>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</si>
  <si>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</si>
  <si>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</si>
  <si>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</si>
  <si>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</si>
  <si>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</si>
  <si>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</si>
  <si>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</si>
  <si>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</si>
  <si>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</si>
  <si>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</si>
  <si>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</si>
  <si>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</si>
  <si>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</si>
  <si>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</si>
  <si>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</si>
  <si>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</si>
  <si>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</si>
  <si>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</si>
  <si>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</si>
  <si>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</si>
  <si>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</si>
  <si>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</si>
  <si>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</si>
  <si>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</si>
  <si>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</si>
  <si>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</si>
  <si>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</si>
  <si>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</si>
  <si>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</si>
  <si>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</si>
  <si>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</si>
  <si>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</si>
  <si>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</si>
  <si>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</si>
  <si>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</si>
  <si>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</si>
  <si>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</si>
  <si>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</si>
  <si>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</si>
  <si>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</si>
  <si>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</si>
  <si>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</si>
  <si>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</si>
  <si>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</si>
  <si>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</si>
  <si>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</si>
  <si>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</si>
  <si>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</si>
  <si>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</si>
  <si>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</si>
  <si>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</si>
  <si>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</si>
  <si>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</si>
  <si>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</si>
  <si>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</si>
  <si>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</si>
  <si>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</si>
  <si>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</si>
  <si>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</si>
  <si>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</si>
  <si>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</si>
  <si>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</si>
  <si>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</si>
  <si>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</si>
  <si>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</si>
  <si>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</si>
  <si>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</si>
  <si>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</si>
  <si>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</si>
  <si>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</si>
  <si>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</si>
  <si>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</si>
  <si>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</si>
  <si>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</si>
  <si>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</si>
  <si>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</si>
  <si>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</si>
  <si>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</si>
  <si>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</si>
  <si>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</si>
  <si>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</si>
  <si>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</si>
  <si>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</si>
  <si>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</si>
  <si>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</si>
  <si>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</si>
  <si>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</si>
  <si>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</si>
  <si>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</si>
  <si>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</si>
  <si>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</si>
  <si>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</si>
  <si>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</si>
  <si>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</si>
  <si>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</si>
  <si>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</si>
  <si>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</si>
  <si>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</si>
  <si>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</si>
  <si>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</si>
  <si>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</si>
  <si>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</si>
  <si>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</si>
  <si>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</si>
  <si>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</si>
  <si>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</si>
  <si>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</si>
  <si>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</si>
  <si>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</si>
  <si>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</si>
  <si>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</si>
  <si>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</si>
  <si>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</si>
  <si>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</si>
  <si>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</si>
  <si>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</si>
  <si>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</si>
  <si>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</si>
  <si>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</si>
  <si>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</si>
  <si>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</si>
  <si>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</si>
  <si>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</si>
  <si>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</si>
  <si>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</si>
  <si>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</si>
  <si>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</si>
  <si>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</si>
  <si>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</si>
  <si>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</si>
  <si>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</si>
  <si>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</si>
  <si>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</si>
  <si>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</si>
  <si>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</si>
  <si>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</si>
  <si>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</si>
  <si>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</si>
  <si>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</si>
  <si>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</si>
  <si>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</si>
  <si>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</si>
  <si>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</si>
  <si>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</si>
  <si>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</si>
  <si>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</si>
  <si>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</si>
  <si>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</si>
  <si>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</si>
  <si>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</si>
  <si>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</si>
  <si>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</si>
  <si>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</si>
  <si>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</si>
  <si>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</si>
  <si>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</si>
  <si>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</si>
  <si>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</si>
  <si>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</si>
  <si>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</si>
  <si>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</si>
  <si>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</si>
  <si>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</si>
  <si>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</si>
  <si>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</si>
  <si>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</si>
  <si>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</si>
  <si>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</si>
  <si>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</si>
  <si>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</si>
  <si>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</si>
  <si>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</si>
  <si>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</si>
  <si>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</si>
  <si>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</si>
  <si>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</si>
  <si>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</si>
  <si>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</si>
  <si>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</si>
  <si>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</si>
  <si>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</si>
  <si>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</si>
  <si>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</si>
  <si>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</si>
  <si>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</si>
  <si>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</si>
  <si>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</si>
  <si>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</si>
  <si>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</si>
  <si>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</si>
  <si>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</si>
  <si>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</si>
  <si>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</si>
  <si>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</si>
  <si>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</si>
  <si>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</si>
  <si>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</si>
  <si>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</si>
  <si>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</si>
  <si>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</si>
  <si>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</si>
  <si>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</si>
  <si>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</si>
  <si>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</si>
  <si>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</si>
  <si>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</si>
  <si>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</si>
  <si>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</si>
  <si>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</si>
  <si>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</si>
  <si>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</si>
  <si>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</si>
  <si>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</si>
  <si>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</si>
  <si>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</si>
  <si>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</si>
  <si>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</si>
  <si>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</si>
  <si>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</si>
  <si>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</si>
  <si>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</si>
  <si>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</si>
  <si>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</si>
  <si>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</si>
  <si>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</si>
  <si>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</si>
  <si>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</si>
  <si>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</si>
  <si>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</si>
  <si>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</si>
  <si>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</si>
  <si>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</si>
  <si>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</si>
  <si>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</si>
  <si>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</si>
  <si>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</si>
  <si>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</si>
  <si>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</si>
  <si>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</si>
  <si>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</si>
  <si>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</si>
  <si>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</si>
  <si>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</si>
  <si>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</si>
  <si>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</si>
  <si>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</si>
  <si>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</si>
  <si>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</si>
  <si>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</si>
  <si>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</si>
  <si>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</si>
  <si>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</si>
  <si>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</si>
  <si>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</si>
  <si>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</si>
  <si>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</si>
  <si>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</si>
  <si>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</si>
  <si>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</si>
  <si>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</si>
  <si>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</si>
  <si>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</si>
  <si>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</si>
  <si>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</si>
  <si>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</si>
  <si>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</si>
  <si>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</si>
  <si>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</si>
  <si>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</si>
  <si>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</si>
  <si>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</si>
  <si>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</si>
  <si>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</si>
  <si>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</si>
  <si>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</si>
  <si>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</si>
  <si>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</si>
  <si>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</si>
  <si>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</si>
  <si>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</si>
  <si>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</si>
  <si>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</si>
  <si>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</si>
  <si>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</si>
  <si>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</si>
  <si>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</si>
  <si>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</si>
  <si>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</si>
  <si>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</si>
  <si>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</si>
  <si>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</si>
  <si>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</si>
  <si>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</si>
  <si>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</si>
  <si>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</si>
  <si>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</si>
  <si>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</si>
  <si>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</si>
  <si>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</si>
  <si>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</si>
  <si>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</si>
  <si>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</si>
  <si>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</si>
  <si>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</si>
  <si>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</si>
  <si>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</si>
  <si>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</si>
  <si>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</si>
  <si>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</si>
  <si>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</si>
  <si>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</si>
  <si>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</si>
  <si>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</si>
  <si>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</si>
  <si>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</si>
  <si>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</si>
  <si>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</si>
  <si>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</si>
  <si>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</si>
  <si>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</si>
  <si>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</si>
  <si>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</si>
  <si>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</si>
  <si>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</si>
  <si>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</si>
  <si>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</si>
  <si>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</si>
  <si>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</si>
  <si>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</si>
  <si>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</si>
  <si>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</si>
  <si>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</si>
  <si>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</si>
  <si>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</si>
  <si>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</si>
  <si>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</si>
  <si>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</si>
  <si>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</si>
  <si>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</si>
  <si>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</si>
  <si>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</si>
  <si>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</si>
  <si>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</si>
  <si>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</si>
  <si>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</si>
  <si>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</si>
  <si>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</si>
  <si>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</si>
  <si>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</si>
  <si>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</si>
  <si>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</si>
  <si>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</si>
  <si>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</si>
  <si>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</si>
  <si>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</si>
  <si>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</si>
  <si>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</si>
  <si>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</si>
  <si>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</si>
  <si>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</si>
  <si>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</si>
  <si>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</si>
  <si>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</si>
  <si>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</si>
  <si>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</si>
  <si>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</si>
  <si>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</si>
  <si>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</si>
  <si>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</si>
  <si>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</si>
  <si>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</si>
  <si>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</si>
  <si>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</si>
  <si>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</si>
  <si>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</si>
  <si>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</si>
  <si>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</si>
  <si>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</si>
  <si>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</si>
  <si>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</si>
  <si>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</si>
  <si>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</si>
  <si>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</si>
  <si>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</si>
  <si>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</si>
  <si>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</si>
  <si>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</si>
  <si>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</si>
  <si>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</si>
  <si>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</si>
  <si>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</si>
  <si>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</si>
  <si>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</si>
  <si>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</si>
  <si>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</si>
  <si>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</si>
  <si>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</si>
  <si>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</si>
  <si>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</si>
  <si>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</si>
  <si>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</si>
  <si>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</si>
  <si>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</si>
  <si>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</si>
  <si>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</si>
  <si>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</si>
  <si>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</si>
  <si>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</si>
  <si>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</si>
  <si>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</si>
  <si>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</si>
  <si>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</si>
  <si>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</si>
  <si>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</si>
  <si>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</si>
  <si>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</si>
  <si>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</si>
  <si>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</si>
  <si>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</si>
  <si>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</si>
  <si>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</si>
  <si>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</si>
  <si>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</si>
  <si>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</si>
  <si>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</si>
  <si>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</si>
  <si>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</si>
  <si>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</si>
  <si>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</si>
  <si>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</si>
  <si>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</si>
  <si>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</si>
  <si>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</si>
  <si>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</si>
  <si>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</si>
  <si>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</si>
  <si>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</si>
  <si>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</si>
  <si>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</si>
  <si>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</si>
  <si>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</si>
  <si>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</si>
  <si>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</si>
  <si>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</si>
  <si>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</si>
  <si>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</si>
  <si>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</si>
  <si>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</si>
  <si>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</si>
  <si>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</si>
  <si>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</si>
  <si>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</si>
  <si>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</si>
  <si>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</si>
  <si>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</si>
  <si>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</si>
  <si>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</si>
  <si>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</si>
  <si>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</si>
  <si>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</si>
  <si>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</si>
  <si>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</si>
  <si>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</si>
  <si>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</si>
  <si>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</si>
  <si>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</si>
  <si>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</si>
  <si>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</si>
  <si>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</si>
  <si>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</si>
  <si>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</si>
  <si>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</si>
  <si>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</si>
  <si>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</si>
  <si>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</si>
  <si>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</si>
  <si>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</si>
  <si>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</si>
  <si>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</si>
  <si>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</si>
  <si>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</si>
  <si>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</si>
  <si>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</si>
  <si>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</si>
  <si>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</si>
  <si>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</si>
  <si>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</si>
  <si>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</si>
  <si>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</si>
  <si>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</si>
  <si>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</si>
  <si>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</si>
  <si>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</si>
  <si>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</si>
  <si>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</si>
  <si>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</si>
  <si>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</si>
  <si>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</si>
  <si>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</si>
  <si>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</si>
  <si>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</si>
  <si>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</si>
  <si>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</si>
  <si>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</si>
  <si>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</si>
  <si>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</si>
  <si>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</si>
  <si>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</si>
  <si>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</si>
  <si>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</si>
  <si>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</si>
  <si>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</si>
  <si>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</si>
  <si>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</si>
  <si>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</si>
  <si>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</si>
  <si>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</si>
  <si>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</si>
  <si>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</si>
  <si>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</si>
  <si>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</si>
  <si>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</si>
  <si>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</si>
  <si>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</si>
  <si>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</si>
  <si>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</si>
  <si>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</si>
  <si>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</si>
  <si>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</si>
  <si>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</si>
  <si>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</si>
  <si>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</si>
  <si>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</si>
  <si>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</si>
  <si>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</si>
  <si>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</si>
  <si>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</si>
  <si>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</si>
  <si>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</si>
  <si>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</si>
  <si>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</si>
  <si>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</si>
  <si>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</si>
  <si>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</si>
  <si>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</si>
  <si>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</si>
  <si>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</si>
  <si>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</si>
  <si>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</si>
  <si>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</si>
  <si>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</si>
  <si>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</si>
  <si>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</si>
  <si>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</si>
  <si>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</si>
  <si>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</si>
  <si>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</si>
  <si>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</si>
  <si>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</si>
  <si>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</si>
  <si>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</si>
  <si>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</si>
  <si>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</si>
  <si>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</si>
  <si>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</si>
  <si>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</si>
  <si>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</si>
  <si>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</si>
  <si>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</si>
  <si>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</si>
  <si>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</si>
  <si>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</si>
  <si>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</si>
  <si>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</si>
  <si>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</si>
  <si>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</si>
  <si>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</si>
  <si>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</si>
  <si>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</si>
  <si>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</si>
  <si>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</si>
  <si>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</si>
  <si>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</si>
  <si>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</si>
  <si>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</si>
  <si>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</si>
  <si>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</si>
  <si>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</si>
  <si>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</si>
  <si>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</si>
  <si>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</si>
  <si>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</si>
  <si>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</si>
  <si>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</si>
  <si>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</si>
  <si>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</si>
  <si>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</si>
  <si>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</si>
  <si>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</si>
  <si>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</si>
  <si>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</si>
  <si>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</si>
  <si>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</si>
  <si>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</si>
  <si>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</si>
  <si>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</si>
  <si>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</si>
  <si>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</si>
  <si>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</si>
  <si>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</si>
  <si>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</si>
  <si>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</si>
  <si>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</si>
  <si>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</si>
  <si>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</si>
  <si>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</si>
  <si>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</si>
  <si>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</si>
  <si>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</si>
  <si>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</si>
  <si>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</si>
  <si>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</si>
  <si>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</si>
  <si>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</si>
  <si>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</si>
  <si>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</si>
  <si>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</si>
  <si>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</si>
  <si>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</si>
  <si>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</si>
  <si>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</si>
  <si>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</si>
  <si>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</si>
  <si>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</si>
  <si>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</si>
  <si>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</si>
  <si>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</si>
  <si>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</si>
  <si>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</si>
  <si>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</si>
  <si>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</si>
  <si>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</si>
  <si>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</si>
  <si>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</si>
  <si>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</si>
  <si>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</si>
  <si>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</si>
  <si>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</si>
  <si>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</si>
  <si>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</si>
  <si>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</si>
  <si>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</si>
  <si>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</si>
  <si>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</si>
  <si>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</si>
  <si>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</si>
  <si>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</si>
  <si>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</si>
  <si>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</si>
  <si>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</si>
  <si>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</si>
  <si>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</si>
  <si>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</si>
  <si>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</si>
  <si>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</si>
  <si>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</si>
  <si>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</si>
  <si>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</si>
  <si>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</si>
  <si>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</si>
  <si>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</si>
  <si>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</si>
  <si>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</si>
  <si>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</si>
  <si>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</si>
  <si>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</si>
  <si>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</si>
  <si>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</si>
  <si>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</si>
  <si>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</si>
  <si>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</si>
  <si>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</si>
  <si>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</si>
  <si>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</si>
  <si>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</si>
  <si>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</si>
  <si>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</si>
  <si>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</si>
  <si>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</si>
  <si>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</si>
  <si>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</si>
  <si>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</si>
  <si>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</si>
  <si>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</si>
  <si>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</si>
  <si>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</si>
  <si>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</si>
  <si>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</si>
  <si>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</si>
  <si>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</si>
  <si>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</si>
  <si>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</si>
  <si>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</si>
  <si>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</si>
  <si>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</si>
  <si>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</si>
  <si>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</si>
  <si>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</si>
  <si>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</si>
  <si>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</si>
  <si>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</si>
  <si>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</si>
  <si>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</si>
  <si>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</si>
  <si>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</si>
  <si>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</si>
  <si>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</si>
  <si>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</si>
  <si>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</si>
  <si>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</si>
  <si>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</si>
  <si>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</si>
  <si>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</si>
  <si>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</si>
  <si>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</si>
  <si>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</si>
  <si>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</si>
  <si>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</si>
  <si>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</si>
  <si>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</si>
  <si>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</si>
  <si>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</si>
  <si>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</si>
  <si>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</si>
  <si>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</si>
  <si>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</si>
  <si>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</si>
  <si>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</si>
  <si>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</si>
  <si>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</si>
  <si>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</si>
  <si>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</si>
  <si>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</si>
  <si>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</si>
  <si>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</si>
  <si>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</si>
  <si>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</si>
  <si>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</si>
  <si>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</si>
  <si>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</si>
  <si>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</si>
  <si>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</si>
  <si>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</si>
  <si>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</si>
  <si>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</si>
  <si>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</si>
  <si>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</si>
  <si>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</si>
  <si>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</si>
  <si>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</si>
  <si>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</si>
  <si>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</si>
  <si>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</si>
  <si>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</si>
  <si>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</si>
  <si>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</si>
  <si>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</si>
  <si>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</si>
  <si>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</si>
  <si>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</si>
  <si>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</si>
  <si>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</si>
  <si>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</si>
  <si>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</si>
  <si>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</si>
  <si>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</si>
  <si>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</si>
  <si>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</si>
  <si>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</si>
  <si>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</si>
  <si>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</si>
  <si>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</si>
  <si>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</si>
  <si>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</si>
  <si>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</si>
  <si>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</si>
  <si>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</si>
  <si>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</si>
  <si>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</si>
  <si>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</si>
  <si>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</si>
  <si>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</si>
  <si>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</si>
  <si>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</si>
  <si>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</si>
  <si>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</si>
  <si>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</si>
  <si>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</si>
  <si>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</si>
  <si>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</si>
  <si>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</si>
  <si>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</si>
  <si>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</si>
  <si>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</si>
  <si>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</si>
  <si>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</si>
  <si>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</si>
  <si>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</si>
  <si>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</si>
  <si>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</si>
  <si>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</si>
  <si>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</si>
  <si>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</si>
  <si>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</si>
  <si>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</si>
  <si>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</si>
  <si>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</si>
  <si>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</si>
  <si>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</si>
  <si>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</si>
  <si>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</si>
  <si>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</si>
  <si>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</si>
  <si>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</si>
  <si>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</si>
  <si>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</si>
  <si>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</si>
  <si>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</si>
  <si>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</si>
  <si>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</si>
  <si>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</si>
  <si>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</si>
  <si>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</si>
  <si>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</si>
  <si>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</si>
  <si>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</si>
  <si>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</si>
  <si>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</si>
  <si>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</si>
  <si>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</si>
  <si>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</si>
  <si>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</si>
  <si>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</si>
  <si>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</si>
  <si>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</si>
  <si>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</si>
  <si>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</si>
  <si>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</si>
  <si>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</si>
  <si>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</si>
  <si>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</si>
  <si>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</si>
  <si>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</si>
  <si>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</si>
  <si>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</si>
  <si>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</si>
  <si>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</si>
  <si>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</si>
  <si>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</si>
  <si>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</si>
  <si>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</si>
  <si>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</si>
  <si>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</si>
  <si>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</si>
  <si>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</si>
  <si>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</si>
  <si>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</si>
  <si>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</si>
  <si>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</si>
  <si>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</si>
  <si>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</si>
  <si>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</si>
  <si>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</si>
  <si>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</si>
  <si>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</si>
  <si>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</si>
  <si>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</si>
  <si>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</si>
  <si>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</si>
  <si>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</si>
  <si>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</si>
  <si>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</si>
  <si>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</si>
  <si>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</si>
  <si>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</si>
  <si>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</si>
  <si>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</si>
  <si>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</si>
  <si>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</si>
  <si>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</si>
  <si>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</si>
  <si>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</si>
  <si>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</si>
  <si>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</si>
  <si>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</si>
  <si>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</si>
  <si>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</si>
  <si>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</si>
  <si>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</si>
  <si>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</si>
  <si>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</si>
  <si>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</si>
  <si>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</si>
  <si>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</si>
  <si>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</si>
  <si>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</si>
  <si>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</si>
  <si>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</si>
  <si>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</si>
  <si>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</si>
  <si>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</si>
  <si>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</si>
  <si>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</si>
  <si>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</si>
  <si>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</si>
  <si>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</si>
  <si>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</si>
  <si>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</si>
  <si>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</si>
  <si>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</si>
  <si>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</si>
  <si>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</si>
  <si>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</si>
  <si>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</si>
  <si>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</si>
  <si>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</si>
  <si>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</si>
  <si>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</si>
  <si>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</si>
  <si>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</si>
  <si>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</si>
  <si>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</si>
  <si>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</si>
  <si>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</si>
  <si>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</si>
  <si>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</si>
  <si>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</si>
  <si>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</si>
  <si>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</si>
  <si>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</si>
  <si>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</si>
  <si>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</si>
  <si>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</si>
  <si>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</si>
  <si>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</si>
  <si>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</si>
  <si>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</si>
  <si>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</si>
  <si>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</si>
  <si>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</si>
  <si>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</si>
  <si>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</si>
  <si>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</si>
  <si>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</si>
  <si>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</si>
  <si>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</si>
  <si>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</si>
  <si>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</si>
  <si>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</si>
  <si>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</si>
  <si>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</si>
  <si>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</si>
  <si>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</si>
  <si>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</si>
  <si>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</si>
  <si>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</si>
  <si>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</si>
  <si>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</si>
  <si>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</si>
  <si>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</si>
  <si>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</si>
  <si>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</si>
  <si>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</si>
  <si>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</si>
  <si>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</si>
  <si>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</si>
  <si>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</si>
  <si>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</si>
  <si>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</si>
  <si>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</si>
  <si>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</si>
  <si>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</si>
  <si>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</si>
  <si>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</si>
  <si>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</si>
  <si>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</si>
  <si>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</si>
  <si>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</si>
  <si>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</si>
  <si>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</si>
  <si>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</si>
  <si>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</si>
  <si>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</si>
  <si>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</si>
  <si>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</si>
  <si>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</si>
  <si>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</si>
  <si>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</si>
  <si>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</si>
  <si>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</si>
  <si>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</si>
  <si>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</si>
  <si>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</si>
  <si>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</si>
  <si>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</si>
  <si>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</si>
  <si>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</si>
  <si>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</si>
  <si>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</si>
  <si>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</si>
  <si>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</si>
  <si>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</si>
  <si>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</si>
  <si>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</si>
  <si>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</si>
  <si>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</si>
  <si>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</si>
  <si>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</si>
  <si>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</si>
  <si>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</si>
  <si>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</si>
  <si>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</si>
  <si>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</si>
  <si>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</si>
  <si>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</si>
  <si>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</si>
  <si>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</si>
  <si>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</si>
  <si>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</si>
  <si>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</si>
  <si>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</si>
  <si>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</si>
  <si>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</si>
  <si>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</si>
  <si>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</si>
  <si>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</si>
  <si>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</si>
  <si>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</si>
  <si>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</si>
  <si>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</si>
  <si>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</si>
  <si>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</si>
  <si>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</si>
  <si>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</si>
  <si>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</si>
  <si>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</si>
  <si>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</si>
  <si>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</si>
  <si>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</si>
  <si>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</si>
  <si>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</si>
  <si>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</si>
  <si>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</si>
  <si>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</si>
  <si>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</si>
  <si>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</si>
  <si>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</si>
  <si>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</si>
  <si>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</si>
  <si>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</si>
  <si>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</si>
  <si>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</si>
  <si>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</si>
  <si>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</si>
  <si>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</si>
  <si>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</si>
  <si>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</si>
  <si>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</si>
  <si>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</si>
  <si>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</si>
  <si>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</si>
  <si>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</si>
  <si>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</si>
  <si>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</si>
  <si>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</si>
  <si>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</si>
  <si>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</si>
  <si>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</si>
  <si>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</si>
  <si>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</si>
  <si>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</si>
  <si>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</si>
  <si>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</si>
  <si>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</si>
  <si>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</si>
  <si>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</si>
  <si>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</si>
  <si>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</si>
  <si>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</si>
  <si>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</si>
  <si>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</si>
  <si>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</si>
  <si>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</si>
  <si>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</si>
  <si>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</si>
  <si>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</si>
  <si>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</si>
  <si>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</si>
  <si>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</si>
  <si>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</si>
  <si>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</si>
  <si>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</si>
  <si>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</si>
  <si>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</si>
  <si>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</si>
  <si>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</si>
  <si>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</si>
  <si>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</si>
  <si>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</si>
  <si>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</si>
  <si>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</si>
  <si>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</si>
  <si>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</si>
  <si>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</si>
  <si>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</si>
  <si>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</si>
  <si>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</si>
  <si>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</si>
  <si>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</si>
  <si>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</si>
  <si>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</si>
  <si>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</si>
  <si>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</si>
  <si>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</si>
  <si>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</si>
  <si>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</si>
  <si>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</si>
  <si>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</si>
  <si>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</si>
  <si>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</si>
  <si>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</si>
  <si>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</si>
  <si>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</si>
  <si>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</si>
  <si>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</si>
  <si>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</si>
  <si>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</si>
  <si>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</si>
  <si>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</si>
  <si>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</si>
  <si>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</si>
  <si>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</si>
  <si>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</si>
  <si>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</si>
  <si>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</si>
  <si>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</si>
  <si>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</si>
  <si>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</si>
  <si>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</si>
  <si>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</si>
  <si>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</si>
  <si>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</si>
  <si>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</si>
  <si>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</si>
  <si>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</si>
  <si>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</si>
  <si>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</si>
  <si>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</si>
  <si>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</si>
  <si>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</si>
  <si>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</si>
  <si>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</si>
  <si>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</si>
  <si>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</si>
  <si>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</si>
  <si>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</si>
  <si>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</si>
  <si>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</si>
  <si>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</si>
  <si>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</si>
  <si>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</si>
  <si>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</si>
  <si>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</si>
  <si>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</si>
  <si>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</si>
  <si>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</si>
  <si>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</si>
  <si>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</si>
  <si>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</si>
  <si>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</si>
  <si>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</si>
  <si>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</si>
  <si>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</si>
  <si>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</si>
  <si>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</si>
  <si>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</si>
  <si>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</si>
  <si>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</si>
  <si>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</si>
  <si>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</si>
  <si>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</si>
  <si>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</si>
  <si>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</si>
  <si>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</si>
  <si>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</si>
  <si>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</si>
  <si>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</si>
  <si>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</si>
  <si>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</si>
  <si>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</si>
  <si>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</si>
  <si>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</si>
  <si>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</si>
  <si>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</si>
  <si>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</si>
  <si>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</si>
  <si>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</si>
  <si>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</si>
  <si>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</si>
  <si>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</si>
  <si>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</si>
  <si>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</si>
  <si>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</si>
  <si>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</si>
  <si>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</si>
  <si>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</si>
  <si>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</si>
  <si>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</si>
  <si>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</si>
  <si>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</si>
  <si>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</si>
  <si>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</si>
  <si>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</si>
  <si>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</si>
  <si>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</si>
  <si>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</si>
  <si>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</si>
  <si>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</si>
  <si>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</si>
  <si>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</si>
  <si>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</si>
  <si>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</si>
  <si>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</si>
  <si>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</si>
  <si>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</si>
  <si>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</si>
  <si>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</si>
  <si>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</si>
  <si>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</si>
  <si>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</si>
  <si>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</si>
  <si>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</si>
  <si>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</si>
  <si>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</si>
  <si>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</si>
  <si>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</si>
  <si>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</si>
  <si>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</si>
  <si>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</si>
  <si>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</si>
  <si>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</si>
  <si>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</si>
  <si>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</si>
  <si>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</si>
  <si>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</si>
  <si>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</si>
  <si>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</si>
  <si>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</si>
  <si>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</si>
  <si>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</si>
  <si>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</si>
  <si>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</si>
  <si>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</si>
  <si>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</si>
  <si>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</si>
  <si>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</si>
  <si>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</si>
  <si>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</si>
  <si>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</si>
  <si>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</si>
  <si>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</si>
  <si>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</si>
  <si>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</si>
  <si>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</si>
  <si>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</si>
  <si>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</si>
  <si>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</si>
  <si>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</si>
  <si>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</si>
  <si>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</si>
  <si>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</si>
  <si>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</si>
  <si>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</si>
  <si>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</si>
  <si>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</si>
  <si>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</si>
  <si>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</si>
  <si>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</si>
  <si>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</si>
  <si>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</si>
  <si>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</si>
  <si>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</si>
  <si>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</si>
  <si>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</si>
  <si>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</si>
  <si>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</si>
  <si>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</si>
  <si>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</si>
  <si>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</si>
  <si>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</si>
  <si>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</si>
  <si>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</si>
  <si>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</si>
  <si>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</si>
  <si>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</si>
  <si>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</si>
  <si>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</si>
  <si>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</si>
  <si>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</si>
  <si>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</si>
  <si>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</si>
  <si>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</si>
  <si>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</si>
  <si>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</si>
  <si>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</si>
  <si>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</si>
  <si>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</si>
  <si>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</si>
  <si>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</si>
  <si>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</si>
  <si>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</si>
  <si>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</si>
  <si>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</si>
  <si>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</si>
  <si>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</si>
  <si>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</si>
  <si>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</si>
  <si>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</si>
  <si>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</si>
  <si>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</si>
  <si>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</si>
  <si>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</si>
  <si>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</si>
  <si>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</si>
  <si>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</si>
  <si>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</si>
  <si>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</si>
  <si>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</si>
  <si>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</si>
  <si>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</si>
  <si>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</si>
  <si>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</si>
  <si>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</si>
  <si>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</si>
  <si>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</si>
  <si>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</si>
  <si>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</si>
  <si>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</si>
  <si>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</si>
  <si>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</si>
  <si>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</si>
  <si>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</si>
  <si>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</si>
  <si>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</si>
  <si>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</si>
  <si>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</si>
  <si>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</si>
  <si>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</si>
  <si>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</si>
  <si>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</si>
  <si>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</si>
  <si>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</si>
  <si>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</si>
  <si>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</si>
  <si>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</si>
  <si>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</si>
  <si>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</si>
  <si>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</si>
  <si>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</si>
  <si>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</si>
  <si>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</si>
  <si>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</si>
  <si>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</si>
  <si>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</si>
  <si>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</si>
  <si>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</si>
  <si>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</si>
  <si>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</si>
  <si>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</si>
  <si>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</si>
  <si>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</si>
  <si>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</si>
  <si>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</si>
  <si>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</si>
  <si>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</si>
  <si>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</si>
  <si>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</si>
  <si>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</si>
  <si>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</si>
  <si>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</si>
  <si>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</si>
  <si>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</si>
  <si>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</si>
  <si>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</si>
  <si>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</si>
  <si>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</si>
  <si>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</si>
  <si>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</si>
  <si>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</si>
  <si>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</si>
  <si>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</si>
  <si>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</si>
  <si>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</si>
  <si>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</si>
  <si>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</si>
  <si>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</si>
  <si>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</si>
  <si>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</si>
  <si>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</si>
  <si>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</si>
  <si>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</si>
  <si>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</si>
  <si>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</si>
  <si>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</si>
  <si>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</si>
  <si>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</si>
  <si>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</si>
  <si>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</si>
  <si>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</si>
  <si>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</si>
  <si>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</si>
  <si>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</si>
  <si>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</si>
  <si>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</si>
  <si>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</si>
  <si>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</si>
  <si>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</si>
  <si>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</si>
  <si>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</si>
  <si>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</si>
  <si>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</si>
  <si>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</si>
  <si>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</si>
  <si>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</si>
  <si>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</si>
  <si>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</si>
  <si>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</si>
  <si>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</si>
  <si>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</si>
  <si>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</si>
  <si>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</si>
  <si>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</si>
  <si>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</si>
  <si>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</si>
  <si>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</si>
  <si>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</si>
  <si>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</si>
  <si>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</si>
  <si>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</si>
  <si>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</si>
  <si>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</si>
  <si>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</si>
  <si>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</si>
  <si>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</si>
  <si>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</si>
  <si>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</si>
  <si>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</si>
  <si>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</si>
  <si>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</si>
  <si>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</si>
  <si>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</si>
  <si>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</si>
  <si>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</si>
  <si>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</si>
  <si>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</si>
  <si>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</si>
  <si>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</si>
  <si>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</si>
  <si>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</si>
  <si>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</si>
  <si>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</si>
  <si>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</si>
  <si>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</si>
  <si>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</si>
  <si>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</si>
  <si>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</si>
  <si>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</si>
  <si>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</si>
  <si>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</si>
  <si>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</si>
  <si>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</si>
  <si>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</si>
  <si>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</si>
  <si>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</si>
  <si>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</si>
  <si>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</si>
  <si>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</si>
  <si>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</si>
  <si>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</si>
  <si>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</si>
  <si>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</si>
  <si>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</si>
  <si>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</si>
  <si>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</si>
  <si>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</si>
  <si>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</si>
  <si>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</si>
  <si>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</si>
  <si>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</si>
  <si>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</si>
  <si>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</si>
  <si>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</si>
  <si>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</si>
  <si>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</si>
  <si>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</si>
  <si>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</si>
  <si>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</si>
  <si>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</si>
  <si>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</si>
  <si>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</si>
  <si>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</si>
  <si>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</si>
  <si>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</si>
  <si>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</si>
  <si>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</si>
  <si>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</si>
  <si>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</si>
  <si>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</si>
  <si>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</si>
  <si>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</si>
  <si>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</si>
  <si>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</si>
  <si>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</si>
  <si>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</si>
  <si>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</si>
  <si>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</si>
  <si>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</si>
  <si>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</si>
  <si>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</si>
  <si>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</si>
  <si>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</si>
  <si>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</si>
  <si>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</si>
  <si>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</si>
  <si>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</si>
  <si>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</si>
  <si>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</si>
  <si>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</si>
  <si>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</si>
  <si>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</si>
  <si>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</si>
  <si>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</si>
  <si>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</si>
  <si>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</si>
  <si>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</si>
  <si>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</si>
  <si>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</si>
  <si>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</si>
  <si>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</si>
  <si>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</si>
  <si>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</si>
  <si>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</si>
  <si>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</si>
  <si>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</si>
  <si>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</si>
  <si>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</si>
  <si>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</si>
  <si>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</si>
  <si>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</si>
  <si>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</si>
  <si>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</si>
  <si>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</si>
  <si>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</si>
  <si>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</si>
  <si>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</si>
  <si>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</si>
  <si>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</si>
  <si>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</si>
  <si>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</si>
  <si>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</si>
  <si>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</si>
  <si>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</si>
  <si>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</si>
  <si>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</si>
  <si>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</si>
  <si>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</si>
  <si>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</si>
  <si>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</si>
  <si>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</si>
  <si>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</si>
  <si>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</si>
  <si>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</si>
  <si>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</si>
  <si>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</si>
  <si>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</si>
  <si>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</si>
  <si>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</si>
  <si>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</si>
  <si>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</si>
  <si>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</si>
  <si>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</si>
  <si>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</si>
  <si>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</si>
  <si>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</si>
  <si>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</si>
  <si>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</si>
  <si>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</si>
  <si>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</si>
  <si>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</si>
  <si>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</si>
  <si>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</si>
  <si>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</si>
  <si>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</si>
  <si>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</si>
  <si>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</si>
  <si>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</si>
  <si>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</si>
  <si>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</si>
  <si>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</si>
  <si>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</si>
  <si>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</si>
  <si>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</si>
  <si>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</si>
  <si>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</si>
  <si>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</si>
  <si>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</si>
  <si>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</si>
  <si>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</si>
  <si>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</si>
  <si>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</si>
  <si>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</si>
  <si>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</si>
  <si>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</si>
  <si>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</si>
  <si>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</si>
  <si>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</si>
  <si>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</si>
  <si>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</si>
  <si>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</si>
  <si>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</si>
  <si>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</si>
  <si>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</si>
  <si>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</si>
  <si>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</si>
  <si>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</si>
  <si>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</si>
  <si>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</si>
  <si>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</si>
  <si>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</si>
  <si>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</si>
  <si>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</si>
  <si>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</si>
  <si>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</si>
  <si>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</si>
  <si>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</si>
  <si>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</si>
  <si>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</si>
  <si>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</si>
  <si>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</si>
  <si>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</si>
  <si>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</si>
  <si>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</si>
  <si>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</si>
  <si>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</si>
  <si>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</si>
  <si>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</si>
  <si>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</si>
  <si>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</si>
  <si>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</si>
  <si>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</si>
  <si>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</si>
  <si>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</si>
  <si>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</si>
  <si>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</si>
  <si>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</si>
  <si>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</si>
  <si>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</si>
  <si>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</si>
  <si>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</si>
  <si>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</si>
  <si>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</si>
  <si>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</si>
  <si>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</si>
  <si>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</si>
  <si>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</si>
  <si>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</si>
  <si>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</si>
  <si>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</si>
  <si>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</si>
  <si>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</si>
  <si>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</si>
  <si>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</si>
  <si>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</si>
  <si>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</si>
  <si>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</si>
  <si>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</si>
  <si>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</si>
  <si>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</si>
  <si>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</si>
  <si>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</si>
  <si>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</si>
  <si>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</si>
  <si>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</si>
  <si>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</si>
  <si>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</si>
  <si>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</si>
  <si>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</si>
  <si>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</si>
  <si>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</si>
  <si>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</si>
  <si>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</si>
  <si>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</si>
  <si>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</si>
  <si>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</si>
  <si>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</si>
  <si>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</si>
  <si>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</si>
  <si>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</si>
  <si>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</si>
  <si>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</si>
  <si>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</si>
  <si>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</si>
  <si>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</si>
  <si>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</si>
  <si>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</si>
  <si>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</si>
  <si>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</si>
  <si>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</si>
  <si>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</si>
  <si>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</si>
  <si>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</si>
  <si>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</si>
  <si>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</si>
  <si>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</si>
  <si>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</si>
  <si>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</si>
  <si>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</si>
  <si>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</si>
  <si>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</si>
  <si>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</si>
  <si>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</si>
  <si>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</si>
  <si>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</si>
  <si>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</si>
  <si>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</si>
  <si>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</si>
  <si>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</si>
  <si>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</si>
  <si>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</si>
  <si>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</si>
  <si>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</si>
  <si>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</si>
  <si>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</si>
  <si>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</si>
  <si>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</si>
  <si>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</si>
  <si>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</si>
  <si>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</si>
  <si>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</si>
  <si>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</si>
  <si>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</si>
  <si>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</si>
  <si>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</si>
  <si>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</si>
  <si>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</si>
  <si>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</si>
  <si>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</si>
  <si>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</si>
  <si>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</si>
  <si>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</si>
  <si>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</si>
  <si>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</si>
  <si>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</si>
  <si>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</si>
  <si>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</si>
  <si>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</si>
  <si>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</si>
  <si>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</si>
  <si>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</si>
  <si>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</si>
  <si>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</si>
  <si>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</si>
  <si>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</si>
  <si>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</si>
  <si>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</si>
  <si>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</si>
  <si>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</si>
  <si>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</si>
  <si>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</si>
  <si>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</si>
  <si>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</si>
  <si>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</si>
  <si>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</si>
  <si>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</si>
  <si>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</si>
  <si>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</si>
  <si>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</si>
  <si>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</si>
  <si>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</si>
  <si>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</si>
  <si>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</si>
  <si>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</si>
  <si>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</si>
  <si>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</si>
  <si>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</si>
  <si>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</si>
  <si>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</si>
  <si>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</si>
  <si>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</si>
  <si>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</si>
  <si>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</si>
  <si>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</si>
  <si>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</si>
  <si>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</si>
  <si>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</si>
  <si>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</si>
  <si>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</si>
  <si>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</si>
  <si>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</si>
  <si>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</si>
  <si>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</si>
  <si>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</si>
  <si>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</si>
  <si>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</si>
  <si>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</si>
  <si>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</si>
  <si>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</si>
  <si>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</si>
  <si>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</si>
  <si>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</si>
  <si>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</si>
  <si>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</si>
  <si>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</si>
  <si>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</si>
  <si>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</si>
  <si>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</si>
  <si>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</si>
  <si>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</si>
  <si>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</si>
  <si>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</si>
  <si>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</si>
  <si>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</si>
  <si>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</si>
  <si>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</si>
  <si>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</si>
  <si>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</si>
  <si>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</si>
  <si>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</si>
  <si>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</si>
  <si>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</si>
  <si>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</si>
  <si>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</si>
  <si>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</si>
  <si>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</si>
  <si>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</si>
  <si>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</si>
  <si>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</si>
  <si>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</si>
  <si>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</si>
  <si>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</si>
  <si>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</si>
  <si>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</si>
  <si>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</si>
  <si>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</si>
  <si>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</si>
  <si>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</si>
  <si>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</si>
  <si>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</si>
  <si>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</si>
  <si>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</si>
  <si>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</si>
  <si>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</si>
  <si>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</si>
  <si>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</si>
  <si>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</si>
  <si>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</si>
  <si>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</si>
  <si>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</si>
  <si>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</si>
  <si>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</si>
  <si>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</si>
  <si>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</si>
  <si>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</si>
  <si>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</si>
  <si>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</si>
  <si>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</si>
  <si>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</si>
  <si>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</si>
  <si>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</si>
  <si>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</si>
  <si>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</si>
  <si>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</si>
  <si>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</si>
  <si>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</si>
  <si>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</si>
  <si>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</si>
  <si>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</si>
  <si>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</si>
  <si>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</si>
  <si>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</si>
  <si>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</si>
  <si>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</si>
  <si>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</si>
  <si>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</si>
  <si>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</si>
  <si>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</si>
  <si>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</si>
  <si>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</si>
  <si>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</si>
  <si>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</si>
  <si>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</si>
  <si>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</si>
  <si>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</si>
  <si>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</si>
  <si>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</si>
  <si>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</si>
  <si>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</si>
  <si>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</si>
  <si>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</si>
  <si>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</si>
  <si>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</si>
  <si>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</si>
  <si>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</si>
  <si>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</si>
  <si>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</si>
  <si>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</si>
  <si>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</si>
  <si>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</si>
  <si>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</si>
  <si>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</si>
  <si>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</si>
  <si>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</si>
  <si>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</si>
  <si>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</si>
  <si>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</si>
  <si>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</si>
  <si>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</si>
  <si>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</si>
  <si>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</si>
  <si>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</si>
  <si>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</si>
  <si>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</si>
  <si>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</si>
  <si>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</si>
  <si>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</si>
  <si>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</si>
  <si>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</si>
  <si>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</si>
  <si>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</si>
  <si>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</si>
  <si>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</si>
  <si>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</si>
  <si>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</si>
  <si>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</si>
  <si>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</si>
  <si>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</si>
  <si>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</si>
  <si>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</si>
  <si>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</si>
  <si>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</si>
  <si>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</si>
  <si>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</si>
  <si>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</si>
  <si>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</si>
  <si>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</si>
  <si>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</si>
  <si>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</si>
  <si>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</si>
  <si>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</si>
  <si>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</si>
  <si>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</si>
  <si>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</si>
  <si>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</si>
  <si>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</si>
  <si>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</si>
  <si>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</si>
  <si>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</si>
  <si>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</si>
  <si>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</si>
  <si>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</si>
  <si>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</si>
  <si>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</si>
  <si>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</si>
  <si>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</si>
  <si>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</si>
  <si>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</si>
  <si>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</si>
  <si>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</si>
  <si>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</si>
  <si>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</si>
  <si>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</si>
  <si>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</si>
  <si>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</si>
  <si>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</si>
  <si>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</si>
  <si>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</si>
  <si>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</si>
  <si>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</si>
  <si>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</si>
  <si>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</si>
  <si>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</si>
  <si>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</si>
  <si>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</si>
  <si>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</si>
  <si>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</si>
  <si>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</si>
  <si>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</si>
  <si>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</si>
  <si>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</si>
  <si>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</si>
  <si>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</si>
  <si>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</si>
  <si>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</si>
  <si>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</si>
  <si>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</si>
  <si>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</si>
  <si>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</si>
  <si>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</si>
  <si>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</si>
  <si>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</si>
  <si>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</si>
  <si>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</si>
  <si>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</si>
  <si>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</si>
  <si>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</si>
  <si>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</si>
  <si>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</si>
  <si>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</si>
  <si>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</si>
  <si>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</si>
  <si>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</si>
  <si>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</si>
  <si>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</si>
  <si>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</si>
  <si>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</si>
  <si>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</si>
  <si>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</si>
  <si>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</si>
  <si>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</si>
  <si>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</si>
  <si>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</si>
  <si>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</si>
  <si>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</si>
  <si>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</si>
  <si>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</si>
  <si>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</si>
  <si>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</si>
  <si>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</si>
  <si>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</si>
  <si>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</si>
  <si>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</si>
  <si>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</si>
  <si>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</si>
  <si>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</si>
  <si>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</si>
  <si>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</si>
  <si>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</si>
  <si>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</si>
  <si>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</si>
  <si>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</si>
  <si>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</si>
  <si>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</si>
  <si>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</si>
  <si>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</si>
  <si>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</si>
  <si>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</si>
  <si>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</si>
  <si>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</si>
  <si>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</si>
  <si>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</si>
  <si>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</si>
  <si>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</si>
  <si>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</si>
  <si>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</si>
  <si>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</si>
  <si>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</si>
  <si>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</si>
  <si>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</si>
  <si>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</si>
  <si>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</si>
  <si>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</si>
  <si>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</si>
  <si>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</si>
  <si>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</si>
  <si>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</si>
  <si>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</si>
  <si>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</si>
  <si>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</si>
  <si>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</si>
  <si>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</si>
  <si>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</si>
  <si>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</si>
  <si>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</si>
  <si>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</si>
  <si>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</si>
  <si>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</si>
  <si>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</si>
  <si>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</si>
  <si>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</si>
  <si>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</si>
  <si>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</si>
  <si>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</si>
  <si>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</si>
  <si>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</si>
  <si>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</si>
  <si>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</si>
  <si>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</si>
  <si>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</si>
  <si>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</si>
  <si>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</si>
  <si>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</si>
  <si>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</si>
  <si>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</si>
  <si>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</si>
  <si>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</si>
  <si>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</si>
  <si>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</si>
  <si>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</si>
  <si>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</si>
  <si>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</si>
  <si>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</si>
  <si>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</si>
  <si>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</si>
  <si>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</si>
  <si>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</si>
  <si>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</si>
  <si>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</si>
  <si>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</si>
  <si>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</si>
  <si>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</si>
  <si>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</si>
  <si>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</si>
  <si>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</si>
  <si>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</si>
  <si>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</si>
  <si>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</si>
  <si>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</si>
  <si>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</si>
  <si>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</si>
  <si>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</si>
  <si>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</si>
  <si>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</si>
  <si>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</si>
  <si>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</si>
  <si>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</si>
  <si>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</si>
  <si>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</si>
  <si>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</si>
  <si>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</si>
  <si>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</si>
  <si>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</si>
  <si>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</si>
  <si>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</si>
  <si>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</si>
  <si>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</si>
  <si>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</si>
  <si>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</si>
  <si>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</si>
  <si>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</si>
  <si>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</si>
  <si>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</si>
  <si>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</si>
  <si>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</si>
  <si>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</si>
  <si>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</si>
  <si>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</si>
  <si>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</si>
  <si>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</si>
  <si>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</si>
  <si>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</si>
  <si>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</si>
  <si>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</si>
  <si>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</si>
  <si>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</si>
  <si>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</si>
  <si>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</si>
  <si>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</si>
  <si>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</si>
  <si>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</si>
  <si>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</si>
  <si>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</si>
  <si>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</si>
  <si>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</si>
  <si>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</si>
  <si>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</si>
  <si>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</si>
  <si>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</si>
  <si>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</si>
  <si>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</si>
  <si>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</si>
  <si>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</si>
  <si>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</si>
  <si>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</si>
  <si>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</si>
  <si>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</si>
  <si>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</si>
  <si>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</si>
  <si>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</si>
  <si>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</si>
  <si>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</si>
  <si>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</si>
  <si>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</si>
  <si>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</si>
  <si>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</si>
  <si>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</si>
  <si>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</si>
  <si>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</si>
  <si>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</si>
  <si>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</si>
  <si>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</si>
  <si>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</si>
  <si>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</si>
  <si>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</si>
  <si>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</si>
  <si>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</si>
  <si>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</si>
  <si>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</si>
  <si>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</si>
  <si>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</si>
  <si>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</si>
  <si>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</si>
  <si>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</si>
  <si>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</si>
  <si>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</si>
  <si>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</si>
  <si>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</si>
  <si>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</si>
  <si>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</si>
  <si>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</si>
  <si>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</si>
  <si>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</si>
  <si>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</si>
  <si>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</si>
  <si>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</si>
  <si>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</si>
  <si>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</si>
  <si>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</si>
  <si>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</si>
  <si>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</si>
  <si>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</si>
  <si>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</si>
  <si>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</si>
  <si>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</si>
  <si>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</si>
  <si>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</si>
  <si>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</si>
  <si>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</si>
  <si>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</si>
  <si>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</si>
  <si>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</si>
  <si>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</si>
  <si>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</si>
  <si>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</si>
  <si>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</si>
  <si>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</si>
  <si>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</si>
  <si>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</si>
  <si>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</si>
  <si>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</si>
  <si>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</si>
  <si>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</si>
  <si>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</si>
  <si>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</si>
  <si>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</si>
  <si>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</si>
  <si>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</si>
  <si>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</si>
  <si>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</si>
  <si>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</si>
  <si>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</si>
  <si>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</si>
  <si>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</si>
  <si>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</si>
  <si>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</si>
  <si>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</si>
  <si>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</si>
  <si>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</si>
  <si>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</si>
  <si>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</si>
  <si>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</si>
  <si>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</si>
  <si>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</si>
  <si>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</si>
  <si>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</si>
  <si>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</si>
  <si>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</si>
  <si>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</si>
  <si>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</si>
  <si>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</si>
  <si>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</si>
  <si>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</si>
  <si>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</si>
  <si>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</si>
  <si>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</si>
  <si>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</si>
  <si>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</si>
  <si>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</si>
  <si>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</si>
  <si>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</si>
  <si>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</si>
  <si>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</si>
  <si>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</si>
  <si>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</si>
  <si>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</si>
  <si>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</si>
  <si>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</si>
  <si>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</si>
  <si>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</si>
  <si>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</si>
  <si>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</si>
  <si>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</si>
  <si>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</si>
  <si>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</si>
  <si>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</si>
  <si>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</si>
  <si>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</si>
  <si>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</si>
  <si>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</si>
  <si>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</si>
  <si>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</si>
  <si>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</si>
  <si>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</si>
  <si>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</si>
  <si>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</si>
  <si>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</si>
  <si>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</si>
  <si>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</si>
  <si>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</si>
  <si>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</si>
  <si>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</si>
  <si>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</si>
  <si>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</si>
  <si>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</si>
  <si>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</si>
  <si>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</si>
  <si>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</si>
  <si>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</si>
  <si>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</si>
  <si>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</si>
  <si>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</si>
  <si>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</si>
  <si>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</si>
  <si>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</si>
  <si>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</si>
  <si>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</si>
  <si>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</si>
  <si>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</si>
  <si>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</si>
  <si>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</si>
  <si>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</si>
  <si>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</si>
  <si>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</si>
  <si>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</si>
  <si>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</si>
  <si>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</si>
  <si>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</si>
  <si>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</si>
  <si>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</si>
  <si>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</si>
  <si>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</si>
  <si>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</si>
  <si>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</si>
  <si>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</si>
  <si>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</si>
  <si>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</si>
  <si>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</si>
  <si>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</si>
  <si>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</si>
  <si>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</si>
  <si>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</si>
  <si>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</si>
  <si>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</si>
  <si>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</si>
  <si>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</si>
  <si>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</si>
  <si>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</si>
  <si>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</si>
  <si>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</si>
  <si>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</si>
  <si>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</si>
  <si>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</si>
  <si>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</si>
  <si>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</si>
  <si>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</si>
  <si>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</si>
  <si>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</si>
  <si>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</si>
  <si>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</si>
  <si>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</si>
  <si>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</si>
  <si>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</si>
  <si>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</si>
  <si>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</si>
  <si>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</si>
  <si>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</si>
  <si>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</si>
  <si>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</si>
  <si>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</si>
  <si>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</si>
  <si>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</si>
  <si>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</si>
  <si>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</si>
  <si>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</si>
  <si>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</si>
  <si>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</si>
  <si>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</si>
  <si>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</si>
  <si>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</si>
  <si>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</si>
  <si>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</si>
  <si>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</si>
  <si>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</si>
  <si>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</si>
  <si>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</si>
  <si>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</si>
  <si>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</si>
  <si>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</si>
  <si>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</si>
  <si>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</si>
  <si>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</si>
  <si>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</si>
  <si>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</si>
  <si>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</si>
  <si>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</si>
  <si>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</si>
  <si>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</si>
  <si>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</si>
  <si>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</si>
  <si>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</si>
  <si>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</si>
  <si>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</si>
  <si>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</si>
  <si>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</si>
  <si>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</si>
  <si>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</si>
  <si>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</si>
  <si>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</si>
  <si>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</si>
  <si>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</si>
  <si>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</si>
  <si>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</si>
  <si>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</si>
  <si>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</si>
  <si>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</si>
  <si>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</si>
  <si>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</si>
  <si>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</si>
  <si>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</si>
  <si>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</si>
  <si>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</si>
  <si>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</si>
  <si>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</si>
  <si>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</si>
  <si>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</si>
  <si>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</si>
  <si>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</si>
  <si>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</si>
  <si>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</si>
  <si>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</si>
  <si>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</si>
  <si>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</si>
  <si>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</si>
  <si>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</si>
  <si>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</si>
  <si>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</si>
  <si>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</si>
  <si>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</si>
  <si>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</si>
  <si>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</si>
  <si>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</si>
  <si>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</si>
  <si>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</si>
  <si>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</si>
  <si>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</si>
  <si>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</si>
  <si>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</si>
  <si>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</si>
  <si>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</si>
  <si>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</si>
  <si>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</si>
  <si>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</si>
  <si>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</si>
  <si>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</si>
  <si>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</si>
  <si>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</si>
  <si>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</si>
  <si>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</si>
  <si>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</si>
  <si>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</si>
  <si>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</si>
  <si>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</si>
  <si>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</si>
  <si>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</si>
  <si>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</si>
  <si>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</si>
  <si>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</si>
  <si>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</si>
  <si>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</si>
  <si>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</si>
  <si>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</si>
  <si>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</si>
  <si>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</si>
  <si>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</si>
  <si>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</si>
  <si>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</si>
  <si>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</si>
  <si>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</si>
  <si>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</si>
  <si>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</si>
  <si>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</si>
  <si>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</si>
  <si>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</si>
  <si>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</si>
  <si>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</si>
  <si>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</si>
  <si>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</si>
  <si>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</si>
  <si>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</si>
  <si>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</si>
  <si>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</si>
  <si>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</si>
  <si>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</si>
  <si>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</si>
  <si>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</si>
  <si>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</si>
  <si>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</si>
  <si>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</si>
  <si>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</si>
  <si>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</si>
  <si>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</si>
  <si>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</si>
  <si>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</si>
  <si>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</si>
  <si>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</si>
  <si>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</si>
  <si>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</si>
  <si>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</si>
  <si>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</si>
  <si>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</si>
  <si>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</si>
  <si>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</si>
  <si>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</si>
  <si>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</si>
  <si>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</si>
  <si>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</si>
  <si>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</si>
  <si>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</si>
  <si>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</si>
  <si>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</si>
  <si>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</si>
  <si>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</si>
  <si>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</si>
  <si>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</si>
  <si>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</si>
  <si>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</si>
  <si>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</si>
  <si>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</si>
  <si>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</si>
  <si>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</si>
  <si>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</si>
  <si>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</si>
  <si>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</si>
  <si>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</si>
  <si>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</si>
  <si>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</si>
  <si>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</si>
  <si>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</si>
  <si>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</si>
  <si>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</si>
  <si>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</si>
  <si>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</si>
  <si>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</si>
  <si>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</si>
  <si>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</si>
  <si>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</si>
  <si>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</si>
  <si>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</si>
  <si>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</si>
  <si>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</si>
  <si>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</si>
  <si>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</si>
  <si>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</si>
  <si>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</si>
  <si>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</si>
  <si>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</si>
  <si>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</si>
  <si>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</si>
  <si>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</si>
  <si>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</si>
  <si>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</si>
  <si>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</si>
  <si>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</si>
  <si>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</si>
  <si>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</si>
  <si>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</si>
  <si>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</si>
  <si>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</si>
  <si>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</si>
  <si>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</si>
  <si>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</si>
  <si>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</si>
  <si>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</si>
  <si>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</si>
  <si>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</si>
  <si>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</si>
  <si>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</si>
  <si>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</si>
  <si>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</si>
  <si>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</si>
  <si>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</si>
  <si>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</si>
  <si>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</si>
  <si>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</si>
  <si>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</si>
  <si>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</si>
  <si>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</si>
  <si>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</si>
  <si>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</si>
  <si>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</si>
  <si>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</si>
  <si>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</si>
  <si>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</si>
  <si>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</si>
  <si>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</si>
  <si>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</si>
  <si>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</si>
  <si>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</si>
  <si>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</si>
  <si>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</si>
  <si>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</si>
  <si>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</si>
  <si>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</si>
  <si>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</si>
  <si>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</si>
  <si>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</si>
  <si>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</si>
  <si>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</si>
  <si>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</si>
  <si>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</si>
  <si>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</si>
  <si>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</si>
  <si>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</si>
  <si>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</si>
  <si>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</si>
  <si>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</si>
  <si>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</si>
  <si>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</si>
  <si>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r>
      <rPr>
        <sz val="10"/>
        <color theme="9" tint="-0.249977111117893"/>
        <rFont val="宋体"/>
        <family val="3"/>
        <charset val="134"/>
      </rPr>
      <t>北京市朝阳区朝阳门外大街</t>
    </r>
    <r>
      <rPr>
        <sz val="10"/>
        <color theme="9" tint="-0.249977111117893"/>
        <rFont val="Arial"/>
        <family val="2"/>
      </rPr>
      <t>18</t>
    </r>
    <r>
      <rPr>
        <sz val="10"/>
        <color theme="9" tint="-0.249977111117893"/>
        <rFont val="宋体"/>
        <family val="3"/>
        <charset val="134"/>
      </rPr>
      <t>号</t>
    </r>
    <phoneticPr fontId="7" type="noConversion"/>
  </si>
  <si>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</si>
  <si>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</si>
  <si>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</si>
  <si>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</si>
  <si>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</si>
  <si>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</si>
  <si>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</si>
  <si>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</si>
  <si>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</si>
  <si>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</si>
  <si>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</si>
  <si>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</si>
  <si>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</si>
  <si>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</si>
  <si>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收益法 (元)</t>
  </si>
  <si>
    <t>自定义容积率</t>
  </si>
  <si>
    <t>朝阳门外大街</t>
  </si>
  <si>
    <t>与级别开发程度不一致</t>
  </si>
  <si>
    <t>楼层修正</t>
  </si>
  <si>
    <t>较好</t>
  </si>
  <si>
    <r>
      <rPr>
        <sz val="10"/>
        <color theme="9" tint="-0.249977111117893"/>
        <rFont val="宋体"/>
        <family val="3"/>
        <charset val="134"/>
      </rPr>
      <t>估价对象位于朝阳门商圈，周边悠唐国际中心、</t>
    </r>
    <r>
      <rPr>
        <sz val="10"/>
        <color theme="9" tint="-0.249977111117893"/>
        <rFont val="Arial"/>
        <family val="2"/>
      </rPr>
      <t>THE BPX</t>
    </r>
    <r>
      <rPr>
        <sz val="10"/>
        <color theme="9" tint="-0.249977111117893"/>
        <rFont val="宋体"/>
        <family val="3"/>
        <charset val="134"/>
      </rPr>
      <t>等购物中心项目，人流量较大，商业繁华度较好</t>
    </r>
    <phoneticPr fontId="4" type="noConversion"/>
  </si>
  <si>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</si>
  <si>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周边有75、110、420路及地铁2号、6号线，周边道路密集，停车便捷程度，综合评价交通便捷度较好</t>
    <phoneticPr fontId="4" type="noConversion"/>
  </si>
  <si>
    <t>估价对象所在区域银行、购物场所、学校等公共配套设施齐备，综合评价公共配套设施水平较好</t>
    <phoneticPr fontId="4" type="noConversion"/>
  </si>
  <si>
    <t>估价对象所在区域基础设施水平“七通一平</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</si>
  <si>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</si>
  <si>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</si>
  <si>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好</t>
  </si>
  <si>
    <t>未包含在土地购买价格中</t>
  </si>
  <si>
    <t>已包含在土地取得成本中</t>
  </si>
  <si>
    <t>押一</t>
  </si>
  <si>
    <t>钢混</t>
  </si>
  <si>
    <t>非生产用房</t>
  </si>
  <si>
    <t>现房</t>
  </si>
  <si>
    <t>项目局部</t>
  </si>
  <si>
    <t>成本法 (元)</t>
  </si>
  <si>
    <t>成本法办</t>
    <phoneticPr fontId="17" type="noConversion"/>
  </si>
  <si>
    <t>收益法办</t>
    <phoneticPr fontId="17" type="noConversion"/>
  </si>
  <si>
    <t>总建筑面积</t>
    <phoneticPr fontId="4" type="noConversion"/>
  </si>
  <si>
    <t>总土地面积</t>
    <phoneticPr fontId="4" type="noConversion"/>
  </si>
  <si>
    <t>楼面单价</t>
  </si>
  <si>
    <t>出让金+开发费</t>
  </si>
  <si>
    <t>企业提供（在右侧录入）</t>
  </si>
  <si>
    <t>情况3</t>
  </si>
  <si>
    <t>正常</t>
  </si>
  <si>
    <t>自行开发建设</t>
  </si>
  <si>
    <t>非个人房产</t>
  </si>
  <si>
    <t>丰联广场，办公单价33000-34000元/平方米，净值大概是31000-32000元/平方米；地下商业17000-18000元/平方米，净值16000-17000元/平方米；另外就是商业剩余年期很短了，大概就不到9年了，好像有的银行低于10年就不能贷了</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</si>
</sst>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北京市北京市朝阳区朝阳门外大街18号房地产抵押价值预评估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受贵公司委托，我公司对北京市北京市朝阳区朝阳门外大街18号房地产抵押价值进行了预评估。</v>
      </c>
    </row>
    <row r="7" spans="1:2">
      <c r="A7" s="1119" t="s">
        <v>566</v>
      </c>
      <c r="B7" s="1120" t="str">
        <f>'预评函-1'!A7</f>
        <v>估价对象为北京市北京市朝阳区朝阳门外大街18号房地产，为所有。根据《国有土地使用证》[]，估价对象（分摊）出让国有建设用地使用权面积为225.09平方米，建筑面积为1964.21平方米。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朝阳区朝阳门外大街18号房地产,属开发建设的，该项目尚在开发建设中。根据《国有土地使用证》[]，估价对象（分摊）出让国有建设用地使用权面积为225.09平方米，规划建筑面积为1964.21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2025年4月18日（评估专业人员实地查勘之日）</v>
      </c>
    </row>
    <row r="13" spans="1:2">
      <c r="A13" s="1119" t="s">
        <v>529</v>
      </c>
      <c r="B13" s="1120"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3348</v>
      </c>
    </row>
    <row r="21" spans="1:2">
      <c r="A21" s="1119" t="s">
        <v>537</v>
      </c>
      <c r="B21" s="1120">
        <f ca="1">'预评函-2'!D7</f>
        <v>17044</v>
      </c>
    </row>
    <row r="22" spans="1:2">
      <c r="A22" s="1119" t="s">
        <v>538</v>
      </c>
      <c r="B22" s="1120" t="str">
        <f ca="1">'预评函-2'!D6</f>
        <v>叁仟叁佰肆拾捌万元整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3348</v>
      </c>
    </row>
    <row r="31" spans="1:2">
      <c r="A31" s="1119" t="s">
        <v>576</v>
      </c>
      <c r="B31" s="1120">
        <f ca="1">'预评函-2'!D15</f>
        <v>17044</v>
      </c>
    </row>
    <row r="32" spans="1:2">
      <c r="A32" s="1119" t="s">
        <v>543</v>
      </c>
      <c r="B32" s="1120" t="str">
        <f ca="1">'预评函-2'!D14</f>
        <v>叁仟叁佰肆拾捌万元整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3144</v>
      </c>
    </row>
    <row r="39" spans="1:2">
      <c r="A39" s="1119" t="s">
        <v>545</v>
      </c>
      <c r="B39" s="1120">
        <f ca="1">'预评函-2'!D21</f>
        <v>16006</v>
      </c>
    </row>
    <row r="40" spans="1:2">
      <c r="A40" s="1119" t="s">
        <v>546</v>
      </c>
      <c r="B40" s="1120" t="str">
        <f ca="1">'预评函-2'!D20</f>
        <v>叁仟壹佰肆拾肆万元整</v>
      </c>
    </row>
    <row r="41" spans="1:2">
      <c r="A41" s="1119" t="s">
        <v>592</v>
      </c>
      <c r="B41" s="1120" t="str">
        <f>'预评函-3'!A4</f>
        <v>北京市北京市朝阳区朝阳门外大街18号房地产</v>
      </c>
    </row>
    <row r="42" spans="1:2" ht="31.2">
      <c r="A42" s="1119" t="s">
        <v>590</v>
      </c>
      <c r="B42" s="1120" t="str">
        <f>'预评函-3'!B2</f>
        <v>建筑面积</v>
      </c>
    </row>
    <row r="43" spans="1:2">
      <c r="A43" s="1119" t="s">
        <v>591</v>
      </c>
      <c r="B43" s="1120">
        <f>'预评函-3'!B4</f>
        <v>1964.21</v>
      </c>
    </row>
    <row r="44" spans="1:2" ht="31.2">
      <c r="A44" s="1119" t="s">
        <v>575</v>
      </c>
      <c r="B44" s="1120" t="str">
        <f>'预评函-3'!C2</f>
        <v>(分摊)土地面积</v>
      </c>
    </row>
    <row r="45" spans="1:2">
      <c r="A45" s="1119" t="s">
        <v>547</v>
      </c>
      <c r="B45" s="1120">
        <f>'预评函-3'!C4</f>
        <v>225.09</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2573</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2574</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4" t="s">
        <v>3450</v>
      </c>
      <c r="C19" s="1442"/>
    </row>
    <row r="20" spans="1:3">
      <c r="A20" s="1441" t="s">
        <v>1048</v>
      </c>
      <c r="B20" s="1444" t="s">
        <v>3451</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6" t="s">
        <v>2576</v>
      </c>
      <c r="J2" s="3206"/>
      <c r="K2" s="3206"/>
      <c r="L2" s="3206"/>
      <c r="M2" s="3206"/>
      <c r="N2" s="3206"/>
      <c r="O2" s="3206"/>
      <c r="P2" s="3206"/>
      <c r="Q2" s="3206"/>
      <c r="R2" s="3206"/>
    </row>
    <row r="3" spans="1:18">
      <c r="A3" s="2760" t="s">
        <v>2497</v>
      </c>
      <c r="B3" s="2761">
        <f>项目基本情况!D3</f>
        <v>45765</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11.67</v>
      </c>
      <c r="D6" s="2765">
        <f>IF(ISERROR(ROUND(POWER(1+E6,A6-C6)*(POWER(1+E6,C6)-1)/(POWER(1+E6,A6)-1),3)),0,ROUND(POWER(1+E6,A6-C6)*(POWER(1+E6,C6)-1)/(POWER(1+E6,A6)-1),4))</f>
        <v>0.4274</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31.69</v>
      </c>
      <c r="D7" s="2765">
        <f>IF(ISERROR(ROUND(POWER(1+E7,A7-C7)*(POWER(1+E7,C7)-1)/(POWER(1+E7,A7)-1),3)),0,ROUND(POWER(1+E7,A7-C7)*(POWER(1+E7,C7)-1)/(POWER(1+E7,A7)-1),4))</f>
        <v>0.76029999999999998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J36" sqref="J3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北京市北京市朝阳区朝阳门外大街18号房地产抵押价值预评估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北京市北京市朝阳区朝阳门外大街18号房地产</v>
      </c>
      <c r="T2" s="1618"/>
      <c r="U2" s="1618"/>
      <c r="V2" s="1618"/>
      <c r="W2" s="1618"/>
      <c r="X2" s="1618"/>
      <c r="Y2" s="1618"/>
      <c r="Z2" s="1618"/>
      <c r="AA2" s="1618"/>
      <c r="AB2" s="1618"/>
    </row>
    <row r="3" spans="1:30">
      <c r="A3" s="294" t="s">
        <v>2170</v>
      </c>
      <c r="B3" s="2185">
        <v>45765</v>
      </c>
      <c r="C3" s="2186" t="s">
        <v>2171</v>
      </c>
      <c r="D3" s="2185">
        <f>B3</f>
        <v>45765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3407</v>
      </c>
      <c r="C4" s="2188">
        <f ca="1">SUMIF(注册房地产估价师,B4,估价师及机构信息!B3:B24)</f>
        <v>1419970001</v>
      </c>
      <c r="D4" s="2187" t="s">
        <v>3408</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3409</v>
      </c>
      <c r="C8" s="2201"/>
      <c r="D8" s="3217" t="s">
        <v>2177</v>
      </c>
      <c r="E8" s="2202" t="s">
        <v>3410</v>
      </c>
      <c r="F8" s="2203"/>
      <c r="G8" s="2440"/>
      <c r="H8" s="2440"/>
      <c r="I8" s="2440"/>
      <c r="J8" s="2245"/>
      <c r="K8" s="2398"/>
      <c r="L8" s="2397"/>
      <c r="M8" s="2397"/>
      <c r="N8" s="2245"/>
      <c r="O8" s="1670"/>
      <c r="P8" s="2245"/>
      <c r="Q8" s="2245"/>
      <c r="R8" s="2245"/>
    </row>
    <row r="9" spans="1:30" ht="13.8" thickBot="1">
      <c r="A9" s="2204" t="s">
        <v>2178</v>
      </c>
      <c r="B9" s="2205" t="s">
        <v>3410</v>
      </c>
      <c r="C9" s="2206"/>
      <c r="D9" s="3218"/>
      <c r="E9" s="2205" t="s">
        <v>587</v>
      </c>
      <c r="F9" s="2207"/>
      <c r="G9" s="2441"/>
      <c r="H9" s="2441"/>
      <c r="I9" s="2441"/>
      <c r="J9" s="2245"/>
      <c r="K9" s="2400"/>
      <c r="L9" s="2397"/>
      <c r="M9" s="2397"/>
      <c r="N9" s="2245"/>
      <c r="O9" s="1670"/>
      <c r="P9" s="2245"/>
      <c r="Q9" s="2245"/>
      <c r="R9" s="2245"/>
    </row>
    <row r="10" spans="1:30" ht="13.8" thickTop="1">
      <c r="A10" s="2208" t="s">
        <v>2179</v>
      </c>
      <c r="B10" s="2209" t="s">
        <v>3411</v>
      </c>
      <c r="C10" s="2210"/>
      <c r="D10" s="2193"/>
      <c r="E10" s="2211" t="s">
        <v>2180</v>
      </c>
      <c r="F10" s="3160" t="s">
        <v>3413</v>
      </c>
      <c r="G10" s="2442"/>
      <c r="H10" s="2443"/>
      <c r="I10" s="2444"/>
      <c r="J10" s="2245"/>
      <c r="K10" s="2400"/>
      <c r="L10" s="2397"/>
      <c r="M10" s="2397"/>
      <c r="N10" s="2245"/>
      <c r="O10" s="1670"/>
      <c r="P10" s="2245"/>
      <c r="Q10" s="2245"/>
      <c r="R10" s="2245"/>
    </row>
    <row r="11" spans="1:30">
      <c r="A11" s="2212" t="s">
        <v>2181</v>
      </c>
      <c r="B11" s="2213" t="s">
        <v>3412</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2572</v>
      </c>
      <c r="J12" s="2800"/>
      <c r="K12" s="2397"/>
      <c r="L12" s="2397"/>
      <c r="M12" s="2245"/>
      <c r="N12" s="1670"/>
      <c r="O12" s="2245"/>
      <c r="P12" s="2245"/>
      <c r="Q12" s="2245"/>
      <c r="AD12" s="1618"/>
    </row>
    <row r="13" spans="1:30">
      <c r="A13" s="3119" t="s">
        <v>3328</v>
      </c>
      <c r="B13" s="2218" t="s">
        <v>2190</v>
      </c>
      <c r="C13" s="803"/>
      <c r="D13" s="803">
        <v>48977</v>
      </c>
      <c r="E13" s="803">
        <v>52629</v>
      </c>
      <c r="F13" s="803"/>
      <c r="G13" s="803"/>
      <c r="H13" s="803"/>
      <c r="I13" s="803"/>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8.8000000000000007</v>
      </c>
      <c r="E15" s="2221">
        <f>IF(A13="出让",IF(E13="","",ROUNDDOWN(MIN((E13-$D$3)/365,E14),2)),E14)</f>
        <v>18.8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24"/>
      <c r="C16" s="3225"/>
      <c r="D16" s="3226"/>
      <c r="E16" s="2222" t="s">
        <v>2194</v>
      </c>
      <c r="F16" s="3227"/>
      <c r="G16" s="3228"/>
      <c r="H16" s="3228"/>
      <c r="I16" s="3229"/>
      <c r="J16" s="2245"/>
      <c r="K16" s="2401"/>
      <c r="L16" s="1670"/>
      <c r="M16" s="1670"/>
      <c r="N16" s="2245"/>
      <c r="O16" s="1670"/>
      <c r="P16" s="2245"/>
      <c r="Q16" s="2245"/>
      <c r="R16" s="2245"/>
    </row>
    <row r="17" spans="1:28">
      <c r="A17" s="305" t="s">
        <v>2195</v>
      </c>
      <c r="B17" s="294" t="s">
        <v>2196</v>
      </c>
      <c r="C17" s="8">
        <f>'数据-汇总表'!E3</f>
        <v>1964.21</v>
      </c>
      <c r="D17" s="1256" t="s">
        <v>2197</v>
      </c>
      <c r="E17" s="3230" t="s">
        <v>2198</v>
      </c>
      <c r="F17" s="3231"/>
      <c r="G17" s="3231"/>
      <c r="H17" s="3231"/>
      <c r="I17" s="3232"/>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225.09</v>
      </c>
      <c r="D18" s="1029" t="s">
        <v>2201</v>
      </c>
      <c r="E18" s="3233" t="s">
        <v>2202</v>
      </c>
      <c r="F18" s="3234"/>
      <c r="G18" s="3234"/>
      <c r="H18" s="3234"/>
      <c r="I18" s="3235"/>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20" t="s">
        <v>2206</v>
      </c>
      <c r="C20" s="3221"/>
      <c r="D20" s="3222" t="s">
        <v>2207</v>
      </c>
      <c r="E20" s="3223"/>
      <c r="F20" s="2428" t="s">
        <v>1056</v>
      </c>
      <c r="G20" s="2440"/>
      <c r="H20" s="2440"/>
      <c r="I20" s="2440"/>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08"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08"/>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08"/>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09"/>
      <c r="B30" s="294" t="s">
        <v>2218</v>
      </c>
      <c r="C30" s="3210"/>
      <c r="D30" s="3211"/>
      <c r="E30" s="2440"/>
      <c r="F30" s="2440"/>
      <c r="G30" s="2440"/>
      <c r="H30" s="2440"/>
      <c r="I30" s="2440"/>
      <c r="J30" s="2245"/>
      <c r="K30" s="2400"/>
      <c r="L30" s="2397"/>
      <c r="M30" s="2397"/>
      <c r="N30" s="2245"/>
      <c r="O30" s="1670"/>
      <c r="P30" s="2245"/>
      <c r="Q30" s="2245"/>
      <c r="R30" s="2245"/>
      <c r="S30" s="2245"/>
      <c r="T30" s="2245"/>
      <c r="U30" s="2245"/>
      <c r="V30" s="2245"/>
    </row>
    <row r="31" spans="1:28">
      <c r="A31" s="3212"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1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1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3414</v>
      </c>
      <c r="C34" s="1870" t="s">
        <v>3415</v>
      </c>
      <c r="D34" s="1870" t="s">
        <v>3416</v>
      </c>
      <c r="E34" s="1870" t="s">
        <v>3417</v>
      </c>
      <c r="F34" s="1870" t="s">
        <v>3418</v>
      </c>
      <c r="G34" s="1870" t="s">
        <v>3420</v>
      </c>
      <c r="H34" s="1870" t="s">
        <v>3419</v>
      </c>
      <c r="I34" s="2440"/>
      <c r="J34" s="2245"/>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5"/>
      <c r="V34" s="2245"/>
    </row>
    <row r="35" spans="1:30">
      <c r="A35" s="2236"/>
      <c r="B35" s="3207" t="s">
        <v>2229</v>
      </c>
      <c r="C35" s="3207"/>
      <c r="D35" s="3207"/>
      <c r="E35" s="3207"/>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07"/>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2575</v>
      </c>
      <c r="G36" s="2440"/>
      <c r="H36" s="2440"/>
      <c r="I36" s="2440"/>
      <c r="J36" s="2245"/>
      <c r="K36" s="2400"/>
      <c r="L36" s="2397"/>
      <c r="M36" s="2397"/>
      <c r="N36" s="2245"/>
      <c r="O36" s="1670"/>
      <c r="P36" s="2245"/>
      <c r="Q36" s="2245"/>
      <c r="R36" s="2245"/>
      <c r="S36" s="2245"/>
      <c r="T36" s="2245"/>
      <c r="U36" s="2245"/>
      <c r="V36" s="2245"/>
    </row>
    <row r="37" spans="1:30">
      <c r="A37" s="2413" t="s">
        <v>2230</v>
      </c>
      <c r="B37" s="2237" t="s">
        <v>144</v>
      </c>
      <c r="C37" s="2237" t="s">
        <v>144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t="s">
        <v>145</v>
      </c>
      <c r="C38" s="2238" t="s">
        <v>145</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ROUND(H5/B13*B14,2)</f>
        <v>225.09</v>
      </c>
      <c r="B3" s="11">
        <f>IF(C3="否",G5-AT5,G5)</f>
        <v>1964.21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1964.21</v>
      </c>
      <c r="H5" s="13">
        <f t="shared" ref="H5:AT5" si="0">SUM(H13:H656)</f>
        <v>1964.21</v>
      </c>
      <c r="I5" s="13">
        <f t="shared" si="0"/>
        <v>1964.21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1964.21</v>
      </c>
      <c r="BA5" s="15">
        <f t="shared" si="1"/>
        <v>1964.21</v>
      </c>
      <c r="BB5" s="15">
        <f t="shared" si="1"/>
        <v>1964.21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225.09</v>
      </c>
      <c r="F6" s="13" t="s">
        <v>0</v>
      </c>
      <c r="G6" s="13" t="s">
        <v>1</v>
      </c>
      <c r="H6" s="17">
        <f>SUMIF(I$12:AB$12,"总值",I6:AB6)</f>
        <v>225.09</v>
      </c>
      <c r="I6" s="13">
        <f t="shared" ref="I6:AB6" si="2">ROUND($A$3*I5/$B$3,2)</f>
        <v>225.09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225.09</v>
      </c>
      <c r="AZ6" s="13" t="s">
        <v>2</v>
      </c>
      <c r="BA6" s="13">
        <f>ROUND($AY$6*BA5/$AZ$5,2)</f>
        <v>225.09</v>
      </c>
      <c r="BB6" s="13">
        <f>ROUND($AY$6*BB5/$AZ$5,2)</f>
        <v>225.09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3423</v>
      </c>
      <c r="J9" s="761"/>
      <c r="K9" s="1491" t="s">
        <v>3423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1"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3452</v>
      </c>
      <c r="B13" s="31">
        <v>93222.79</v>
      </c>
      <c r="C13" s="3161"/>
      <c r="D13" s="1513"/>
      <c r="E13" s="13">
        <f>IF($C$3="是",ROUND($A$3*G13/$B$3,2),ROUND($A$3*(G13-AT13)/$B$3,2))</f>
        <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f t="shared" si="6"/>
        <v>0</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3453</v>
      </c>
      <c r="B14" s="31">
        <v>10682.89</v>
      </c>
      <c r="C14" s="3161"/>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161" t="s">
        <v>3421</v>
      </c>
      <c r="D15" s="1513" t="s">
        <v>3422</v>
      </c>
      <c r="E15" s="13">
        <f>IF($C$3="是",ROUND($A$3*G15/$B$3,2),ROUND($A$3*(G15-AT15)/$B$3,2))</f>
        <v>225.09</v>
      </c>
      <c r="F15" s="29"/>
      <c r="G15" s="30">
        <f>H15+AC15+AT15</f>
        <v>1964.21</v>
      </c>
      <c r="H15" s="17">
        <f>SUMIF(I$12:AB$12,"总值",I15:AB15)</f>
        <v>1964.21</v>
      </c>
      <c r="I15" s="1514">
        <v>1964.21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B1层</v>
      </c>
      <c r="AY15" s="1260">
        <f>ROUND($AY$6*AZ15/$AZ$5,2)</f>
        <v>225.09</v>
      </c>
      <c r="AZ15" s="13">
        <f>BA15+BL15</f>
        <v>1964.21</v>
      </c>
      <c r="BA15" s="13">
        <f>SUM(BB15:BK15)</f>
        <v>1964.21</v>
      </c>
      <c r="BB15" s="13">
        <f>IF($D15="是",I15-J15,0)</f>
        <v>1964.21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Y19" sqref="Y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7"/>
      <c r="G2" s="2430"/>
      <c r="H2" s="2431"/>
      <c r="I2" s="2146" t="s">
        <v>1132</v>
      </c>
      <c r="J2" s="2437"/>
      <c r="K2" s="2437"/>
      <c r="L2" s="2437"/>
      <c r="M2" s="2437"/>
      <c r="N2" s="2438"/>
      <c r="O2" s="2437"/>
      <c r="P2" s="2437"/>
    </row>
    <row r="3" spans="1:16" ht="15" thickBot="1">
      <c r="A3" s="3246" t="s">
        <v>1105</v>
      </c>
      <c r="B3" s="3246"/>
      <c r="C3" s="3246"/>
      <c r="D3" s="41">
        <f>'数据-基础表'!AY6</f>
        <v>225.09</v>
      </c>
      <c r="E3" s="41">
        <f>'数据-基础表'!AZ5</f>
        <v>1964.21</v>
      </c>
      <c r="F3" s="2437"/>
      <c r="G3" s="42"/>
      <c r="H3" s="43" t="s">
        <v>1106</v>
      </c>
      <c r="I3" s="802">
        <f>ROUND('数据-基础表'!B3/'数据-基础表'!A3,2)</f>
        <v>8.73</v>
      </c>
      <c r="J3" s="2437"/>
      <c r="K3" s="2437"/>
      <c r="L3" s="2437"/>
      <c r="M3" s="2437"/>
      <c r="N3" s="2438"/>
      <c r="O3" s="2437"/>
      <c r="P3" s="2437"/>
    </row>
    <row r="4" spans="1:16" ht="14.4">
      <c r="A4" s="3247"/>
      <c r="B4" s="3248"/>
      <c r="C4" s="3249"/>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50" t="s">
        <v>1110</v>
      </c>
      <c r="C5" s="3250"/>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50" t="s">
        <v>1111</v>
      </c>
      <c r="C6" s="3250"/>
      <c r="D6" s="43">
        <f>ROUND($D$3*E6/$E$3,2)</f>
        <v>225.09</v>
      </c>
      <c r="E6" s="44">
        <f>E3-E5</f>
        <v>1964.21</v>
      </c>
      <c r="F6" s="2437"/>
      <c r="G6" s="1529" t="s">
        <v>1112</v>
      </c>
      <c r="H6" s="45" t="s">
        <v>1113</v>
      </c>
      <c r="I6" s="2433">
        <f>ROUND(F31/D31,2)</f>
        <v>8.73</v>
      </c>
      <c r="J6" s="2437"/>
      <c r="K6" s="2437"/>
      <c r="L6" s="2437"/>
      <c r="M6" s="2437"/>
      <c r="N6" s="2437"/>
      <c r="O6" s="2437"/>
      <c r="P6" s="2437"/>
    </row>
    <row r="7" spans="1:16" ht="15" thickBot="1">
      <c r="A7" s="3242"/>
      <c r="B7" s="3243"/>
      <c r="C7" s="3244"/>
      <c r="D7" s="1524" t="s">
        <v>1107</v>
      </c>
      <c r="E7" s="1528" t="s">
        <v>1114</v>
      </c>
      <c r="F7" s="2437"/>
      <c r="G7" s="2434" t="s">
        <v>1115</v>
      </c>
      <c r="H7" s="95"/>
      <c r="I7" s="2435">
        <v>8.73</v>
      </c>
      <c r="J7" s="2437"/>
      <c r="K7" s="2437"/>
      <c r="L7" s="2437"/>
      <c r="M7" s="2437"/>
      <c r="N7" s="2437"/>
      <c r="O7" s="2437"/>
      <c r="P7" s="2437"/>
    </row>
    <row r="8" spans="1:16" ht="14.4">
      <c r="A8" s="42" t="s">
        <v>1116</v>
      </c>
      <c r="B8" s="45" t="s">
        <v>1117</v>
      </c>
      <c r="C8" s="43" t="s">
        <v>1118</v>
      </c>
      <c r="D8" s="43">
        <f t="shared" ref="D8:D15" si="0">ROUND($D$3*E8/$E$3,2)</f>
        <v>225.09</v>
      </c>
      <c r="E8" s="46">
        <f>SUMIF('数据-基础表'!BB10:BK10,"地上",'数据-基础表'!BB5:BK5)</f>
        <v>1964.21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225.09</v>
      </c>
      <c r="E16" s="48">
        <f>SUM(E8:E15)</f>
        <v>1964.21</v>
      </c>
      <c r="F16" s="2437"/>
      <c r="G16" s="2437"/>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c r="D19" s="43">
        <f>ROUND($D$3*E19/$E$3,2)</f>
        <v>0</v>
      </c>
      <c r="E19" s="51">
        <f t="shared" ref="E19:E26" si="1">SUM(F19:G19)</f>
        <v>0</v>
      </c>
      <c r="F19" s="2555"/>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0</v>
      </c>
    </row>
    <row r="20" spans="1:19" ht="14.4">
      <c r="A20" s="1549"/>
      <c r="B20" s="45" t="s">
        <v>1153</v>
      </c>
      <c r="C20" s="3113" t="s">
        <v>3421</v>
      </c>
      <c r="D20" s="43">
        <f t="shared" ref="D20:D26" si="6">ROUND($D$3*E20/$E$3,2)</f>
        <v>225.09</v>
      </c>
      <c r="E20" s="51">
        <f t="shared" si="1"/>
        <v>1964.21</v>
      </c>
      <c r="F20" s="2555">
        <f>'数据-基础表'!I15</f>
        <v>1964.21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225.09</v>
      </c>
      <c r="S20" s="51">
        <f t="shared" si="5"/>
        <v>1964.21</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225.09</v>
      </c>
      <c r="E27" s="1073">
        <f>IF(SUM(E19:E26)='数据-基础表'!BA5,SUM(E19:E26),IF(F27="地上面积有误","面积有误","地下面积有误"))</f>
        <v>1964.21</v>
      </c>
      <c r="F27" s="1072">
        <f>IF(SUM(F19:F26)=E8,SUM(F19:F26),"地上面积有误")</f>
        <v>1964.21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225.09</v>
      </c>
      <c r="S27" s="43">
        <f>IF(SUM(S19:S26)=$E$3,SUM(S19:S26),SUM(S19:S26)&amp;"误差"&amp;ROUND(SUM(S19:S26)-E3,2))</f>
        <v>1964.21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225.09</v>
      </c>
      <c r="E31" s="643">
        <f>E27+E30</f>
        <v>1964.21</v>
      </c>
      <c r="F31" s="644">
        <f>F27+F30</f>
        <v>1964.21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11" sqref="L1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t="s">
        <v>21</v>
      </c>
      <c r="D6" s="805">
        <f>SUMIF(项目基本情况!C$12:I$12,C6,项目基本情况!C$14:I$14)</f>
        <v>50</v>
      </c>
      <c r="E6" s="804" t="str">
        <f>IF(B6="","",SUMIF(项目基本情况!C$12:I$12,C6,项目基本情况!C$13:I$13))</f>
        <v/>
      </c>
      <c r="F6" s="61">
        <f>SUMIF(项目基本情况!C$12:I$12,C6,项目基本情况!C$15:I$15)</f>
        <v>18.8</v>
      </c>
      <c r="G6" s="62">
        <f>IF(ISERROR(ROUND(POWER(1+H6,D6-F6)*(POWER(1+H6,F6)-1)/(POWER(1+H6,D6)-1),3)),0,ROUND(POWER(1+H6,D6-F6)*(POWER(1+H6,F6)-1)/(POWER(1+H6,D6)-1),3))</f>
        <v>0</v>
      </c>
      <c r="H6" s="691"/>
      <c r="I6" s="691"/>
      <c r="J6" s="63"/>
      <c r="K6" s="970">
        <f>SUMIF('数据-汇总表'!C$19:C$33,A6,'数据-汇总表'!E$19:E$33)</f>
        <v>0</v>
      </c>
      <c r="L6" s="692">
        <v>5600</v>
      </c>
      <c r="M6" s="64">
        <f t="shared" ref="M6:M14" si="0">ROUND(K6*L6/10000,0)</f>
        <v>0</v>
      </c>
      <c r="N6" s="690">
        <f>O22</f>
        <v>0.69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B1层</v>
      </c>
      <c r="B7" s="1587" t="str">
        <f t="shared" ref="B7:B13" si="1">IF(A7=0,"","经营性")</f>
        <v>经营性</v>
      </c>
      <c r="C7" s="1588" t="s">
        <v>673</v>
      </c>
      <c r="D7" s="805">
        <f>SUMIF(项目基本情况!C$12:I$12,C7,项目基本情况!C$14:I$14)</f>
        <v>40</v>
      </c>
      <c r="E7" s="804">
        <f>IF(B7="","",SUMIF(项目基本情况!C$12:I$12,C7,项目基本情况!C$13:I$13))</f>
        <v>48977</v>
      </c>
      <c r="F7" s="61">
        <f>SUMIF(项目基本情况!C$12:I$12,C7,项目基本情况!C$15:I$15)</f>
        <v>8.8000000000000007</v>
      </c>
      <c r="G7" s="62">
        <f t="shared" ref="G7:G11" si="2">IF(ISERROR(ROUND(POWER(1+H7,D7-F7)*(POWER(1+H7,F7)-1)/(POWER(1+H7,D7)-1),3)),0,ROUND(POWER(1+H7,D7-F7)*(POWER(1+H7,F7)-1)/(POWER(1+H7,D7)-1),3))</f>
        <v>0.40699999999999997</v>
      </c>
      <c r="H7" s="691">
        <v>0.05</v>
      </c>
      <c r="I7" s="691">
        <v>5.5E-2</v>
      </c>
      <c r="J7" s="63">
        <v>7.0000000000000007E-2</v>
      </c>
      <c r="K7" s="970">
        <f>SUMIF('数据-汇总表'!C$19:C$33,A7,'数据-汇总表'!E$19:E$33)</f>
        <v>1964.21</v>
      </c>
      <c r="L7" s="692">
        <f>L6</f>
        <v>5600</v>
      </c>
      <c r="M7" s="64">
        <f t="shared" si="0"/>
        <v>1100</v>
      </c>
      <c r="N7" s="690">
        <f>N6</f>
        <v>0.69</v>
      </c>
      <c r="O7" s="64" t="str">
        <f t="shared" ref="O7:O14" si="3">IF($N$5="成新度","——",ROUND(M7*N7,0))</f>
        <v>——</v>
      </c>
      <c r="P7" s="65" t="str">
        <f t="shared" ref="P7:P14" si="4">IF($N$5="成新度","——",M7-O7)</f>
        <v>——</v>
      </c>
      <c r="Q7" s="693">
        <v>0.15</v>
      </c>
      <c r="R7" s="66">
        <f ca="1">SUMIF('数据-汇总表'!C$19:C$33,A7,'数据-汇总表'!R$19:R$27)</f>
        <v>225.09</v>
      </c>
      <c r="S7" s="49">
        <f>IF('数据-汇总表'!$I$17="按面积比例",SUMIF('数据-汇总表'!C$19:C$33,A7,'数据-汇总表'!K$19:K$33),SUMIF('数据-汇总表'!C$19:C$33,A7,'数据-汇总表'!N$19:N$33))</f>
        <v>0</v>
      </c>
      <c r="T7" s="1092">
        <f t="shared" ref="T7:T13" si="5">ROUND($L$14*S7/10000,0)</f>
        <v>0</v>
      </c>
      <c r="U7" s="3124">
        <v>4.5</v>
      </c>
      <c r="V7" s="67">
        <v>0.02</v>
      </c>
      <c r="W7" s="67">
        <v>0.1</v>
      </c>
      <c r="X7" s="979"/>
      <c r="Y7" s="68">
        <f>N7</f>
        <v>0.69</v>
      </c>
      <c r="Z7" s="69"/>
      <c r="AA7" s="63"/>
      <c r="AB7" s="63"/>
      <c r="AC7" s="979"/>
      <c r="AD7" s="70"/>
      <c r="AE7" s="980">
        <f t="shared" ref="AE7:AE13" ca="1" si="6">IF(AN7="",0,SUMIF(INDIRECT("'"&amp;AN7&amp;"'"&amp;"!E:E"),$AE$5,INDIRECT("'"&amp;AN7&amp;"'"&amp;"!F:F")))</f>
        <v>8.8000000000000007</v>
      </c>
      <c r="AF7" s="74"/>
      <c r="AG7" s="130">
        <f t="shared" ref="AG7:AG13" si="7">IF(AF7="",0,AE7-AF7)</f>
        <v>0</v>
      </c>
      <c r="AH7" s="71"/>
      <c r="AI7" s="73">
        <v>365</v>
      </c>
      <c r="AJ7" s="74"/>
      <c r="AK7" s="75">
        <v>3.0000000000000001E-3</v>
      </c>
      <c r="AL7" s="76">
        <v>1E-3</v>
      </c>
      <c r="AM7" s="77">
        <v>5.0000000000000001E-3</v>
      </c>
      <c r="AN7" s="1589" t="s">
        <v>3428</v>
      </c>
      <c r="AO7" s="50">
        <f t="shared" ref="AO7:AO13" ca="1" si="8">SUMIF(INDIRECT("'"&amp;AN7&amp;"'"&amp;"!A:A"),"总价",INDIRECT("'"&amp;AN7&amp;"'"&amp;"!B:B"))</f>
        <v>2086.4052000000001</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0.40699999999999997</v>
      </c>
      <c r="H16" s="84">
        <f>ROUND(SUMPRODUCT(H6:H13,K6:K13)/SUMPRODUCT((H6:H13&gt;0)*(K6:K13)),3)</f>
        <v>0.05</v>
      </c>
      <c r="I16" s="85"/>
      <c r="J16" s="85"/>
      <c r="K16" s="86">
        <f>SUM(K6:K15)</f>
        <v>1964.21</v>
      </c>
      <c r="L16" s="87">
        <f>ROUND(M16*10000/SUM(K6:K14),0)</f>
        <v>5600</v>
      </c>
      <c r="M16" s="87">
        <f>SUM(M6:M14)</f>
        <v>1100</v>
      </c>
      <c r="N16" s="88">
        <f>ROUND(SUMPRODUCT(M6:M14,N6:N14)/M16,3)</f>
        <v>0.69</v>
      </c>
      <c r="O16" s="87">
        <f>SUM(O6:O14)</f>
        <v>0</v>
      </c>
      <c r="P16" s="87">
        <f>SUM(P6:P14)</f>
        <v>0</v>
      </c>
      <c r="Q16" s="89">
        <f>ROUND(SUMPRODUCT(Q6:Q13,K6:K13)/SUMPRODUCT((Q6:Q13&gt;0)*(K6:K13)),2)</f>
        <v>0.15</v>
      </c>
      <c r="R16" s="974">
        <f ca="1">SUM(R6:R13)</f>
        <v>225.09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2446"/>
      <c r="N19" s="3162" t="s">
        <v>3425</v>
      </c>
      <c r="O19" s="2446">
        <v>1996</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9" t="s">
        <v>2296</v>
      </c>
      <c r="D20" s="2449"/>
      <c r="E20" s="2437"/>
      <c r="F20" s="2437"/>
      <c r="G20" s="2437"/>
      <c r="H20" s="2437"/>
      <c r="I20" s="2437"/>
      <c r="J20" s="2437"/>
      <c r="K20" s="2447"/>
      <c r="L20" s="2447"/>
      <c r="M20" s="2446"/>
      <c r="N20" s="3162" t="s">
        <v>3426</v>
      </c>
      <c r="O20" s="2446">
        <f>ROUND(1-(1-0)*(2025-O19)/60,2)</f>
        <v>0.52</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2446"/>
      <c r="N21" s="3162" t="s">
        <v>3427</v>
      </c>
      <c r="O21" s="2446">
        <v>0.85</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3162" t="s">
        <v>458</v>
      </c>
      <c r="O22" s="2446">
        <f>ROUND((O21+O20)/2,2)</f>
        <v>0.69</v>
      </c>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39</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0.08</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3396</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2.5000000000000001E-2</v>
      </c>
      <c r="C37" s="2562" t="s">
        <v>3379</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3380</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3381</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51" t="s">
        <v>2282</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40.200000000000003" thickBot="1">
      <c r="A3" s="2247" t="s">
        <v>2280</v>
      </c>
      <c r="B3" s="2264" t="s">
        <v>2252</v>
      </c>
      <c r="C3" s="2265"/>
      <c r="D3" s="2266"/>
      <c r="E3" s="2248" t="s">
        <v>2280</v>
      </c>
      <c r="F3" s="2267" t="s">
        <v>2253</v>
      </c>
      <c r="G3" s="2268" t="s">
        <v>2281</v>
      </c>
      <c r="H3" s="751"/>
      <c r="I3" s="751"/>
      <c r="J3" s="751"/>
      <c r="K3" s="751"/>
      <c r="L3" s="751"/>
      <c r="M3" s="751"/>
      <c r="N3" s="751"/>
      <c r="O3" s="751"/>
      <c r="P3" s="751"/>
      <c r="Q3" s="751"/>
    </row>
    <row r="4" spans="1:29" ht="51" thickBot="1">
      <c r="A4" s="2248"/>
      <c r="B4" s="315" t="s">
        <v>2254</v>
      </c>
      <c r="C4" s="2265" t="s">
        <v>3434</v>
      </c>
      <c r="D4" s="2266"/>
      <c r="E4" s="2269"/>
      <c r="F4" s="1281" t="s">
        <v>2255</v>
      </c>
      <c r="G4" s="2270" t="s">
        <v>2256</v>
      </c>
      <c r="H4" s="751"/>
      <c r="I4" s="751"/>
      <c r="J4" s="751"/>
      <c r="K4" s="751"/>
      <c r="L4" s="751"/>
      <c r="M4" s="751"/>
      <c r="N4" s="751"/>
      <c r="O4" s="751"/>
      <c r="P4" s="751"/>
      <c r="Q4" s="751"/>
    </row>
    <row r="5" spans="1:29" ht="66.599999999999994" thickBot="1">
      <c r="A5" s="2248"/>
      <c r="B5" s="315" t="s">
        <v>2257</v>
      </c>
      <c r="C5" s="2265" t="s">
        <v>3435</v>
      </c>
      <c r="D5" s="2266"/>
      <c r="E5" s="2269"/>
      <c r="F5" s="315" t="s">
        <v>2258</v>
      </c>
      <c r="G5" s="2270" t="s">
        <v>2259</v>
      </c>
      <c r="H5" s="751"/>
      <c r="I5" s="751"/>
      <c r="J5" s="751"/>
      <c r="K5" s="751"/>
      <c r="L5" s="751"/>
      <c r="M5" s="751"/>
      <c r="N5" s="751"/>
      <c r="O5" s="751"/>
      <c r="P5" s="751"/>
      <c r="Q5" s="751"/>
    </row>
    <row r="6" spans="1:29" ht="53.4" thickBot="1">
      <c r="A6" s="2248"/>
      <c r="B6" s="315" t="s">
        <v>2260</v>
      </c>
      <c r="C6" s="2265" t="s">
        <v>3436</v>
      </c>
      <c r="D6" s="2266"/>
      <c r="E6" s="2269"/>
      <c r="F6" s="315" t="s">
        <v>2261</v>
      </c>
      <c r="G6" s="2270" t="s">
        <v>2262</v>
      </c>
      <c r="H6" s="751"/>
      <c r="I6" s="751"/>
      <c r="J6" s="751"/>
      <c r="K6" s="751"/>
      <c r="L6" s="751"/>
      <c r="M6" s="751"/>
      <c r="N6" s="751"/>
      <c r="O6" s="751"/>
      <c r="P6" s="751"/>
      <c r="Q6" s="751"/>
    </row>
    <row r="7" spans="1:29" ht="53.4" thickBot="1">
      <c r="A7" s="2248"/>
      <c r="B7" s="315" t="s">
        <v>2258</v>
      </c>
      <c r="C7" s="2265" t="s">
        <v>3437</v>
      </c>
      <c r="D7" s="2245"/>
      <c r="E7" s="2271"/>
      <c r="F7" s="2272" t="s">
        <v>2263</v>
      </c>
      <c r="G7" s="2273" t="s">
        <v>2264</v>
      </c>
      <c r="H7" s="751"/>
      <c r="I7" s="751"/>
      <c r="J7" s="751"/>
      <c r="K7" s="751"/>
      <c r="L7" s="751"/>
      <c r="M7" s="751"/>
      <c r="N7" s="751"/>
      <c r="O7" s="751"/>
      <c r="P7" s="751"/>
      <c r="Q7" s="751"/>
    </row>
    <row r="8" spans="1:29" ht="27" thickBot="1">
      <c r="A8" s="2248"/>
      <c r="B8" s="315" t="s">
        <v>2261</v>
      </c>
      <c r="C8" s="2265" t="s">
        <v>3438</v>
      </c>
      <c r="D8" s="2245"/>
      <c r="E8" s="2245"/>
      <c r="F8" s="121"/>
      <c r="G8" s="121"/>
      <c r="H8" s="751"/>
      <c r="I8" s="751"/>
      <c r="J8" s="751"/>
      <c r="K8" s="751"/>
      <c r="L8" s="751"/>
      <c r="M8" s="751"/>
      <c r="N8" s="751"/>
      <c r="O8" s="751"/>
      <c r="P8" s="751"/>
      <c r="Q8" s="751"/>
    </row>
    <row r="9" spans="1:29" ht="53.4" thickBot="1">
      <c r="A9" s="2248"/>
      <c r="B9" s="315" t="s">
        <v>2265</v>
      </c>
      <c r="C9" s="2265" t="s">
        <v>3439</v>
      </c>
      <c r="D9" s="2266"/>
      <c r="E9" s="2245"/>
      <c r="F9" s="121"/>
      <c r="G9" s="121"/>
      <c r="H9" s="751"/>
      <c r="I9" s="751"/>
      <c r="J9" s="751"/>
      <c r="K9" s="751"/>
      <c r="L9" s="751"/>
      <c r="M9" s="751"/>
      <c r="N9" s="751"/>
      <c r="O9" s="751"/>
      <c r="P9" s="751"/>
      <c r="Q9" s="751"/>
    </row>
    <row r="10" spans="1:29" ht="27" thickBot="1">
      <c r="A10" s="2249"/>
      <c r="B10" s="2274" t="s">
        <v>2266</v>
      </c>
      <c r="C10" s="2265" t="s">
        <v>3440</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估价对象位于朝阳门商圈，周边悠唐国际中心、THE BPX等购物中心项目，人流量较大，商业繁华度较好</v>
      </c>
      <c r="D16" s="2266"/>
      <c r="E16" s="2253"/>
      <c r="F16" s="2291" t="s">
        <v>2255</v>
      </c>
      <c r="G16" s="2292" t="str">
        <f>G4</f>
        <v>估价对象周边道路状况、公共交通通达情况、停车便捷程度，综合评价交通便捷度较好</v>
      </c>
    </row>
    <row r="17" spans="1:17" ht="66">
      <c r="A17" s="2252"/>
      <c r="B17" s="2289" t="s">
        <v>2257</v>
      </c>
      <c r="C17" s="2290" t="str">
        <f>C5</f>
        <v>估价对象位于朝阳门商圈，周边办公楼项目较多，有联合大厦、华普国际大厦等写字楼，入驻率高，办公集聚程度较好</v>
      </c>
      <c r="D17" s="2245"/>
      <c r="E17" s="2253"/>
      <c r="F17" s="2291" t="s">
        <v>2272</v>
      </c>
      <c r="G17" s="2293"/>
    </row>
    <row r="18" spans="1:17" ht="52.8">
      <c r="A18" s="2252"/>
      <c r="B18" s="2291" t="s">
        <v>2260</v>
      </c>
      <c r="C18" s="2292" t="str">
        <f>C6</f>
        <v>周边有75、110、420路及地铁2号、6号线，周边道路密集，停车便捷程度，综合评价交通便捷度较好</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52.8">
      <c r="A20" s="2252"/>
      <c r="B20" s="2291" t="s">
        <v>2274</v>
      </c>
      <c r="C20" s="2290" t="str">
        <f>C9</f>
        <v>区域内有东城职业大学、日坛公园、富国海底世界等自然及人文环境，综合评价自然及人文环境状况较好。</v>
      </c>
      <c r="D20" s="2245"/>
      <c r="E20" s="2253"/>
      <c r="F20" s="315" t="s">
        <v>2261</v>
      </c>
      <c r="G20" s="2292" t="str">
        <f>G6</f>
        <v>估价对象所在区域基础设施水平</v>
      </c>
    </row>
    <row r="21" spans="1:17" ht="52.8">
      <c r="A21" s="2252"/>
      <c r="B21" s="315" t="s">
        <v>2258</v>
      </c>
      <c r="C21" s="2292" t="str">
        <f>C7</f>
        <v>估价对象所在区域银行、购物场所、学校等公共配套设施齐备，综合评价公共配套设施水平较好</v>
      </c>
      <c r="D21" s="2266"/>
      <c r="E21" s="2253"/>
      <c r="F21" s="2291" t="s">
        <v>2275</v>
      </c>
      <c r="G21" s="2294"/>
    </row>
    <row r="22" spans="1:17" ht="13.5" customHeight="1">
      <c r="A22" s="2252"/>
      <c r="B22" s="315" t="s">
        <v>2261</v>
      </c>
      <c r="C22" s="2292" t="str">
        <f>C8</f>
        <v>估价对象所在区域基础设施水平“七通一平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27" thickBot="1">
      <c r="A24" s="2255"/>
      <c r="B24" s="2295" t="s">
        <v>2277</v>
      </c>
      <c r="C24" s="2297" t="str">
        <f>C10</f>
        <v>城市主干道——朝阳门外大街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J19" sqref="J19"/>
    </sheetView>
  </sheetViews>
  <sheetFormatPr defaultColWidth="9" defaultRowHeight="14.4"/>
  <cols>
    <col min="1" max="1" width="25" style="2299" customWidth="1"/>
    <col min="2" max="9" width="15.77734375" style="2299" customWidth="1"/>
    <col min="10" max="10" width="29.44140625" style="2299" customWidth="1"/>
    <col min="11" max="16384" width="9" style="2299"/>
  </cols>
  <sheetData>
    <row r="1" spans="1:11" ht="16.2">
      <c r="A1" s="2298" t="s">
        <v>665</v>
      </c>
      <c r="B1" s="2298">
        <f>SUM(B14:B23)</f>
        <v>1964.21</v>
      </c>
      <c r="C1" s="2459"/>
      <c r="D1" s="2459"/>
      <c r="E1" s="2459"/>
      <c r="F1" s="2459"/>
      <c r="G1" s="2460"/>
      <c r="H1" s="2460"/>
      <c r="I1" s="2460"/>
      <c r="J1" s="2460"/>
      <c r="K1" s="2460"/>
    </row>
    <row r="2" spans="1:11" ht="16.2">
      <c r="A2" s="2298" t="s">
        <v>653</v>
      </c>
      <c r="B2" s="2298">
        <f>SUM(C14:C23)</f>
        <v>225.09</v>
      </c>
      <c r="C2" s="2459"/>
      <c r="D2" s="2459"/>
      <c r="E2" s="2459"/>
      <c r="F2" s="2459"/>
      <c r="G2" s="2460"/>
      <c r="H2" s="2460"/>
      <c r="I2" s="2460"/>
      <c r="J2" s="2460"/>
      <c r="K2" s="2460"/>
    </row>
    <row r="3" spans="1:11" ht="15.6">
      <c r="A3" s="2298" t="s">
        <v>662</v>
      </c>
      <c r="B3" s="2300">
        <f>项目基本情况!D3</f>
        <v>45765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3348</v>
      </c>
      <c r="C5" s="2298">
        <f ca="1">IF(B5=D14,结果表!H102,ROUND(B5*10000/$B$1,0))</f>
        <v>17044</v>
      </c>
      <c r="D5" s="2298">
        <f ca="1">ROUND(B5*10000/$B$2,0)</f>
        <v>148741</v>
      </c>
      <c r="E5" s="2459"/>
      <c r="F5" s="2460"/>
      <c r="G5" s="2460"/>
      <c r="H5" s="2460"/>
      <c r="I5" s="2460"/>
      <c r="J5" s="2460"/>
      <c r="K5" s="2460"/>
    </row>
    <row r="6" spans="1:11" ht="15.6">
      <c r="A6" s="2298" t="s">
        <v>656</v>
      </c>
      <c r="B6" s="2298">
        <f ca="1">SUM(G14:G23)</f>
        <v>3348</v>
      </c>
      <c r="C6" s="2298">
        <f ca="1">IF(B6=G14,结果表!H108,ROUND(B6*10000/$B$1,0))</f>
        <v>17044</v>
      </c>
      <c r="D6" s="2298">
        <f ca="1">ROUND(B6*10000/$B$2,0)</f>
        <v>148741</v>
      </c>
      <c r="E6" s="3253" t="str">
        <f ca="1">NUMBERSTRING(INT(B6*10000),2)&amp;"元整"</f>
        <v>叁仟叁佰肆拾捌万元整</v>
      </c>
      <c r="F6" s="3254"/>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3144</v>
      </c>
      <c r="C8" s="2298">
        <f ca="1">IF(B8=I14,结果表!H112,ROUND(B8*10000/$B$1,0))</f>
        <v>16006</v>
      </c>
      <c r="D8" s="2298">
        <f ca="1">ROUND(B8*10000/$B$2,0)</f>
        <v>139677</v>
      </c>
      <c r="E8" s="3253" t="str">
        <f ca="1">NUMBERSTRING(INT(B8*10000),2)&amp;"元整"</f>
        <v>叁仟壹佰肆拾肆万元整</v>
      </c>
      <c r="F8" s="3254"/>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3351</v>
      </c>
      <c r="D10" s="2298" t="s">
        <v>3352</v>
      </c>
      <c r="E10" s="3134"/>
      <c r="F10" s="3138" t="s">
        <v>3353</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1964.21</v>
      </c>
      <c r="C14" s="2304">
        <f>结果表!C118</f>
        <v>225.09</v>
      </c>
      <c r="D14" s="2304">
        <f ca="1">结果表!H118</f>
        <v>3348</v>
      </c>
      <c r="E14" s="2304">
        <f ca="1">ROUND(D14*10000/B14,0)</f>
        <v>17045</v>
      </c>
      <c r="F14" s="2304">
        <f ca="1">ROUND(D14*10000/C14,0)</f>
        <v>148741</v>
      </c>
      <c r="G14" s="2304">
        <f ca="1">D14</f>
        <v>3348</v>
      </c>
      <c r="H14" s="2304"/>
      <c r="I14" s="2304">
        <f ca="1">结果表!H111</f>
        <v>3144</v>
      </c>
      <c r="J14" s="3253" t="str">
        <f ca="1">NUMBERSTRING(INT(G14*10000),2)&amp;"元整"</f>
        <v>叁仟叁佰肆拾捌万元整</v>
      </c>
      <c r="K14" s="3254"/>
    </row>
    <row r="15" spans="1:11" ht="15.6">
      <c r="A15" s="2303" t="s">
        <v>649</v>
      </c>
      <c r="B15" s="2304"/>
      <c r="C15" s="2304"/>
      <c r="D15" s="2304"/>
      <c r="E15" s="2304" t="e">
        <f t="shared" ref="E15:E23" si="0">ROUND(D15*10000/B15,0)</f>
        <v>#DIV/0!</v>
      </c>
      <c r="F15" s="2304" t="e">
        <f t="shared" ref="F15:F23" si="1">ROUND(D15*10000/C15,0)</f>
        <v>#DIV/0!</v>
      </c>
      <c r="G15" s="2304"/>
      <c r="H15" s="2304"/>
      <c r="I15" s="2304"/>
      <c r="J15" s="3253"/>
      <c r="K15" s="3254"/>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row r="29" spans="1:11">
      <c r="B29" s="3164" t="s">
        <v>3461</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88" zoomScale="70" zoomScaleNormal="100" zoomScaleSheetLayoutView="7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3421</v>
      </c>
      <c r="D1" s="646"/>
      <c r="E1" s="646"/>
      <c r="F1" s="1621" t="s">
        <v>1263</v>
      </c>
      <c r="G1" s="1453" t="s">
        <v>3447</v>
      </c>
      <c r="H1" s="1621" t="str">
        <f>IF(G1="现房","——","估价对象范围")</f>
        <v>——</v>
      </c>
      <c r="I1" s="1622" t="s">
        <v>3448</v>
      </c>
    </row>
    <row r="2" spans="1:12" ht="21.75" customHeight="1" thickBot="1">
      <c r="A2" s="3289" t="str">
        <f>项目基本情况!S2</f>
        <v>北京市北京市朝阳区朝阳门外大街18号房地产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3449</v>
      </c>
      <c r="D4" s="1626" t="s">
        <v>3428</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6</v>
      </c>
      <c r="D14" s="3292">
        <v>4</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9" t="s">
        <v>2131</v>
      </c>
      <c r="F18" s="3280"/>
      <c r="G18" s="3280"/>
      <c r="H18" s="3280"/>
      <c r="I18" s="3280"/>
      <c r="K18" s="294" t="s">
        <v>1289</v>
      </c>
      <c r="L18" s="294">
        <f>IF(C1="",'数据-汇总表'!E3,SUMIF(项目类型,C1,'数据-汇总表'!E17:E26)+SUMIF(项目类型,C1,'数据-汇总表'!I17:I26))</f>
        <v>1964.21</v>
      </c>
      <c r="M18" s="294">
        <f>IF(C1="",'数据-汇总表'!E3,SUMIF(项目类型,C1,'数据-汇总表'!E17:E26))</f>
        <v>1964.21</v>
      </c>
    </row>
    <row r="19" spans="1:36" ht="14.4">
      <c r="A19" s="1630" t="s">
        <v>1290</v>
      </c>
      <c r="B19" s="1631" t="s">
        <v>1291</v>
      </c>
      <c r="C19" s="126">
        <f ca="1">SUMIF(INDIRECT("'"&amp;C4&amp;"'"&amp;"!A:A"),结果表!B19,INDIRECT("'"&amp;C4&amp;"'"&amp;"!B:B"))</f>
        <v>4188.6278000000002</v>
      </c>
      <c r="D19" s="127">
        <f ca="1">SUMIF(INDIRECT("'"&amp;D4&amp;"'"&amp;"!A:A"),结果表!B19,INDIRECT("'"&amp;D4&amp;"'"&amp;"!B:B"))</f>
        <v>2086.4052000000001</v>
      </c>
      <c r="E19" s="1630" t="s">
        <v>1292</v>
      </c>
      <c r="F19" s="1631" t="s">
        <v>1291</v>
      </c>
      <c r="G19" s="128">
        <f ca="1">ROUND(C19*$C$18+D19*$D$18,0)</f>
        <v>3348</v>
      </c>
      <c r="H19" s="1632" t="s">
        <v>1293</v>
      </c>
      <c r="I19" s="121"/>
      <c r="K19" s="294" t="s">
        <v>1294</v>
      </c>
      <c r="L19" s="294">
        <f>IF(C1="",'数据-汇总表'!D3,SUMIF(项目类型,C1,'数据-汇总表'!D17:D26)+SUMIF(项目类型,C1,'数据-汇总表'!H17:H27))</f>
        <v>225.09</v>
      </c>
      <c r="M19" s="294">
        <f>IF(C1="",'数据-汇总表'!D3,SUMIF(项目类型,C1,'数据-汇总表'!D17:D26))</f>
        <v>225.09</v>
      </c>
    </row>
    <row r="20" spans="1:36" ht="14.4">
      <c r="A20" s="1633"/>
      <c r="B20" s="43" t="s">
        <v>1295</v>
      </c>
      <c r="C20" s="129">
        <f ca="1">SUMIF(INDIRECT("'"&amp;C4&amp;"'"&amp;"!A:A"),结果表!B20,INDIRECT("'"&amp;C4&amp;"'"&amp;"!B:B"))</f>
        <v>21325</v>
      </c>
      <c r="D20" s="130">
        <f ca="1">SUMIF(INDIRECT("'"&amp;D4&amp;"'"&amp;"!A:A"),结果表!B20,INDIRECT("'"&amp;D4&amp;"'"&amp;"!B:B"))</f>
        <v>10622</v>
      </c>
      <c r="E20" s="1633"/>
      <c r="F20" s="43" t="s">
        <v>1295</v>
      </c>
      <c r="G20" s="131">
        <f ca="1">ROUND(C20*$C$18+D20*$D$18,0)</f>
        <v>17044</v>
      </c>
      <c r="H20" s="760" t="s">
        <v>1296</v>
      </c>
      <c r="I20" s="121"/>
    </row>
    <row r="21" spans="1:36" ht="15" customHeight="1" thickBot="1">
      <c r="A21" s="449"/>
      <c r="B21" s="93" t="s">
        <v>1297</v>
      </c>
      <c r="C21" s="678">
        <f ca="1">ROUND(C19*10000/L19,0)</f>
        <v>186087</v>
      </c>
      <c r="D21" s="679">
        <f ca="1">ROUND(D19*10000/L19,0)</f>
        <v>92692</v>
      </c>
      <c r="E21" s="449"/>
      <c r="F21" s="93" t="s">
        <v>1297</v>
      </c>
      <c r="G21" s="132">
        <f ca="1">ROUND(G19*10000/L19,0)</f>
        <v>148741</v>
      </c>
      <c r="H21" s="1634" t="s">
        <v>1296</v>
      </c>
      <c r="I21" s="121"/>
    </row>
    <row r="22" spans="1:36" ht="15" thickBot="1">
      <c r="A22" s="1564" t="s">
        <v>1298</v>
      </c>
      <c r="B22" s="1635"/>
      <c r="C22" s="1636"/>
      <c r="D22" s="680">
        <f ca="1">IF(C19&lt;D19,D19/C19-1,C19/D19-1)</f>
        <v>1.0075811735898665</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17044</v>
      </c>
      <c r="D32" s="1641" t="s">
        <v>3454</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3348</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45765</v>
      </c>
      <c r="N47" s="3340"/>
      <c r="O47" s="3340"/>
    </row>
    <row r="48" spans="1:15" ht="26.4">
      <c r="A48" s="3288" t="s">
        <v>1338</v>
      </c>
      <c r="B48" s="3271"/>
      <c r="C48" s="3271"/>
      <c r="D48" s="12">
        <f ca="1">IF(H48="情况1",0,IF(H48="情况2",D52,IF(H48="情况3",D53,IF(H48="情况4",D54))))</f>
        <v>179</v>
      </c>
      <c r="E48" s="1256" t="str">
        <f>IF(H48="情况4","(销售额-原购置价)×税（费）率","销售额×税（费）率")</f>
        <v>销售额×税（费）率</v>
      </c>
      <c r="F48" s="2333">
        <f>IF(H48="情况1","免征",'数据-取费表'!B41)</f>
        <v>5.6000000000000001E-2</v>
      </c>
      <c r="G48" s="2334" t="s">
        <v>1339</v>
      </c>
      <c r="H48" s="2335" t="s">
        <v>3457</v>
      </c>
      <c r="I48" s="1668"/>
      <c r="J48" s="2308">
        <v>3</v>
      </c>
      <c r="K48" s="3319" t="s">
        <v>1340</v>
      </c>
      <c r="L48" s="3319"/>
      <c r="M48" s="3341">
        <f ca="1">H101</f>
        <v>3348</v>
      </c>
      <c r="N48" s="3341"/>
      <c r="O48" s="3341"/>
    </row>
    <row r="49" spans="1:35" ht="25.5" customHeight="1">
      <c r="A49" s="2152" t="s">
        <v>1341</v>
      </c>
      <c r="B49" s="3255" t="s">
        <v>1342</v>
      </c>
      <c r="C49" s="3255"/>
      <c r="D49" s="1478">
        <v>0</v>
      </c>
      <c r="E49" s="316" t="s">
        <v>1343</v>
      </c>
      <c r="F49" s="2233" t="s">
        <v>28</v>
      </c>
      <c r="G49" s="3325"/>
      <c r="H49" s="2134" t="s">
        <v>2134</v>
      </c>
      <c r="I49" s="2135"/>
      <c r="J49" s="2308">
        <v>4</v>
      </c>
      <c r="K49" s="3319" t="str">
        <f>IF(项目基本情况!E8="房地产抵押价值","房地产抵押价值","抵押担保权已注销时的房地产抵押价值")</f>
        <v>房地产抵押价值</v>
      </c>
      <c r="L49" s="3319"/>
      <c r="M49" s="3341">
        <f ca="1">IF(项目基本情况!E8="房地产抵押价值",H107,H109)</f>
        <v>3348</v>
      </c>
      <c r="N49" s="3341"/>
      <c r="O49" s="3341"/>
    </row>
    <row r="50" spans="1:35" ht="25.5" customHeight="1">
      <c r="A50" s="2336"/>
      <c r="B50" s="3255" t="s">
        <v>1344</v>
      </c>
      <c r="C50" s="3255"/>
      <c r="D50" s="2189"/>
      <c r="E50" s="323"/>
      <c r="F50" s="2233"/>
      <c r="G50" s="3326"/>
      <c r="H50" s="2136" t="s">
        <v>2135</v>
      </c>
      <c r="I50" s="2135"/>
      <c r="J50" s="3338" t="s">
        <v>1345</v>
      </c>
      <c r="K50" s="3338"/>
      <c r="L50" s="3338"/>
      <c r="M50" s="3338"/>
      <c r="N50" s="3338"/>
      <c r="O50" s="3338"/>
    </row>
    <row r="51" spans="1:35" ht="20.399999999999999" customHeight="1">
      <c r="A51" s="2337"/>
      <c r="B51" s="3255" t="s">
        <v>1346</v>
      </c>
      <c r="C51" s="3255"/>
      <c r="D51" s="1024"/>
      <c r="E51" s="319"/>
      <c r="F51" s="2233"/>
      <c r="G51" s="3327"/>
      <c r="H51" s="2136" t="s">
        <v>2136</v>
      </c>
      <c r="I51" s="2135"/>
      <c r="J51" s="2309" t="s">
        <v>1347</v>
      </c>
      <c r="K51" s="3319" t="s">
        <v>1348</v>
      </c>
      <c r="L51" s="3319"/>
      <c r="M51" s="2309" t="s">
        <v>1349</v>
      </c>
      <c r="N51" s="2309" t="s">
        <v>1350</v>
      </c>
      <c r="O51" s="2309" t="s">
        <v>1351</v>
      </c>
    </row>
    <row r="52" spans="1:35" ht="24" customHeight="1">
      <c r="A52" s="2153" t="s">
        <v>1352</v>
      </c>
      <c r="B52" s="3255" t="s">
        <v>1353</v>
      </c>
      <c r="C52" s="3255"/>
      <c r="D52" s="1024">
        <f ca="1">ROUND(D45*'数据-取费表'!B41/(1+'数据-取费表'!C42),0)</f>
        <v>179</v>
      </c>
      <c r="E52" s="1256" t="s">
        <v>1354</v>
      </c>
      <c r="F52" s="2338">
        <f>'数据-取费表'!B41</f>
        <v>5.6000000000000001E-2</v>
      </c>
      <c r="G52" s="2339"/>
      <c r="H52" s="2329"/>
      <c r="I52" s="1669"/>
      <c r="J52" s="2308">
        <v>1</v>
      </c>
      <c r="K52" s="3320" t="s">
        <v>1355</v>
      </c>
      <c r="L52" s="3320"/>
      <c r="M52" s="2310">
        <f ca="1">D48</f>
        <v>179</v>
      </c>
      <c r="N52" s="2308" t="str">
        <f>E48</f>
        <v>销售额×税（费）率</v>
      </c>
      <c r="O52" s="2311">
        <f>F48</f>
        <v>5.6000000000000001E-2</v>
      </c>
    </row>
    <row r="53" spans="1:35" ht="12" customHeight="1">
      <c r="A53" s="2153" t="s">
        <v>1356</v>
      </c>
      <c r="B53" s="3281" t="s">
        <v>2287</v>
      </c>
      <c r="C53" s="3282"/>
      <c r="D53" s="1024">
        <f ca="1">ROUND(D45*'数据-取费表'!B41/(1+'数据-取费表'!C42),0)</f>
        <v>179</v>
      </c>
      <c r="E53" s="1256" t="s">
        <v>1354</v>
      </c>
      <c r="F53" s="2338">
        <f>'数据-取费表'!B41</f>
        <v>5.6000000000000001E-2</v>
      </c>
      <c r="G53" s="2339"/>
      <c r="H53" s="2329"/>
      <c r="I53" s="1669"/>
      <c r="J53" s="2308">
        <v>2</v>
      </c>
      <c r="K53" s="3320" t="s">
        <v>1357</v>
      </c>
      <c r="L53" s="3320"/>
      <c r="M53" s="2310">
        <f t="shared" ref="M53:O54" ca="1" si="0">D55</f>
        <v>2</v>
      </c>
      <c r="N53" s="2308" t="str">
        <f t="shared" si="0"/>
        <v>销售额×税（费）率</v>
      </c>
      <c r="O53" s="2311">
        <f t="shared" si="0"/>
        <v>5.0000000000000001E-4</v>
      </c>
    </row>
    <row r="54" spans="1:35" ht="12" customHeight="1">
      <c r="A54" s="2153" t="s">
        <v>1358</v>
      </c>
      <c r="B54" s="3281" t="s">
        <v>2288</v>
      </c>
      <c r="C54" s="3282"/>
      <c r="D54" s="1024">
        <f ca="1">C68</f>
        <v>179</v>
      </c>
      <c r="E54" s="319" t="s">
        <v>1359</v>
      </c>
      <c r="F54" s="2338">
        <f>'数据-取费表'!B41</f>
        <v>5.6000000000000001E-2</v>
      </c>
      <c r="G54" s="2339"/>
      <c r="H54" s="2340"/>
      <c r="I54" s="1669"/>
      <c r="J54" s="2308">
        <v>3</v>
      </c>
      <c r="K54" s="3320" t="s">
        <v>1360</v>
      </c>
      <c r="L54" s="3320"/>
      <c r="M54" s="2310">
        <f t="shared" ca="1" si="0"/>
        <v>23</v>
      </c>
      <c r="N54" s="2308" t="str">
        <f t="shared" si="0"/>
        <v>增值额×税（费）率</v>
      </c>
      <c r="O54" s="2312" t="str">
        <f t="shared" si="0"/>
        <v>——</v>
      </c>
    </row>
    <row r="55" spans="1:35" ht="24" customHeight="1">
      <c r="A55" s="3270" t="s">
        <v>1361</v>
      </c>
      <c r="B55" s="3271"/>
      <c r="C55" s="3271"/>
      <c r="D55" s="12">
        <f ca="1">IF(H55="个人住宅",0,ROUND(D45*I55,0))</f>
        <v>2</v>
      </c>
      <c r="E55" s="1256" t="s">
        <v>1362</v>
      </c>
      <c r="F55" s="2338">
        <f>IF(H55="正常",I55,"免征")</f>
        <v>5.0000000000000001E-4</v>
      </c>
      <c r="G55" s="2339"/>
      <c r="H55" s="2335" t="s">
        <v>3458</v>
      </c>
      <c r="I55" s="157">
        <f>'数据-取费表'!B49</f>
        <v>5.0000000000000001E-4</v>
      </c>
      <c r="J55" s="2308" t="str">
        <f>IF(H59="非个人房产","",4)</f>
        <v/>
      </c>
      <c r="K55" s="3320" t="str">
        <f>IF(H59="非个人房产","——","个人所得税")</f>
        <v>——</v>
      </c>
      <c r="L55" s="3320"/>
      <c r="M55" s="2313" t="str">
        <f>D59</f>
        <v>——</v>
      </c>
      <c r="N55" s="1883" t="str">
        <f>E59</f>
        <v>——</v>
      </c>
      <c r="O55" s="2314" t="str">
        <f>F59</f>
        <v>——</v>
      </c>
    </row>
    <row r="56" spans="1:35" ht="25.2">
      <c r="A56" s="3270" t="s">
        <v>1363</v>
      </c>
      <c r="B56" s="3271"/>
      <c r="C56" s="3271"/>
      <c r="D56" s="12">
        <f ca="1">IF(H56="个人住宅",D57,D58)</f>
        <v>23</v>
      </c>
      <c r="E56" s="1256" t="s">
        <v>1364</v>
      </c>
      <c r="F56" s="2338" t="str">
        <f>IF(H56="正常",F58,"免征")</f>
        <v>——</v>
      </c>
      <c r="G56" s="2341" t="s">
        <v>1365</v>
      </c>
      <c r="H56" s="2342" t="s">
        <v>3458</v>
      </c>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39"/>
      <c r="H57" s="2343"/>
      <c r="I57" s="1670"/>
      <c r="J57" s="3320">
        <f>IF(AND(J55="",J56=""),4,IF(项目基本情况!K6="上海银行",结果表!J56+1,结果表!J55+1))</f>
        <v>4</v>
      </c>
      <c r="K57" s="3320" t="s">
        <v>1367</v>
      </c>
      <c r="L57" s="2315" t="s">
        <v>1368</v>
      </c>
      <c r="M57" s="2316"/>
      <c r="N57" s="2317">
        <f ca="1">SUMIF(M52:M56,"&lt;9e307")</f>
        <v>204</v>
      </c>
      <c r="O57" s="2318"/>
      <c r="P57" s="2462">
        <f ca="1">N57/M49</f>
        <v>6.093189964157706E-2</v>
      </c>
    </row>
    <row r="58" spans="1:35" ht="25.2">
      <c r="A58" s="2153" t="s">
        <v>1352</v>
      </c>
      <c r="B58" s="3281" t="s">
        <v>1369</v>
      </c>
      <c r="C58" s="3255"/>
      <c r="D58" s="12">
        <f ca="1">IF(H58="转让取得",C81,C97)</f>
        <v>23</v>
      </c>
      <c r="E58" s="1256" t="s">
        <v>1364</v>
      </c>
      <c r="F58" s="294" t="s">
        <v>28</v>
      </c>
      <c r="G58" s="2339"/>
      <c r="H58" s="2342" t="s">
        <v>3459</v>
      </c>
      <c r="I58" s="1670"/>
      <c r="J58" s="3320"/>
      <c r="K58" s="3320"/>
      <c r="L58" s="2315" t="s">
        <v>1370</v>
      </c>
      <c r="M58" s="2319"/>
      <c r="N58" s="2320" t="str">
        <f ca="1">NUMBERSTRING(INT(N57*10000),2)&amp;"元整"</f>
        <v>贰佰零肆万元整</v>
      </c>
      <c r="O58" s="2321"/>
    </row>
    <row r="59" spans="1:35" ht="24.6" thickBot="1">
      <c r="A59" s="3323" t="s">
        <v>1371</v>
      </c>
      <c r="B59" s="3324"/>
      <c r="C59" s="332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3460</v>
      </c>
      <c r="I59" s="2137" t="s">
        <v>2137</v>
      </c>
      <c r="J59" s="3321">
        <f>J57+1</f>
        <v>5</v>
      </c>
      <c r="K59" s="3320" t="s">
        <v>1372</v>
      </c>
      <c r="L59" s="2308" t="s">
        <v>1368</v>
      </c>
      <c r="M59" s="2322"/>
      <c r="N59" s="2323">
        <f ca="1">M49-N57</f>
        <v>3144</v>
      </c>
      <c r="O59" s="2324"/>
    </row>
    <row r="60" spans="1:35" ht="12" customHeight="1">
      <c r="A60" s="1671"/>
      <c r="B60" s="646"/>
      <c r="C60" s="646"/>
      <c r="D60" s="646"/>
      <c r="E60" s="1466"/>
      <c r="F60" s="1670"/>
      <c r="G60" s="1670"/>
      <c r="H60" s="151"/>
      <c r="I60" s="121"/>
      <c r="J60" s="3322"/>
      <c r="K60" s="3320"/>
      <c r="L60" s="2315" t="s">
        <v>1370</v>
      </c>
      <c r="M60" s="2319"/>
      <c r="N60" s="2320" t="str">
        <f ca="1">NUMBERSTRING(INT(N59*10000),2)&amp;"元整"</f>
        <v>叁仟壹佰肆拾肆万元整</v>
      </c>
      <c r="O60" s="2321"/>
    </row>
    <row r="61" spans="1:35" ht="13.8" thickBot="1">
      <c r="A61" s="3268" t="s">
        <v>1373</v>
      </c>
      <c r="B61" s="3268"/>
      <c r="C61" s="3268"/>
      <c r="D61" s="3268"/>
      <c r="E61" s="3268"/>
      <c r="F61" s="1670"/>
      <c r="G61" s="1670"/>
      <c r="H61" s="151"/>
      <c r="I61" s="121"/>
      <c r="J61" s="2308">
        <f>J59+1</f>
        <v>6</v>
      </c>
      <c r="K61" s="3320" t="s">
        <v>1374</v>
      </c>
      <c r="L61" s="3320"/>
      <c r="M61" s="2325"/>
      <c r="N61" s="2326">
        <f ca="1">ROUND(N59*10000/'数据-汇总表'!E3,0)</f>
        <v>16006</v>
      </c>
      <c r="O61" s="2327"/>
    </row>
    <row r="62" spans="1:35" ht="13.2">
      <c r="A62" s="3286" t="s">
        <v>1375</v>
      </c>
      <c r="B62" s="3287"/>
      <c r="C62" s="1865"/>
      <c r="D62" s="1865" t="s">
        <v>1376</v>
      </c>
      <c r="E62" s="158" t="s">
        <v>1377</v>
      </c>
      <c r="F62" s="1670"/>
      <c r="G62" s="1670"/>
      <c r="H62" s="151"/>
      <c r="I62" s="121"/>
    </row>
    <row r="63" spans="1:35" ht="13.2">
      <c r="A63" s="165" t="s">
        <v>330</v>
      </c>
      <c r="B63" s="159" t="s">
        <v>1378</v>
      </c>
      <c r="C63" s="2348">
        <f ca="1">ROUND((C64+C65)/(1+'数据-取费表'!C42),0)</f>
        <v>3189</v>
      </c>
      <c r="D63" s="159"/>
      <c r="E63" s="160"/>
      <c r="F63" s="1670"/>
      <c r="G63" s="1670"/>
      <c r="H63" s="151"/>
      <c r="I63" s="121"/>
      <c r="J63" s="3345" t="s">
        <v>1379</v>
      </c>
      <c r="K63" s="1245" t="s">
        <v>1380</v>
      </c>
      <c r="L63" s="1245">
        <f ca="1">IF(M49&gt;10000,M49*0.5%,IF(AND(M49&gt;1000,M49&lt;=10000),M49*1%,IF(AND(M49&gt;100,M49&lt;=1000),M49*3%,IF(AND(M49&gt;10,M49&lt;=100),M49*5%,M49*8%))))</f>
        <v>33.480000000000004</v>
      </c>
      <c r="M63" s="294">
        <f ca="1">ROUND(L63,1)</f>
        <v>33.5</v>
      </c>
      <c r="N63" s="2328"/>
      <c r="Z63" s="1623"/>
      <c r="AI63" s="1561"/>
    </row>
    <row r="64" spans="1:35" ht="14.25" customHeight="1">
      <c r="A64" s="161" t="s">
        <v>325</v>
      </c>
      <c r="B64" s="162" t="s">
        <v>1381</v>
      </c>
      <c r="C64" s="2349">
        <f ca="1">D45</f>
        <v>3348</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16.740000000000002</v>
      </c>
      <c r="M64" s="294">
        <f t="shared" ref="M64:M65" ca="1" si="1">ROUND(L64,1)</f>
        <v>16.7</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3.3479999999999999</v>
      </c>
      <c r="M65" s="294">
        <f t="shared" ca="1" si="1"/>
        <v>3.3</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16.740000000000002</v>
      </c>
      <c r="M66" s="294">
        <f ca="1">IF(L66&gt;0.5,0.5,ROUND(L66,0))</f>
        <v>0.5</v>
      </c>
      <c r="N66" s="2329" t="s">
        <v>1388</v>
      </c>
      <c r="Z66" s="1623"/>
      <c r="AI66" s="1561"/>
    </row>
    <row r="67" spans="1:35" ht="14.25" customHeight="1">
      <c r="A67" s="165" t="s">
        <v>328</v>
      </c>
      <c r="B67" s="166" t="s">
        <v>1389</v>
      </c>
      <c r="C67" s="2352">
        <f ca="1">C63-C66</f>
        <v>3189</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179</v>
      </c>
      <c r="D68" s="2354">
        <f>'数据-取费表'!B41</f>
        <v>5.6000000000000001E-2</v>
      </c>
      <c r="E68" s="170"/>
      <c r="F68" s="1670"/>
      <c r="G68" s="1670"/>
      <c r="H68" s="151"/>
      <c r="I68" s="121"/>
      <c r="J68" s="3345"/>
      <c r="K68" s="1245" t="s">
        <v>1392</v>
      </c>
      <c r="L68" s="1245">
        <f ca="1">IF(M49&gt;10000,M49*0.5%,IF(AND(M49&gt;5000,M49&lt;=10000),M49*1%,IF(AND(M49&gt;1000,M49&lt;=5000),M49*2%,IF(AND(M49&gt;200,M49&lt;=1000),M49*3%,M49*5%))))</f>
        <v>66.960000000000008</v>
      </c>
      <c r="M68" s="294">
        <f ca="1">ROUND(L68,1)</f>
        <v>67</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123</v>
      </c>
      <c r="N69" s="2330">
        <f ca="1">M69/M49</f>
        <v>3.6738351254480286E-2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3189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19</v>
      </c>
      <c r="D78" s="2361">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3170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166.84210526315789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1895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f>'数据-汇总表'!F20</f>
        <v>1964.21</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3189</v>
      </c>
      <c r="D85" s="162" t="s">
        <v>26</v>
      </c>
      <c r="E85" s="1257"/>
      <c r="F85" s="1255"/>
      <c r="G85" s="1255"/>
      <c r="H85" s="184"/>
      <c r="I85" s="1681"/>
      <c r="J85" s="1678"/>
      <c r="K85" s="1678">
        <v>11899.22</v>
      </c>
      <c r="L85" s="3163">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3111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1396</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1355</v>
      </c>
      <c r="D88" s="2361"/>
      <c r="E88" s="185" t="s">
        <v>1413</v>
      </c>
      <c r="F88" s="2148"/>
      <c r="G88" s="186" t="s">
        <v>1414</v>
      </c>
      <c r="H88" s="1684" t="s">
        <v>3455</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41</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7" t="s">
        <v>2129</v>
      </c>
      <c r="H90" s="3348"/>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982</v>
      </c>
      <c r="D91" s="2361"/>
      <c r="E91" s="3265" t="s">
        <v>1419</v>
      </c>
      <c r="F91" s="3266"/>
      <c r="G91" s="3266"/>
      <c r="H91" s="1685" t="s">
        <v>3456</v>
      </c>
      <c r="I91" s="1686">
        <f>ROUND(K84*L85/10000,0)</f>
        <v>982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238</v>
      </c>
      <c r="D92" s="2367">
        <v>0.1</v>
      </c>
      <c r="E92" s="3265" t="s">
        <v>1422</v>
      </c>
      <c r="F92" s="3266"/>
      <c r="G92" s="3266"/>
      <c r="H92" s="3275"/>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19</v>
      </c>
      <c r="D93" s="2361">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476</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2.5072324011571841E-2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69" t="str">
        <f>C4</f>
        <v>成本法 (元)</v>
      </c>
      <c r="D101" s="2370" t="str">
        <f>D4</f>
        <v>收益法 (元)</v>
      </c>
      <c r="E101" s="3342" t="s">
        <v>1431</v>
      </c>
      <c r="F101" s="3299"/>
      <c r="G101" s="1687" t="s">
        <v>1432</v>
      </c>
      <c r="H101" s="2379">
        <f ca="1">H118</f>
        <v>3348</v>
      </c>
      <c r="I101" s="121"/>
    </row>
    <row r="102" spans="1:35" ht="18.75" customHeight="1">
      <c r="A102" s="3301" t="s">
        <v>1433</v>
      </c>
      <c r="B102" s="2368" t="s">
        <v>1432</v>
      </c>
      <c r="C102" s="2369">
        <f ca="1">IF(D32="楼面单价",ROUND(C19,0),C19)</f>
        <v>4189</v>
      </c>
      <c r="D102" s="2370">
        <f ca="1">IF(D32="楼面单价",ROUND(D19,0),D19)</f>
        <v>2086</v>
      </c>
      <c r="E102" s="3342"/>
      <c r="F102" s="3299"/>
      <c r="G102" s="1687" t="s">
        <v>1434</v>
      </c>
      <c r="H102" s="2339">
        <f ca="1">I118</f>
        <v>17044</v>
      </c>
      <c r="I102" s="121"/>
    </row>
    <row r="103" spans="1:35" ht="42.75" customHeight="1">
      <c r="A103" s="3301"/>
      <c r="B103" s="2368" t="s">
        <v>1434</v>
      </c>
      <c r="C103" s="2371">
        <f ca="1">C20</f>
        <v>21325</v>
      </c>
      <c r="D103" s="2372">
        <f ca="1">D20</f>
        <v>10622</v>
      </c>
      <c r="E103" s="3336" t="s">
        <v>1435</v>
      </c>
      <c r="F103" s="3337"/>
      <c r="G103" s="1688" t="s">
        <v>1436</v>
      </c>
      <c r="H103" s="2379">
        <f>IF(D36="正常操作",H104+H105+H106,H105+H106)</f>
        <v>0</v>
      </c>
      <c r="I103" s="121"/>
    </row>
    <row r="104" spans="1:35" ht="18.75" customHeight="1">
      <c r="A104" s="3301" t="s">
        <v>1437</v>
      </c>
      <c r="B104" s="2373" t="s">
        <v>1432</v>
      </c>
      <c r="C104" s="2374">
        <f ca="1">H118</f>
        <v>3348</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17044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3348</v>
      </c>
      <c r="I107" s="121"/>
    </row>
    <row r="108" spans="1:35" ht="18.75" customHeight="1">
      <c r="A108" s="121"/>
      <c r="B108" s="121"/>
      <c r="C108" s="121"/>
      <c r="D108" s="121"/>
      <c r="E108" s="3298"/>
      <c r="F108" s="3299"/>
      <c r="G108" s="1687" t="s">
        <v>1434</v>
      </c>
      <c r="H108" s="2339">
        <f ca="1">IF(H107=H101,H102,ROUND(H107*10000/'数据-汇总表'!E3,0))</f>
        <v>17044</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4.抵押净值</v>
      </c>
      <c r="F111" s="3300"/>
      <c r="G111" s="1687" t="s">
        <v>1432</v>
      </c>
      <c r="H111" s="2379">
        <f ca="1">IF(E111="——","——",N59)</f>
        <v>3144</v>
      </c>
      <c r="I111" s="121"/>
      <c r="J111" s="684">
        <f ca="1">H111/L18*10000</f>
        <v>16006.435157136966</v>
      </c>
    </row>
    <row r="112" spans="1:35" ht="18.75" customHeight="1" thickBot="1">
      <c r="A112" s="121"/>
      <c r="B112" s="121"/>
      <c r="C112" s="121"/>
      <c r="D112" s="121"/>
      <c r="E112" s="3331"/>
      <c r="F112" s="3332"/>
      <c r="G112" s="1690" t="s">
        <v>1434</v>
      </c>
      <c r="H112" s="2383">
        <f ca="1">IF(E111="——","——",N61)</f>
        <v>16006</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4" t="str">
        <f>项目基本情况!S2</f>
        <v>北京市北京市朝阳区朝阳门外大街18号房地产</v>
      </c>
      <c r="B118" s="2150">
        <f>M18</f>
        <v>1964.21</v>
      </c>
      <c r="C118" s="2150">
        <f>M19</f>
        <v>225.09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3348</v>
      </c>
      <c r="I118" s="2150">
        <f ca="1">ROUND(IF(D32="楼面单价",C32,H118*10000/B118),0)</f>
        <v>17044</v>
      </c>
    </row>
    <row r="119" spans="1:27" ht="18.75" customHeight="1">
      <c r="A119" s="3269" t="s">
        <v>1452</v>
      </c>
      <c r="B119" s="3269"/>
      <c r="C119" s="3269"/>
      <c r="D119" s="3309" t="e">
        <f ca="1">NUMBERSTRING(INT(D118*10000),2)&amp;"元整"</f>
        <v>#REF!</v>
      </c>
      <c r="E119" s="3311"/>
      <c r="F119" s="3309" t="e">
        <f ca="1">NUMBERSTRING(INT(F118*10000),2)&amp;"元整"</f>
        <v>#REF!</v>
      </c>
      <c r="G119" s="3311"/>
      <c r="H119" s="3309" t="str">
        <f ca="1">NUMBERSTRING(INT(H118*10000),2)&amp;"元整"</f>
        <v>叁仟叁佰肆拾捌万元整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3348</v>
      </c>
      <c r="E122" s="3334"/>
      <c r="F122" s="3334"/>
      <c r="G122" s="3334"/>
      <c r="H122" s="3334"/>
      <c r="I122" s="3335"/>
      <c r="AA122" s="684"/>
    </row>
    <row r="123" spans="1:27" ht="18.75" customHeight="1">
      <c r="A123" s="3269" t="s">
        <v>1452</v>
      </c>
      <c r="B123" s="3269"/>
      <c r="C123" s="3269"/>
      <c r="D123" s="3309" t="str">
        <f ca="1">NUMBERSTRING(INT(D122*10000),2)&amp;"元整"</f>
        <v>叁仟叁佰肆拾捌万元整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抵押净值</v>
      </c>
      <c r="B126" s="3300"/>
      <c r="C126" s="3300"/>
      <c r="D126" s="3333">
        <f ca="1">H111</f>
        <v>3144</v>
      </c>
      <c r="E126" s="3334"/>
      <c r="F126" s="3334"/>
      <c r="G126" s="3334"/>
      <c r="H126" s="3334"/>
      <c r="I126" s="3335"/>
      <c r="AA126" s="684"/>
    </row>
    <row r="127" spans="1:27" ht="18.75" customHeight="1">
      <c r="A127" s="3269" t="s">
        <v>1452</v>
      </c>
      <c r="B127" s="3269"/>
      <c r="C127" s="3269"/>
      <c r="D127" s="3309" t="str">
        <f ca="1">NUMBERSTRING(INT(D126*10000),2)&amp;"元整"</f>
        <v>叁仟壹佰肆拾肆万元整</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K53" sqref="K53:L5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1964.21</v>
      </c>
      <c r="E1" s="1842"/>
      <c r="F1" s="1842"/>
      <c r="G1" s="1842"/>
      <c r="H1" s="1842"/>
      <c r="I1" s="1842"/>
      <c r="J1" s="1842"/>
      <c r="K1" s="1056"/>
      <c r="L1" s="1843" t="s">
        <v>1928</v>
      </c>
      <c r="M1" s="810">
        <f>SUMPRODUCT((区片价!B5:B9=I2)*(区片价!C3:G3=E2)*(区片价!C5:G9))</f>
        <v>32630</v>
      </c>
      <c r="N1" s="813">
        <f>SUMPRODUCT((因素修正幅度!B5:B9=I2)*(因素修正幅度!C3:G3=E2)*(因素修正幅度!C5:G9))</f>
        <v>8.1000000000000003E-2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2059</v>
      </c>
      <c r="C2" s="1846" t="s">
        <v>1935</v>
      </c>
      <c r="D2" s="162" t="s">
        <v>1936</v>
      </c>
      <c r="E2" s="3118"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23115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10483</v>
      </c>
      <c r="C3" s="1846" t="s">
        <v>1941</v>
      </c>
      <c r="D3" s="162" t="s">
        <v>1942</v>
      </c>
      <c r="E3" s="3116" t="s">
        <v>2435</v>
      </c>
      <c r="F3" s="1848" t="s">
        <v>3429</v>
      </c>
      <c r="G3" s="708">
        <f>IF(F3="宗地容积率",'数据-汇总表'!I4,IF(F3="估价对象容积率",'数据-汇总表'!I6,'数据-汇总表'!I7))</f>
        <v>8.73</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18351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56"/>
      <c r="B4" s="3357"/>
      <c r="C4" s="3357"/>
      <c r="D4" s="3358"/>
      <c r="E4" s="3358"/>
      <c r="F4" s="3358"/>
      <c r="G4" s="3358"/>
      <c r="H4" s="3358"/>
      <c r="I4" s="3358"/>
      <c r="J4" s="33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15857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33102</v>
      </c>
      <c r="D5" s="1252">
        <f>ROUND(C6*C17+C20,0)</f>
        <v>32613</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14349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13675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7"/>
      <c r="B8" s="162" t="s">
        <v>1957</v>
      </c>
      <c r="C8" s="1870" t="s">
        <v>3430</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53" t="s">
        <v>1960</v>
      </c>
      <c r="X8" s="33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55"/>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60" t="s">
        <v>3250</v>
      </c>
      <c r="B20" s="159" t="s">
        <v>1994</v>
      </c>
      <c r="C20" s="3029">
        <f>ROUND(IF(F21="与级别开发程度一致",0,(G21-E21)/C21),0)</f>
        <v>-17</v>
      </c>
      <c r="D20" s="3044" t="s">
        <v>1998</v>
      </c>
      <c r="E20" s="3045"/>
      <c r="F20" s="3366" t="s">
        <v>1995</v>
      </c>
      <c r="G20" s="3367"/>
      <c r="H20" s="3030" t="s">
        <v>3414</v>
      </c>
      <c r="I20" s="3030" t="s">
        <v>3415</v>
      </c>
      <c r="J20" s="3031" t="s">
        <v>3416</v>
      </c>
      <c r="K20" s="1889" t="s">
        <v>3417</v>
      </c>
      <c r="L20" s="1889" t="s">
        <v>3418</v>
      </c>
      <c r="M20" s="1889" t="s">
        <v>3420</v>
      </c>
      <c r="N20" s="1889" t="s">
        <v>3419</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6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3431</v>
      </c>
      <c r="G21" s="1995">
        <f>SUM(H21:O21)</f>
        <v>315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50</v>
      </c>
      <c r="N21" s="2003">
        <f>SUMPRODUCT((七通一平=N20)*(修正!B1:M1=G2)*(修正!B8:M16))</f>
        <v>20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45765</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0.42570000000000002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8.8000000000000007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3432</v>
      </c>
      <c r="C25" s="461">
        <f>IF(B25="容积率修正",IF(G3&lt;10,D26,J26),C27)</f>
        <v>1.5206</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0.90139999999999998</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1.0434000000000001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2059</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515</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23115</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4"/>
      <c r="B37" s="1955" t="s">
        <v>2036</v>
      </c>
      <c r="C37" s="167">
        <f>ROUND(D5*C22*C23*C24*C28*F37,0)</f>
        <v>10484</v>
      </c>
      <c r="D37" s="1940">
        <f>'数据-汇总表'!F20</f>
        <v>1964.21</v>
      </c>
      <c r="E37" s="163">
        <f>ROUND(C37*D37/10000,0)</f>
        <v>2059</v>
      </c>
      <c r="F37" s="163">
        <f>SUMIF(修正!A57:A68,G2,修正!B57:B68)</f>
        <v>0.7</v>
      </c>
      <c r="G37" s="163">
        <f>ROUND(IF(E2="工业",C37*$M$42,C37*$M$41),0)</f>
        <v>2621</v>
      </c>
      <c r="H37" s="163">
        <f>D37</f>
        <v>1964.21</v>
      </c>
      <c r="I37" s="163">
        <f>ROUND(G37*H37/10000,0)</f>
        <v>515</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5"/>
      <c r="B38" s="1884" t="s">
        <v>2037</v>
      </c>
      <c r="C38" s="167">
        <f>ROUND(D5*C22*C23*C24*C28*F38,0)</f>
        <v>5991</v>
      </c>
      <c r="D38" s="1940"/>
      <c r="E38" s="163">
        <f t="shared" ref="E38:E42" si="4">ROUND(C38*D38/10000,0)</f>
        <v>0</v>
      </c>
      <c r="F38" s="163">
        <f>SUMIF(修正!A57:A68,G2,修正!C57:C68)</f>
        <v>0.4</v>
      </c>
      <c r="G38" s="163">
        <f>ROUND(IF(E2="工业",C38*$M$42,C38*$M$41),0)</f>
        <v>1498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5"/>
      <c r="B39" s="1884" t="s">
        <v>3255</v>
      </c>
      <c r="C39" s="167">
        <f>ROUND(D5*C22*C23*C24*C28*F39,0)</f>
        <v>4493</v>
      </c>
      <c r="D39" s="1940"/>
      <c r="E39" s="163">
        <f t="shared" si="4"/>
        <v>0</v>
      </c>
      <c r="F39" s="163">
        <f>SUMIF(修正!A57:A68,G2,修正!D57:D68)</f>
        <v>0.3</v>
      </c>
      <c r="G39" s="163">
        <f>ROUND(IF(E2="工业",C39*$M$42,C39*$M$41),0)</f>
        <v>1123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4493</v>
      </c>
      <c r="D40" s="1940"/>
      <c r="E40" s="163">
        <f t="shared" si="4"/>
        <v>0</v>
      </c>
      <c r="F40" s="167">
        <f>SUMIF(修正!A57:A68,G2,修正!E57:E68)</f>
        <v>0.3</v>
      </c>
      <c r="G40" s="163">
        <f>ROUND(IF(E2="工业",C40*$M$42,C40*$M$41),0)</f>
        <v>1123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t="str">
        <f>估价对象房地状况!C4</f>
        <v>估价对象位于朝阳门商圈，周边悠唐国际中心、THE BPX等购物中心项目，人流量较大，商业繁华度较好</v>
      </c>
      <c r="C50" s="1887" t="s">
        <v>3433</v>
      </c>
      <c r="D50" s="1002">
        <f t="shared" ref="D50:D58" si="7">SUMIF($J$49:$N$49,C50,J50:N50)</f>
        <v>1.21E-2</v>
      </c>
      <c r="E50" s="702">
        <f>ROUND(SUM(D50:D58),4)</f>
        <v>4.3400000000000001E-2</v>
      </c>
      <c r="F50" s="1675">
        <f>IF(E2="商业",SUMIF(L1:L12,G2,N1:N12),"——")</f>
        <v>8.1000000000000003E-2</v>
      </c>
      <c r="G50" s="1000">
        <v>1.21E-2</v>
      </c>
      <c r="H50" s="1003">
        <f t="shared" ref="H50:H58" si="8">IFERROR(ROUNDDOWN($F$50*I50/2,4),"——")</f>
        <v>1.21E-2</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周边有75、110、420路及地铁2号、6号线，周边道路密集，停车便捷程度，综合评价交通便捷度较好</v>
      </c>
      <c r="C51" s="1887" t="s">
        <v>3433</v>
      </c>
      <c r="D51" s="1002">
        <f t="shared" si="7"/>
        <v>8.8999999999999999E-3</v>
      </c>
      <c r="E51" s="703"/>
      <c r="F51" s="1675"/>
      <c r="G51" s="1000">
        <v>8.8999999999999999E-3</v>
      </c>
      <c r="H51" s="1003">
        <f t="shared" si="8"/>
        <v>8.8999999999999999E-3</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3433</v>
      </c>
      <c r="D52" s="1002">
        <f t="shared" si="7"/>
        <v>4.7999999999999996E-3</v>
      </c>
      <c r="E52" s="703"/>
      <c r="F52" s="1675"/>
      <c r="G52" s="1000">
        <v>4.7999999999999996E-3</v>
      </c>
      <c r="H52" s="1003">
        <f t="shared" si="8"/>
        <v>4.7999999999999996E-3</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3433</v>
      </c>
      <c r="D53" s="1002">
        <f t="shared" si="7"/>
        <v>2E-3</v>
      </c>
      <c r="E53" s="703"/>
      <c r="F53" s="1675"/>
      <c r="G53" s="1000">
        <v>2E-3</v>
      </c>
      <c r="H53" s="1003">
        <f t="shared" si="8"/>
        <v>2E-3</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城市主干道——朝阳门外大街</v>
      </c>
      <c r="C54" s="1887" t="s">
        <v>3433</v>
      </c>
      <c r="D54" s="1002">
        <f t="shared" si="7"/>
        <v>3.2000000000000002E-3</v>
      </c>
      <c r="E54" s="703"/>
      <c r="F54" s="1675"/>
      <c r="G54" s="1000">
        <v>3.2000000000000002E-3</v>
      </c>
      <c r="H54" s="1003">
        <f t="shared" si="8"/>
        <v>3.2000000000000002E-3</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c r="A55" s="1970" t="s">
        <v>2057</v>
      </c>
      <c r="B55" s="1975" t="s">
        <v>2058</v>
      </c>
      <c r="C55" s="1887" t="s">
        <v>3433</v>
      </c>
      <c r="D55" s="1002">
        <f t="shared" si="7"/>
        <v>2E-3</v>
      </c>
      <c r="E55" s="703"/>
      <c r="F55" s="1675"/>
      <c r="G55" s="1000">
        <v>2E-3</v>
      </c>
      <c r="H55" s="1003">
        <f t="shared" si="8"/>
        <v>2E-3</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3433</v>
      </c>
      <c r="D56" s="1002">
        <f t="shared" si="7"/>
        <v>2E-3</v>
      </c>
      <c r="E56" s="703"/>
      <c r="F56" s="1675"/>
      <c r="G56" s="1000">
        <v>2E-3</v>
      </c>
      <c r="H56" s="1003">
        <f t="shared" si="8"/>
        <v>2E-3</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3441</v>
      </c>
      <c r="D57" s="1002">
        <f t="shared" si="7"/>
        <v>6.4000000000000003E-3</v>
      </c>
      <c r="E57" s="703"/>
      <c r="F57" s="1675"/>
      <c r="G57" s="1000">
        <v>3.2000000000000002E-3</v>
      </c>
      <c r="H57" s="1003">
        <f t="shared" si="8"/>
        <v>3.2000000000000002E-3</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区域内有东城职业大学、日坛公园、富国海底世界等自然及人文环境，综合评价自然及人文环境状况较好。</v>
      </c>
      <c r="C58" s="1887" t="s">
        <v>3433</v>
      </c>
      <c r="D58" s="1002">
        <f t="shared" si="7"/>
        <v>2E-3</v>
      </c>
      <c r="E58" s="704"/>
      <c r="F58" s="1675"/>
      <c r="G58" s="1000">
        <v>2E-3</v>
      </c>
      <c r="H58" s="1003">
        <f t="shared" si="8"/>
        <v>2E-3</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估价对象位于朝阳门商圈，周边办公楼项目较多，有联合大厦、华普国际大厦等写字楼，入驻率高，办公集聚程度较好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52.8">
      <c r="A67" s="1970" t="s">
        <v>2059</v>
      </c>
      <c r="B67" s="1240" t="str">
        <f>估价对象房地状况!C21</f>
        <v>估价对象所在区域银行、购物场所、学校等公共配套设施齐备，综合评价公共配套设施水平较好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区域内有东城职业大学、日坛公园、富国海底世界等自然及人文环境，综合评价自然及人文环境状况较好。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62" t="s">
        <v>3290</v>
      </c>
      <c r="B103" s="3362"/>
      <c r="C103" s="3362"/>
      <c r="D103" s="3362"/>
      <c r="E103" s="3362"/>
      <c r="F103" s="3362"/>
      <c r="G103" s="3362"/>
      <c r="H103" s="3362"/>
      <c r="I103" s="3362"/>
      <c r="J103" s="3362"/>
      <c r="K103" s="1667"/>
      <c r="L103" s="1667"/>
      <c r="M103" s="1667"/>
      <c r="N103" s="1667"/>
    </row>
    <row r="104" spans="1:14">
      <c r="A104" s="3363" t="s">
        <v>3291</v>
      </c>
      <c r="B104" s="3363" t="s">
        <v>3292</v>
      </c>
      <c r="C104" s="3088" t="s">
        <v>3293</v>
      </c>
      <c r="D104" s="3089"/>
      <c r="E104" s="3089"/>
      <c r="F104" s="3089"/>
      <c r="G104" s="3089"/>
      <c r="H104" s="3089"/>
      <c r="I104" s="3089"/>
      <c r="J104" s="3090"/>
      <c r="K104" s="3091"/>
      <c r="L104" s="3091"/>
      <c r="M104" s="3091"/>
      <c r="N104" s="3091"/>
    </row>
    <row r="105" spans="1:14">
      <c r="A105" s="3363"/>
      <c r="B105" s="3363"/>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34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0"/>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51"/>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52" t="s">
        <v>3307</v>
      </c>
      <c r="B113" s="3352"/>
      <c r="C113" s="3352"/>
      <c r="D113" s="3352"/>
      <c r="E113" s="3352"/>
      <c r="F113" s="3352"/>
      <c r="G113" s="3352"/>
      <c r="H113" s="3352"/>
      <c r="I113" s="3352"/>
      <c r="J113" s="33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0.90080000000000005</v>
      </c>
      <c r="E116" s="162" t="s">
        <v>3310</v>
      </c>
      <c r="F116" s="3099" t="str">
        <f>E2</f>
        <v>商业</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北京市北京市朝阳区朝阳门外大街18号房地产抵押价值预评估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19" sqref="K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3421</v>
      </c>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4188.6278000000002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21325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21613700</v>
      </c>
      <c r="D5" s="203" t="s">
        <v>1469</v>
      </c>
      <c r="E5" s="204" t="s">
        <v>1470</v>
      </c>
      <c r="F5" s="204" t="s">
        <v>1471</v>
      </c>
      <c r="G5" s="205"/>
    </row>
    <row r="6" spans="1:8" s="206" customFormat="1" ht="13.5" customHeight="1">
      <c r="A6" s="732" t="s">
        <v>1472</v>
      </c>
      <c r="B6" s="207" t="s">
        <v>1473</v>
      </c>
      <c r="C6" s="208">
        <f>ROUND(基准地价修正!D37*基准地价修正!C37,0)</f>
        <v>20592778</v>
      </c>
      <c r="D6" s="209"/>
      <c r="E6" s="210"/>
      <c r="F6" s="210"/>
      <c r="G6" s="211"/>
    </row>
    <row r="7" spans="1:8" s="206" customFormat="1" ht="13.5" customHeight="1">
      <c r="A7" s="732" t="s">
        <v>1474</v>
      </c>
      <c r="B7" s="207" t="s">
        <v>1475</v>
      </c>
      <c r="C7" s="212">
        <f>ROUND(C6*F7,0)</f>
        <v>628080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392842</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392842</v>
      </c>
      <c r="D10" s="795">
        <f ca="1">IF(B1="",'数据-汇总表'!E6,IF(INDIRECT("'数据-取费表'!c"&amp;$G$1)="住宅",INDIRECT("'数据-取费表'!s"&amp;$G$1),INDIRECT("'数据-取费表'!k"&amp;$G$1)+INDIRECT("'数据-取费表'!s"&amp;$G$1)))</f>
        <v>1964.21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1964.21</v>
      </c>
      <c r="E19" s="203">
        <f>'数据-取费表'!B31</f>
        <v>200</v>
      </c>
      <c r="F19" s="223"/>
      <c r="G19" s="1714" t="s">
        <v>3443</v>
      </c>
    </row>
    <row r="20" spans="1:7" s="206" customFormat="1" ht="13.5" customHeight="1">
      <c r="A20" s="247" t="s">
        <v>1574</v>
      </c>
      <c r="B20" s="202" t="s">
        <v>1575</v>
      </c>
      <c r="C20" s="224">
        <f ca="1">ROUND((C5+C19)*F20,0)</f>
        <v>540343</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2098350</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2073030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25320</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3323106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3323106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30276130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12492376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10999576</v>
      </c>
      <c r="D34" s="209"/>
      <c r="E34" s="212"/>
      <c r="F34" s="249"/>
      <c r="G34" s="211"/>
    </row>
    <row r="35" spans="1:7" ht="13.5" customHeight="1">
      <c r="A35" s="734" t="s">
        <v>351</v>
      </c>
      <c r="B35" s="207" t="s">
        <v>1527</v>
      </c>
      <c r="C35" s="212">
        <f ca="1">ROUND(C34*F35,0)</f>
        <v>879966</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392842</v>
      </c>
      <c r="D37" s="209">
        <f ca="1">D19</f>
        <v>1964.21</v>
      </c>
      <c r="E37" s="241">
        <f>'数据-取费表'!B35</f>
        <v>200</v>
      </c>
      <c r="F37" s="251"/>
      <c r="G37" s="253"/>
    </row>
    <row r="38" spans="1:7" ht="13.5" customHeight="1">
      <c r="A38" s="734" t="s">
        <v>354</v>
      </c>
      <c r="B38" s="207" t="s">
        <v>1533</v>
      </c>
      <c r="C38" s="212">
        <f ca="1">ROUND(C34*F38,0)</f>
        <v>219992</v>
      </c>
      <c r="D38" s="212"/>
      <c r="E38" s="212"/>
      <c r="F38" s="251">
        <f>'数据-取费表'!B36</f>
        <v>0.02</v>
      </c>
      <c r="G38" s="211" t="s">
        <v>1528</v>
      </c>
    </row>
    <row r="39" spans="1:7" s="206" customFormat="1" ht="13.5" customHeight="1">
      <c r="A39" s="247" t="s">
        <v>1534</v>
      </c>
      <c r="B39" s="202" t="s">
        <v>1535</v>
      </c>
      <c r="C39" s="224">
        <f ca="1">ROUND(C33*F20,0)</f>
        <v>312309</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600008</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585374</v>
      </c>
      <c r="D42" s="230"/>
      <c r="E42" s="230"/>
      <c r="F42" s="231"/>
      <c r="G42" s="3368" t="s">
        <v>1591</v>
      </c>
    </row>
    <row r="43" spans="1:7" ht="13.5" customHeight="1">
      <c r="A43" s="734" t="s">
        <v>347</v>
      </c>
      <c r="B43" s="207" t="s">
        <v>1545</v>
      </c>
      <c r="C43" s="230">
        <f ca="1">ROUND(IF('数据-取费表'!B22&lt;=1,C39*F22*'数据-取费表'!B20/2,C39*(POWER((1+F22),'数据-取费表'!B20/2)-1)),0)</f>
        <v>14634</v>
      </c>
      <c r="D43" s="230"/>
      <c r="E43" s="230"/>
      <c r="F43" s="231"/>
      <c r="G43" s="3369"/>
    </row>
    <row r="44" spans="1:7" ht="13.5" customHeight="1">
      <c r="A44" s="734" t="s">
        <v>348</v>
      </c>
      <c r="B44" s="207" t="s">
        <v>1546</v>
      </c>
      <c r="C44" s="230">
        <f ca="1">ROUND(IF('数据-取费表'!B22&lt;=1,C40*F22*'数据-取费表'!B20/2,C40*(POWER((1+F22),'数据-取费表'!B20/2)-1)),4)</f>
        <v>1.4E-3</v>
      </c>
      <c r="D44" s="230"/>
      <c r="E44" s="230"/>
      <c r="F44" s="231"/>
      <c r="G44" s="3370"/>
    </row>
    <row r="45" spans="1:7" s="206" customFormat="1" ht="13.5" customHeight="1">
      <c r="A45" s="247" t="s">
        <v>1547</v>
      </c>
      <c r="B45" s="236" t="s">
        <v>1513</v>
      </c>
      <c r="C45" s="237">
        <f ca="1">C46</f>
        <v>1920703</v>
      </c>
      <c r="D45" s="227">
        <f ca="1">C47</f>
        <v>4.4999999999999997E-3</v>
      </c>
      <c r="E45" s="228" t="s">
        <v>1539</v>
      </c>
      <c r="F45" s="238">
        <f ca="1">F27</f>
        <v>0.15</v>
      </c>
      <c r="G45" s="239" t="s">
        <v>1548</v>
      </c>
    </row>
    <row r="46" spans="1:7" s="206" customFormat="1" ht="13.5" customHeight="1">
      <c r="A46" s="734" t="s">
        <v>346</v>
      </c>
      <c r="B46" s="240" t="s">
        <v>1549</v>
      </c>
      <c r="C46" s="241">
        <f ca="1">ROUND((C33+C39)*F27,0)</f>
        <v>1920703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16826302</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11610148</v>
      </c>
      <c r="D51" s="224"/>
      <c r="E51" s="224"/>
      <c r="F51" s="256"/>
      <c r="G51" s="226" t="s">
        <v>1560</v>
      </c>
    </row>
    <row r="52" spans="1:7" s="200" customFormat="1" ht="16.8" thickBot="1">
      <c r="A52" s="257" t="s">
        <v>1561</v>
      </c>
      <c r="B52" s="258"/>
      <c r="C52" s="259">
        <f ca="1">C31+C51</f>
        <v>41886278</v>
      </c>
      <c r="D52" s="258"/>
      <c r="E52" s="258"/>
      <c r="F52" s="258"/>
      <c r="G52" s="260"/>
    </row>
    <row r="55" spans="1:7" ht="15">
      <c r="B55" s="262" t="s">
        <v>1562</v>
      </c>
      <c r="C55" s="263"/>
    </row>
    <row r="56" spans="1:7">
      <c r="B56" s="265" t="s">
        <v>802</v>
      </c>
      <c r="C56" s="267">
        <f ca="1">1-C57</f>
        <v>0.72299999999999998</v>
      </c>
    </row>
    <row r="57" spans="1:7">
      <c r="B57" s="265" t="s">
        <v>803</v>
      </c>
      <c r="C57" s="266">
        <f ca="1">ROUND(C51/C52,3)</f>
        <v>0.27700000000000002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N18" sqref="N1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3421</v>
      </c>
      <c r="D1" s="1271" t="s">
        <v>43</v>
      </c>
      <c r="E1" s="1272" t="s">
        <v>678</v>
      </c>
      <c r="F1" s="999">
        <f ca="1">J53</f>
        <v>8.8000000000000007</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2086.4052000000001</v>
      </c>
      <c r="C2" s="1289" t="s">
        <v>879</v>
      </c>
      <c r="D2" s="1375">
        <f ca="1">C40+J29+L46</f>
        <v>20864052</v>
      </c>
      <c r="E2" s="1295" t="s">
        <v>880</v>
      </c>
      <c r="F2" s="1296"/>
      <c r="G2" s="2476"/>
      <c r="H2" s="2466"/>
      <c r="I2" s="2466"/>
      <c r="J2" s="2466"/>
      <c r="K2" s="2467"/>
      <c r="L2" s="2466"/>
      <c r="M2" s="2466"/>
    </row>
    <row r="3" spans="1:37" ht="18" customHeight="1" thickBot="1">
      <c r="A3" s="1297" t="s">
        <v>881</v>
      </c>
      <c r="B3" s="1298">
        <f ca="1">IF(ISERROR(D2/F43),0,ROUND(D2/F43,0))</f>
        <v>10622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2907222</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2903593</v>
      </c>
      <c r="D6" s="147" t="s">
        <v>2106</v>
      </c>
      <c r="E6" s="294" t="s">
        <v>696</v>
      </c>
      <c r="F6" s="295">
        <f ca="1">INDIRECT("'数据-取费表'!u"&amp;$G$1)</f>
        <v>4.5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1964.21</v>
      </c>
      <c r="G7" s="1292"/>
      <c r="H7" s="296"/>
      <c r="I7" s="3372"/>
      <c r="J7" s="298"/>
      <c r="K7" s="299"/>
      <c r="L7" s="294" t="s">
        <v>697</v>
      </c>
      <c r="M7" s="295">
        <f ca="1">F7</f>
        <v>1964.21</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3629</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11610148</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10999576</v>
      </c>
      <c r="D14" s="1257" t="s">
        <v>708</v>
      </c>
      <c r="E14" s="1255"/>
      <c r="F14" s="311"/>
      <c r="G14" s="1292"/>
      <c r="H14" s="928" t="s">
        <v>398</v>
      </c>
      <c r="I14" s="294" t="s">
        <v>709</v>
      </c>
      <c r="J14" s="21">
        <f ca="1">C29</f>
        <v>16826302</v>
      </c>
      <c r="K14" s="12"/>
      <c r="L14" s="759"/>
      <c r="M14" s="760"/>
    </row>
    <row r="15" spans="1:37" s="1304" customFormat="1" ht="18" customHeight="1" thickBot="1">
      <c r="A15" s="928" t="s">
        <v>399</v>
      </c>
      <c r="B15" s="294" t="s">
        <v>710</v>
      </c>
      <c r="C15" s="21">
        <f ca="1">ROUND(C14*F15,0)</f>
        <v>879966</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57232</v>
      </c>
      <c r="K16" s="1024" t="s">
        <v>715</v>
      </c>
      <c r="L16" s="1025"/>
      <c r="M16" s="1009"/>
    </row>
    <row r="17" spans="1:37" s="1304" customFormat="1" ht="18" customHeight="1">
      <c r="A17" s="928" t="s">
        <v>681</v>
      </c>
      <c r="B17" s="294" t="s">
        <v>716</v>
      </c>
      <c r="C17" s="21">
        <f ca="1">ROUND(F17*(F43+INDIRECT("'数据-取费表'!S"&amp;$G$1)),0)</f>
        <v>392842</v>
      </c>
      <c r="D17" s="294" t="s">
        <v>717</v>
      </c>
      <c r="E17" s="294" t="s">
        <v>718</v>
      </c>
      <c r="F17" s="23">
        <f>'数据-取费表'!B35</f>
        <v>200</v>
      </c>
      <c r="G17" s="1303"/>
      <c r="H17" s="928" t="s">
        <v>398</v>
      </c>
      <c r="I17" s="294" t="s">
        <v>719</v>
      </c>
      <c r="J17" s="2140">
        <f ca="1">ROUND(IF(AND(项目基本情况!B11="自然人",项目基本情况!B10="北京市"),J6*M17/(1+'数据-取费表'!C42),J18+J19+J20),0)</f>
        <v>6753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12492376</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312309</v>
      </c>
      <c r="D20" s="315" t="s">
        <v>729</v>
      </c>
      <c r="E20" s="294" t="s">
        <v>712</v>
      </c>
      <c r="F20" s="314">
        <f>'数据-取费表'!B37</f>
        <v>2.5000000000000001E-2</v>
      </c>
      <c r="G20" s="1303"/>
      <c r="H20" s="928" t="s">
        <v>680</v>
      </c>
      <c r="I20" s="147" t="s">
        <v>730</v>
      </c>
      <c r="J20" s="22">
        <f ca="1">ROUND(M20*M21,0)</f>
        <v>6753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225.09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50479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600008</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-57232</v>
      </c>
      <c r="K25" s="1032" t="s">
        <v>753</v>
      </c>
      <c r="L25" s="1033"/>
      <c r="M25" s="1034"/>
    </row>
    <row r="26" spans="1:37" ht="18" customHeight="1">
      <c r="A26" s="928" t="s">
        <v>397</v>
      </c>
      <c r="B26" s="294" t="s">
        <v>754</v>
      </c>
      <c r="C26" s="21">
        <f ca="1">ROUND((C19+C20)*F26,0)</f>
        <v>1920703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16826302</v>
      </c>
      <c r="D29" s="1029"/>
      <c r="E29" s="1027"/>
      <c r="F29" s="1030"/>
      <c r="G29" s="1303"/>
      <c r="H29" s="325" t="s">
        <v>396</v>
      </c>
      <c r="I29" s="326" t="s">
        <v>768</v>
      </c>
      <c r="J29" s="327">
        <f ca="1">ROUND(J26/(1+F40)^F41,0)</f>
        <v>0</v>
      </c>
      <c r="K29" s="328" t="s">
        <v>769</v>
      </c>
      <c r="L29" s="329"/>
      <c r="M29" s="330">
        <f ca="1">INDIRECT("'数据-取费表'!k"&amp;$G$1)</f>
        <v>1964.21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570075</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493450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154858</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331839</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6753</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225.09</v>
      </c>
      <c r="G35" s="1292"/>
      <c r="H35" s="2468"/>
      <c r="I35" s="1305"/>
      <c r="J35" s="1306"/>
      <c r="K35" s="2472"/>
      <c r="L35" s="2471"/>
      <c r="M35" s="2471"/>
    </row>
    <row r="36" spans="1:18" ht="18" customHeight="1">
      <c r="A36" s="1039" t="s">
        <v>402</v>
      </c>
      <c r="B36" s="294" t="s">
        <v>738</v>
      </c>
      <c r="C36" s="21">
        <f ca="1">ROUND(C29*F36,0)</f>
        <v>50479</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11610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14536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2337147</v>
      </c>
      <c r="D39" s="1032" t="s">
        <v>773</v>
      </c>
      <c r="E39" s="1033"/>
      <c r="F39" s="1034"/>
      <c r="G39" s="1292"/>
      <c r="H39" s="2471"/>
      <c r="I39" s="1305"/>
      <c r="J39" s="1306"/>
      <c r="K39" s="2469"/>
      <c r="L39" s="2471"/>
      <c r="M39" s="2471"/>
    </row>
    <row r="40" spans="1:18" ht="18" customHeight="1">
      <c r="A40" s="291" t="s">
        <v>395</v>
      </c>
      <c r="B40" s="292" t="s">
        <v>774</v>
      </c>
      <c r="C40" s="293">
        <f ca="1">ROUND(C39*(1-((1+F42)/(1+F40))^F41)/(F40-F42),0)</f>
        <v>17153219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8.8000000000000007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8733</v>
      </c>
      <c r="D43" s="328" t="s">
        <v>777</v>
      </c>
      <c r="E43" s="329" t="s">
        <v>778</v>
      </c>
      <c r="F43" s="330">
        <f ca="1">INDIRECT("'数据-取费表'!k"&amp;$G$1)</f>
        <v>1964.21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-1762.3498999999999</v>
      </c>
      <c r="D45" s="3128" t="s">
        <v>3348</v>
      </c>
      <c r="E45" s="1307"/>
      <c r="F45" s="1307"/>
      <c r="O45" s="1310" t="s">
        <v>808</v>
      </c>
      <c r="P45" s="1366"/>
      <c r="Q45" s="1366"/>
      <c r="R45" s="1366"/>
    </row>
    <row r="46" spans="1:18" s="1292" customFormat="1" ht="13.8" thickBot="1">
      <c r="A46" s="1311" t="s">
        <v>809</v>
      </c>
      <c r="C46" s="1312">
        <f ca="1">ROUND(C45,0)</f>
        <v>-1762</v>
      </c>
      <c r="D46" s="1313" t="str">
        <f>C2</f>
        <v>万元</v>
      </c>
      <c r="I46" s="1314" t="s">
        <v>810</v>
      </c>
      <c r="J46" s="1315"/>
      <c r="K46" s="1316"/>
      <c r="L46" s="1317">
        <f ca="1">IF(M47="住宅",0,IF(L48&gt;J51,L60,J60))</f>
        <v>3710833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17153219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8.8000000000000007</v>
      </c>
      <c r="O48" s="1325" t="s">
        <v>404</v>
      </c>
      <c r="P48" s="1326" t="s">
        <v>821</v>
      </c>
      <c r="Q48" s="1327">
        <f ca="1">J60</f>
        <v>3710833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'数据-取费表'!O19</f>
        <v>1996</v>
      </c>
      <c r="K49" s="1330" t="s">
        <v>824</v>
      </c>
      <c r="L49" s="1333"/>
      <c r="O49" s="1334" t="s">
        <v>405</v>
      </c>
      <c r="P49" s="1326" t="s">
        <v>825</v>
      </c>
      <c r="Q49" s="1327">
        <f ca="1">C29</f>
        <v>16826302</v>
      </c>
      <c r="R49" s="1327" t="s">
        <v>818</v>
      </c>
    </row>
    <row r="50" spans="1:18" s="1292" customFormat="1" ht="13.8" thickBot="1">
      <c r="A50" s="922"/>
      <c r="B50" s="925"/>
      <c r="C50" s="926"/>
      <c r="D50" s="899"/>
      <c r="E50" s="993" t="s">
        <v>697</v>
      </c>
      <c r="F50" s="994">
        <f ca="1">F7</f>
        <v>1964.21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23770252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8.8000000000000007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8.8000000000000007</v>
      </c>
      <c r="K53" s="3374" t="s">
        <v>837</v>
      </c>
      <c r="L53" s="3375"/>
      <c r="O53" s="1325" t="s">
        <v>409</v>
      </c>
      <c r="P53" s="1326" t="s">
        <v>838</v>
      </c>
      <c r="Q53" s="1327">
        <f ca="1">Q47+Q48</f>
        <v>20864052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11610148</v>
      </c>
      <c r="D56" s="1352"/>
      <c r="E56" s="1353"/>
      <c r="F56" s="1345"/>
      <c r="I56" s="1354" t="s">
        <v>842</v>
      </c>
      <c r="J56" s="1355"/>
      <c r="K56" s="1328" t="s">
        <v>843</v>
      </c>
      <c r="L56" s="1331" t="str">
        <f ca="1">IF(L48&lt;J51,"——",L48-J51)</f>
        <v>——</v>
      </c>
      <c r="O56" s="1325" t="s">
        <v>403</v>
      </c>
      <c r="P56" s="1326" t="s">
        <v>817</v>
      </c>
      <c r="Q56" s="1327">
        <f ca="1">C40+J29</f>
        <v>17153219</v>
      </c>
      <c r="R56" s="1327" t="s">
        <v>818</v>
      </c>
    </row>
    <row r="57" spans="1:18" s="1292" customFormat="1" ht="24.6" thickBot="1">
      <c r="A57" s="1356"/>
      <c r="B57" s="896" t="s">
        <v>767</v>
      </c>
      <c r="C57" s="230">
        <f ca="1">C29</f>
        <v>16826302</v>
      </c>
      <c r="D57" s="1357"/>
      <c r="E57" s="1358"/>
      <c r="F57" s="1359"/>
      <c r="I57" s="1360" t="s">
        <v>844</v>
      </c>
      <c r="J57" s="1361">
        <f ca="1">IF(OR(M47="住宅",J51&lt;L48,J56="是"),"——",J51-L48)</f>
        <v>22.2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68842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6753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6730521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3710833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6753</v>
      </c>
      <c r="D62" s="911" t="s">
        <v>786</v>
      </c>
      <c r="E62" s="896" t="s">
        <v>787</v>
      </c>
      <c r="F62" s="317">
        <f t="shared" si="0"/>
        <v>30</v>
      </c>
      <c r="I62" s="1367" t="s">
        <v>858</v>
      </c>
      <c r="J62" s="610" t="s">
        <v>859</v>
      </c>
      <c r="K62" s="610" t="s">
        <v>860</v>
      </c>
      <c r="L62" s="610" t="s">
        <v>861</v>
      </c>
      <c r="M62" s="1368" t="s">
        <v>862</v>
      </c>
      <c r="O62" s="1325" t="s">
        <v>409</v>
      </c>
      <c r="P62" s="1326" t="s">
        <v>863</v>
      </c>
      <c r="Q62" s="1327">
        <f ca="1">Q56+Q57</f>
        <v>17153219</v>
      </c>
      <c r="R62" s="1327" t="s">
        <v>410</v>
      </c>
    </row>
    <row r="63" spans="1:18" s="1292" customFormat="1" ht="13.8" thickBot="1">
      <c r="A63" s="318"/>
      <c r="B63" s="902"/>
      <c r="C63" s="26"/>
      <c r="D63" s="912"/>
      <c r="E63" s="896" t="s">
        <v>788</v>
      </c>
      <c r="F63" s="295">
        <f t="shared" ca="1" si="0"/>
        <v>225.09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50479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11610</v>
      </c>
      <c r="D65" s="910" t="s">
        <v>743</v>
      </c>
      <c r="E65" s="896" t="s">
        <v>744</v>
      </c>
      <c r="F65" s="321">
        <f t="shared" ca="1" si="0"/>
        <v>1E-3</v>
      </c>
      <c r="I65" s="1367" t="s">
        <v>867</v>
      </c>
      <c r="J65" s="610">
        <v>40</v>
      </c>
      <c r="K65" s="610">
        <v>30</v>
      </c>
      <c r="L65" s="610">
        <v>50</v>
      </c>
      <c r="M65" s="1369">
        <v>0.02</v>
      </c>
      <c r="O65" s="1325" t="s">
        <v>403</v>
      </c>
      <c r="P65" s="1326" t="s">
        <v>868</v>
      </c>
      <c r="Q65" s="1327">
        <f ca="1">C40+J29</f>
        <v>17153219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-68842</v>
      </c>
      <c r="D67" s="909" t="s">
        <v>753</v>
      </c>
      <c r="E67" s="914"/>
      <c r="F67" s="915"/>
      <c r="O67" s="1334" t="s">
        <v>405</v>
      </c>
      <c r="P67" s="1326" t="s">
        <v>850</v>
      </c>
      <c r="Q67" s="1370">
        <f ca="1">L51</f>
        <v>23770252</v>
      </c>
      <c r="R67" s="1327" t="s">
        <v>870</v>
      </c>
    </row>
    <row r="68" spans="1:18" s="1292" customFormat="1" ht="16.2" thickBot="1">
      <c r="A68" s="893" t="s">
        <v>395</v>
      </c>
      <c r="B68" s="894" t="s">
        <v>774</v>
      </c>
      <c r="C68" s="293">
        <f ca="1">ROUND(C67*(1-((1+F70)/(1+F68))^F69)/(F68-F70),0)</f>
        <v>-470280</v>
      </c>
      <c r="D68" s="911" t="s">
        <v>758</v>
      </c>
      <c r="E68" s="896" t="s">
        <v>759</v>
      </c>
      <c r="F68" s="304">
        <f ca="1">F40</f>
        <v>5.5E-2</v>
      </c>
      <c r="O68" s="1334" t="s">
        <v>406</v>
      </c>
      <c r="P68" s="1371" t="s">
        <v>871</v>
      </c>
      <c r="Q68" s="1327">
        <f ca="1">ROUND(Q69-Q70*Q71,0)</f>
        <v>1524437</v>
      </c>
      <c r="R68" s="1327" t="s">
        <v>414</v>
      </c>
    </row>
    <row r="69" spans="1:18" s="1292" customFormat="1" ht="13.8" thickBot="1">
      <c r="A69" s="897"/>
      <c r="B69" s="898"/>
      <c r="C69" s="298"/>
      <c r="D69" s="916" t="s">
        <v>762</v>
      </c>
      <c r="E69" s="896" t="s">
        <v>763</v>
      </c>
      <c r="F69" s="324">
        <f ca="1">F41</f>
        <v>8.8000000000000007</v>
      </c>
      <c r="O69" s="1334" t="s">
        <v>411</v>
      </c>
      <c r="P69" s="1371" t="s">
        <v>872</v>
      </c>
      <c r="Q69" s="1327">
        <f ca="1">C39</f>
        <v>2337147</v>
      </c>
      <c r="R69" s="1327" t="s">
        <v>818</v>
      </c>
    </row>
    <row r="70" spans="1:18" s="1292" customFormat="1" ht="13.8" thickBot="1">
      <c r="A70" s="900"/>
      <c r="B70" s="901"/>
      <c r="C70" s="302"/>
      <c r="D70" s="912"/>
      <c r="E70" s="896" t="s">
        <v>766</v>
      </c>
      <c r="F70" s="991"/>
      <c r="O70" s="1334" t="s">
        <v>412</v>
      </c>
      <c r="P70" s="1371" t="s">
        <v>873</v>
      </c>
      <c r="Q70" s="1327">
        <f ca="1">C13</f>
        <v>11610148</v>
      </c>
      <c r="R70" s="1327" t="s">
        <v>818</v>
      </c>
    </row>
    <row r="71" spans="1:18" s="1292" customFormat="1" ht="13.8" thickBot="1">
      <c r="A71" s="917" t="s">
        <v>396</v>
      </c>
      <c r="B71" s="918" t="s">
        <v>776</v>
      </c>
      <c r="C71" s="327">
        <f ca="1">ROUND(C68/F71,0)</f>
        <v>-239</v>
      </c>
      <c r="D71" s="919" t="s">
        <v>777</v>
      </c>
      <c r="E71" s="920" t="s">
        <v>778</v>
      </c>
      <c r="F71" s="330">
        <f ca="1">F43</f>
        <v>1964.21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812710</v>
      </c>
      <c r="D75" s="1292"/>
      <c r="E75" s="1292"/>
      <c r="F75" s="1292"/>
      <c r="K75" s="1309"/>
      <c r="L75" s="1292"/>
      <c r="O75" s="1325" t="s">
        <v>409</v>
      </c>
      <c r="P75" s="1326" t="s">
        <v>838</v>
      </c>
      <c r="Q75" s="1327">
        <f ca="1">Q65+Q66</f>
        <v>17153219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0.65200000000000002</v>
      </c>
    </row>
    <row r="80" spans="1:18">
      <c r="B80" s="331" t="s">
        <v>800</v>
      </c>
      <c r="C80" s="266">
        <f ca="1">ROUND(C75/C39,3)</f>
        <v>0.34799999999999998</v>
      </c>
    </row>
    <row r="81" spans="2:3">
      <c r="B81" s="262" t="s">
        <v>801</v>
      </c>
      <c r="C81" s="230"/>
    </row>
    <row r="82" spans="2:3">
      <c r="B82" s="265" t="s">
        <v>802</v>
      </c>
      <c r="C82" s="267">
        <f ca="1">1-C83</f>
        <v>0.32299999999999995</v>
      </c>
    </row>
    <row r="83" spans="2:3">
      <c r="B83" s="265" t="s">
        <v>803</v>
      </c>
      <c r="C83" s="266">
        <f ca="1">ROUND(C13/C40,3)</f>
        <v>0.67700000000000005</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f ca="1">IF(D2="——",C52,C52-E2)</f>
        <v>1271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6471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39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39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39</v>
      </c>
      <c r="D10" s="795">
        <f ca="1">IF(B1="",'数据-汇总表'!E6,IF(INDIRECT("'数据-取费表'!c"&amp;$G$1)="住宅",INDIRECT("'数据-取费表'!s"&amp;$G$1),INDIRECT("'数据-取费表'!k"&amp;$G$1)+INDIRECT("'数据-取费表'!s"&amp;$G$1)))</f>
        <v>1964.21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39</v>
      </c>
      <c r="D19" s="204">
        <f ca="1">D9+D10</f>
        <v>1964.21</v>
      </c>
      <c r="E19" s="203">
        <f>'数据-取费表'!B31</f>
        <v>200</v>
      </c>
      <c r="F19" s="223"/>
      <c r="G19" s="1714"/>
    </row>
    <row r="20" spans="1:7" s="206" customFormat="1" ht="13.5" customHeight="1">
      <c r="A20" s="247" t="s">
        <v>1493</v>
      </c>
      <c r="B20" s="202" t="s">
        <v>1494</v>
      </c>
      <c r="C20" s="224">
        <f ca="1">ROUND((C5+C19)*F20,0)</f>
        <v>2</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4</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12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1249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1100</v>
      </c>
      <c r="D34" s="209"/>
      <c r="E34" s="212"/>
      <c r="F34" s="249">
        <f ca="1">IF('数据-取费表'!B24=0,1,IF(B1="",'数据-取费表'!N16,INDIRECT("'数据-取费表'!n"&amp;$G$1)))</f>
        <v>1</v>
      </c>
      <c r="G34" s="211" t="s">
        <v>1526</v>
      </c>
    </row>
    <row r="35" spans="1:7" ht="13.5" customHeight="1">
      <c r="A35" s="734" t="s">
        <v>351</v>
      </c>
      <c r="B35" s="207" t="s">
        <v>1527</v>
      </c>
      <c r="C35" s="212">
        <f ca="1">ROUND(C34*F35,0)</f>
        <v>88</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39</v>
      </c>
      <c r="D37" s="209">
        <f ca="1">D19</f>
        <v>1964.21</v>
      </c>
      <c r="E37" s="241">
        <f>'数据-取费表'!B35</f>
        <v>200</v>
      </c>
      <c r="F37" s="251"/>
      <c r="G37" s="253" t="s">
        <v>1532</v>
      </c>
    </row>
    <row r="38" spans="1:7" ht="13.5" customHeight="1">
      <c r="A38" s="734" t="s">
        <v>354</v>
      </c>
      <c r="B38" s="207" t="s">
        <v>1533</v>
      </c>
      <c r="C38" s="212">
        <f ca="1">ROUND(C34*F38,0)</f>
        <v>22</v>
      </c>
      <c r="D38" s="212"/>
      <c r="E38" s="212"/>
      <c r="F38" s="251">
        <f>'数据-取费表'!B36</f>
        <v>0.02</v>
      </c>
      <c r="G38" s="211" t="s">
        <v>1528</v>
      </c>
    </row>
    <row r="39" spans="1:7" s="206" customFormat="1" ht="13.5" customHeight="1">
      <c r="A39" s="247" t="s">
        <v>1534</v>
      </c>
      <c r="B39" s="202" t="s">
        <v>1535</v>
      </c>
      <c r="C39" s="224">
        <f ca="1">ROUND(C33*F20,0)</f>
        <v>31</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60</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59</v>
      </c>
      <c r="D42" s="230"/>
      <c r="E42" s="230"/>
      <c r="F42" s="231"/>
      <c r="G42" s="3368" t="s">
        <v>1544</v>
      </c>
    </row>
    <row r="43" spans="1:7" ht="13.5" customHeight="1">
      <c r="A43" s="734" t="s">
        <v>347</v>
      </c>
      <c r="B43" s="207" t="s">
        <v>1545</v>
      </c>
      <c r="C43" s="230">
        <f ca="1">ROUND(IF('数据-取费表'!B22&lt;=1,C39*F22*'数据-取费表'!B21/2,C39*(POWER((1+F22),'数据-取费表'!B21/2)-1)),0)</f>
        <v>1</v>
      </c>
      <c r="D43" s="230"/>
      <c r="E43" s="230"/>
      <c r="F43" s="231"/>
      <c r="G43" s="3369"/>
    </row>
    <row r="44" spans="1:7" ht="13.5" customHeight="1">
      <c r="A44" s="734" t="s">
        <v>348</v>
      </c>
      <c r="B44" s="207" t="s">
        <v>1546</v>
      </c>
      <c r="C44" s="230">
        <f ca="1">ROUND(IF('数据-取费表'!B22&lt;=1,C40*F22*'数据-取费表'!B21/2,C40*(POWER((1+F22),'数据-取费表'!B21/2)-1)),4)</f>
        <v>1.4E-3</v>
      </c>
      <c r="D44" s="230"/>
      <c r="E44" s="230"/>
      <c r="F44" s="231"/>
      <c r="G44" s="3370"/>
    </row>
    <row r="45" spans="1:7" s="206" customFormat="1" ht="13.5" customHeight="1">
      <c r="A45" s="247" t="s">
        <v>1547</v>
      </c>
      <c r="B45" s="236" t="s">
        <v>1513</v>
      </c>
      <c r="C45" s="237">
        <f ca="1">C46</f>
        <v>192</v>
      </c>
      <c r="D45" s="227">
        <f ca="1">C47</f>
        <v>4.4999999999999997E-3</v>
      </c>
      <c r="E45" s="228" t="s">
        <v>1539</v>
      </c>
      <c r="F45" s="238">
        <f ca="1">F27</f>
        <v>0.15</v>
      </c>
      <c r="G45" s="239" t="s">
        <v>1548</v>
      </c>
    </row>
    <row r="46" spans="1:7" s="206" customFormat="1" ht="13.5" customHeight="1">
      <c r="A46" s="734" t="s">
        <v>346</v>
      </c>
      <c r="B46" s="240" t="s">
        <v>1549</v>
      </c>
      <c r="C46" s="241">
        <f ca="1">ROUND((C33+C39)*F27,0)</f>
        <v>192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1682</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1161</v>
      </c>
      <c r="D51" s="224"/>
      <c r="E51" s="224"/>
      <c r="F51" s="256"/>
      <c r="G51" s="226" t="s">
        <v>1560</v>
      </c>
    </row>
    <row r="52" spans="1:7" s="200" customFormat="1" ht="16.8" thickBot="1">
      <c r="A52" s="257" t="s">
        <v>1561</v>
      </c>
      <c r="B52" s="258"/>
      <c r="C52" s="259">
        <f ca="1">C31+C51</f>
        <v>1271</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6</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1964.21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1964.21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39</v>
      </c>
      <c r="D20" s="796">
        <f ca="1">IF(C1="",'数据-汇总表'!E6,IF(INDIRECT("'数据-取费表'!c"&amp;$K$1)="住宅",INDIRECT("'数据-取费表'!s"&amp;$K$1),INDIRECT("'数据-取费表'!k"&amp;$K$1)+INDIRECT("'数据-取费表'!s"&amp;$K$1)))</f>
        <v>1964.21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2.5000000000000001E-2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18.8</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18.8</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3354</v>
      </c>
      <c r="E2" s="3137"/>
      <c r="F2" s="2595"/>
      <c r="G2" s="2596"/>
      <c r="H2" s="2597"/>
      <c r="I2" s="2598"/>
      <c r="J2" s="3382" t="s">
        <v>2313</v>
      </c>
      <c r="K2" s="3383"/>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84" t="s">
        <v>2323</v>
      </c>
      <c r="K3" s="3385"/>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84" t="s">
        <v>2325</v>
      </c>
      <c r="K4" s="3385"/>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90" t="s">
        <v>2329</v>
      </c>
      <c r="B6" s="3391"/>
      <c r="C6" s="3392"/>
      <c r="D6" s="2619"/>
      <c r="E6" s="2620"/>
      <c r="F6" s="2621"/>
      <c r="G6" s="2622"/>
      <c r="H6" s="2597"/>
      <c r="I6" s="2598"/>
      <c r="J6" s="3376">
        <v>1</v>
      </c>
      <c r="K6" s="3377"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76"/>
      <c r="K7" s="3378"/>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93" t="s">
        <v>2343</v>
      </c>
      <c r="C8" s="3394"/>
      <c r="D8" s="2638" t="s">
        <v>2344</v>
      </c>
      <c r="E8" s="2639" t="s">
        <v>2345</v>
      </c>
      <c r="F8" s="2640" t="s">
        <v>2346</v>
      </c>
      <c r="G8" s="2641"/>
      <c r="H8" s="2597"/>
      <c r="I8" s="2598"/>
      <c r="J8" s="3376"/>
      <c r="K8" s="3378"/>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93" t="s">
        <v>2349</v>
      </c>
      <c r="C9" s="3394"/>
      <c r="D9" s="2638">
        <f>ROUND(D6*E9,0)</f>
        <v>0</v>
      </c>
      <c r="E9" s="2642"/>
      <c r="F9" s="2643" t="s">
        <v>2350</v>
      </c>
      <c r="G9" s="2622"/>
      <c r="H9" s="2597"/>
      <c r="I9" s="2598"/>
      <c r="J9" s="3376"/>
      <c r="K9" s="3378"/>
      <c r="L9" s="2632" t="s">
        <v>2351</v>
      </c>
      <c r="M9" s="2633"/>
      <c r="N9" s="2609"/>
      <c r="O9" s="2634"/>
      <c r="P9" s="2634"/>
      <c r="Q9" s="2635">
        <v>365</v>
      </c>
      <c r="R9" s="2636">
        <f t="shared" si="0"/>
        <v>0</v>
      </c>
      <c r="S9" s="2590"/>
      <c r="T9" s="2590"/>
      <c r="U9" s="2590"/>
      <c r="V9" s="2598"/>
    </row>
    <row r="10" spans="1:22" s="2602" customFormat="1" ht="13.2" customHeight="1">
      <c r="A10" s="2637">
        <v>2</v>
      </c>
      <c r="B10" s="3393" t="s">
        <v>2352</v>
      </c>
      <c r="C10" s="3394"/>
      <c r="D10" s="2638">
        <f>ROUND(D6*E10,0)</f>
        <v>0</v>
      </c>
      <c r="E10" s="2642"/>
      <c r="F10" s="2643" t="s">
        <v>2353</v>
      </c>
      <c r="G10" s="2622"/>
      <c r="H10" s="2597"/>
      <c r="I10" s="2598"/>
      <c r="J10" s="3376"/>
      <c r="K10" s="3378"/>
      <c r="L10" s="2632" t="s">
        <v>2354</v>
      </c>
      <c r="M10" s="2633"/>
      <c r="N10" s="2609"/>
      <c r="O10" s="2634"/>
      <c r="P10" s="2634"/>
      <c r="Q10" s="2635">
        <v>365</v>
      </c>
      <c r="R10" s="2636">
        <f t="shared" si="0"/>
        <v>0</v>
      </c>
      <c r="S10" s="2590"/>
      <c r="T10" s="2590"/>
      <c r="U10" s="2590"/>
      <c r="V10" s="2598"/>
    </row>
    <row r="11" spans="1:22" s="2602" customFormat="1" ht="13.2" customHeight="1">
      <c r="A11" s="2637">
        <v>3</v>
      </c>
      <c r="B11" s="3393" t="s">
        <v>2355</v>
      </c>
      <c r="C11" s="3394"/>
      <c r="D11" s="2638">
        <f>D12+D14+D15+D16</f>
        <v>0</v>
      </c>
      <c r="E11" s="2644" t="e">
        <f>D11/D6</f>
        <v>#DIV/0!</v>
      </c>
      <c r="F11" s="2640"/>
      <c r="G11" s="2641"/>
      <c r="H11" s="2597"/>
      <c r="I11" s="2598"/>
      <c r="J11" s="3376"/>
      <c r="K11" s="3378"/>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86" t="s">
        <v>2358</v>
      </c>
      <c r="C12" s="3387"/>
      <c r="D12" s="2646">
        <f>ROUND(D13*1.2%*(1-30%),0)</f>
        <v>0</v>
      </c>
      <c r="E12" s="2647">
        <v>1.2E-2</v>
      </c>
      <c r="F12" s="2640" t="s">
        <v>2359</v>
      </c>
      <c r="G12" s="2641"/>
      <c r="H12" s="2597"/>
      <c r="I12" s="2598"/>
      <c r="J12" s="3376"/>
      <c r="K12" s="3378"/>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76"/>
      <c r="K13" s="3378"/>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86" t="s">
        <v>2364</v>
      </c>
      <c r="C14" s="3387"/>
      <c r="D14" s="2646">
        <f>ROUND(E14*B5/10000,0)</f>
        <v>0</v>
      </c>
      <c r="E14" s="2635"/>
      <c r="F14" s="2640" t="s">
        <v>2365</v>
      </c>
      <c r="G14" s="2641"/>
      <c r="H14" s="2597"/>
      <c r="I14" s="2598"/>
      <c r="J14" s="3376"/>
      <c r="K14" s="3379"/>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86" t="s">
        <v>2368</v>
      </c>
      <c r="C15" s="3387"/>
      <c r="D15" s="2646">
        <f>ROUND(D6*E15,0)</f>
        <v>0</v>
      </c>
      <c r="E15" s="2647">
        <v>5.5E-2</v>
      </c>
      <c r="F15" s="2640" t="s">
        <v>2369</v>
      </c>
      <c r="G15" s="2622"/>
      <c r="H15" s="2597"/>
      <c r="I15" s="2598"/>
      <c r="J15" s="3376">
        <v>2</v>
      </c>
      <c r="K15" s="3377"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86" t="s">
        <v>2377</v>
      </c>
      <c r="C16" s="3387"/>
      <c r="D16" s="2657">
        <f>D6*E16</f>
        <v>0</v>
      </c>
      <c r="E16" s="2658"/>
      <c r="F16" s="2643" t="s">
        <v>2378</v>
      </c>
      <c r="G16" s="2622"/>
      <c r="H16" s="2597"/>
      <c r="I16" s="2598"/>
      <c r="J16" s="3376"/>
      <c r="K16" s="3378"/>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88" t="s">
        <v>2380</v>
      </c>
      <c r="C17" s="3389"/>
      <c r="D17" s="2660">
        <f>ROUND(D6*E17,0)</f>
        <v>0</v>
      </c>
      <c r="E17" s="2661"/>
      <c r="F17" s="2662" t="s">
        <v>2381</v>
      </c>
      <c r="G17" s="2622"/>
      <c r="H17" s="2597"/>
      <c r="I17" s="2598"/>
      <c r="J17" s="3376"/>
      <c r="K17" s="3378"/>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76"/>
      <c r="K18" s="3378"/>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76"/>
      <c r="K19" s="3379"/>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6">
        <v>3</v>
      </c>
      <c r="K20" s="3377"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76"/>
      <c r="K21" s="3378"/>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76"/>
      <c r="K22" s="3378"/>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76"/>
      <c r="K23" s="3378"/>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76"/>
      <c r="K24" s="3379"/>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80">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8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82" t="s">
        <v>2313</v>
      </c>
      <c r="K32" s="3383"/>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84" t="s">
        <v>2323</v>
      </c>
      <c r="K33" s="3385"/>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84" t="s">
        <v>2325</v>
      </c>
      <c r="K34" s="338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76">
        <v>1</v>
      </c>
      <c r="K36" s="3377"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76"/>
      <c r="K37" s="3378"/>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6"/>
      <c r="K38" s="3378"/>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76"/>
      <c r="K39" s="3378"/>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76"/>
      <c r="K40" s="3379"/>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80">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8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2086.4052000000001</v>
      </c>
      <c r="C2" s="1729" t="s">
        <v>1651</v>
      </c>
      <c r="D2" s="1730" t="s">
        <v>1652</v>
      </c>
      <c r="E2" s="2391">
        <f>SUM(E6:E13)</f>
        <v>1964.21</v>
      </c>
      <c r="F2" s="2477"/>
      <c r="G2" s="459"/>
      <c r="H2" s="459"/>
      <c r="I2" s="459"/>
      <c r="J2" s="459"/>
      <c r="K2" s="459"/>
      <c r="L2" s="459"/>
      <c r="M2" s="459"/>
      <c r="N2" s="459"/>
      <c r="O2" s="459"/>
      <c r="P2" s="459"/>
      <c r="Q2" s="459"/>
      <c r="R2" s="459"/>
      <c r="S2" s="459"/>
    </row>
    <row r="3" spans="1:22" ht="15.6">
      <c r="A3" s="1728" t="s">
        <v>686</v>
      </c>
      <c r="B3" s="2385">
        <f ca="1">ROUND(B2*10000/E2,0)</f>
        <v>10622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5" t="s">
        <v>1654</v>
      </c>
      <c r="C5" s="3396"/>
      <c r="D5" s="2478"/>
      <c r="E5" s="1731"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ht="14.4">
      <c r="A7" s="2388" t="str">
        <f>'数据-取费表'!AN7</f>
        <v>收益法 (元)</v>
      </c>
      <c r="B7" s="2386">
        <f ca="1">IF(F7="是",'数据-取费表'!AO7,0)</f>
        <v>2086.4052000000001</v>
      </c>
      <c r="C7" s="1729" t="s">
        <v>1651</v>
      </c>
      <c r="D7" s="2477"/>
      <c r="E7" s="2390">
        <f>IF(OR(A7=0,F7="否"),0,'数据-取费表'!K7+'数据-取费表'!S7)</f>
        <v>1964.21</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1964.21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5" t="s">
        <v>1667</v>
      </c>
      <c r="D4" s="3416"/>
      <c r="E4" s="3417" t="s">
        <v>1668</v>
      </c>
      <c r="F4" s="3418"/>
      <c r="G4" s="3415" t="s">
        <v>1669</v>
      </c>
      <c r="H4" s="3416"/>
      <c r="I4" s="3415" t="s">
        <v>1670</v>
      </c>
      <c r="J4" s="3416"/>
      <c r="K4" s="1744" t="s">
        <v>1671</v>
      </c>
      <c r="L4" s="2484"/>
      <c r="M4" s="2485"/>
      <c r="N4" s="2485"/>
      <c r="O4" s="2485"/>
      <c r="P4" s="3419" t="s">
        <v>1672</v>
      </c>
      <c r="Q4" s="3420"/>
      <c r="R4" s="3425" t="s">
        <v>1668</v>
      </c>
      <c r="S4" s="3426"/>
      <c r="T4" s="3425" t="s">
        <v>1669</v>
      </c>
      <c r="U4" s="3426"/>
      <c r="V4" s="3401" t="s">
        <v>1670</v>
      </c>
      <c r="W4" s="3401"/>
      <c r="X4" s="1265"/>
      <c r="Y4" s="3425" t="s">
        <v>1672</v>
      </c>
      <c r="Z4" s="3426"/>
      <c r="AA4" s="3412" t="s">
        <v>1668</v>
      </c>
      <c r="AB4" s="3412" t="s">
        <v>1669</v>
      </c>
      <c r="AC4" s="3412" t="s">
        <v>1670</v>
      </c>
    </row>
    <row r="5" spans="1:29">
      <c r="A5" s="348"/>
      <c r="B5" s="349"/>
      <c r="C5" s="3433" t="s">
        <v>1673</v>
      </c>
      <c r="D5" s="3434"/>
      <c r="E5" s="3440" t="s">
        <v>1674</v>
      </c>
      <c r="F5" s="3441"/>
      <c r="G5" s="3433" t="s">
        <v>1675</v>
      </c>
      <c r="H5" s="3434"/>
      <c r="I5" s="3433" t="s">
        <v>1676</v>
      </c>
      <c r="J5" s="3434"/>
      <c r="K5" s="1745"/>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1745"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5" t="s">
        <v>1680</v>
      </c>
      <c r="Q7" s="3437"/>
      <c r="R7" s="664" t="s">
        <v>20</v>
      </c>
      <c r="S7" s="665">
        <f t="shared" ref="S7:S15" si="0">F7</f>
        <v>0</v>
      </c>
      <c r="T7" s="664" t="s">
        <v>20</v>
      </c>
      <c r="U7" s="665">
        <f t="shared" ref="U7:U15" si="1">H7</f>
        <v>0</v>
      </c>
      <c r="V7" s="664" t="s">
        <v>20</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5" t="s">
        <v>1683</v>
      </c>
      <c r="Q8" s="3436"/>
      <c r="R8" s="664" t="s">
        <v>20</v>
      </c>
      <c r="S8" s="665">
        <f t="shared" si="0"/>
        <v>100</v>
      </c>
      <c r="T8" s="664" t="s">
        <v>20</v>
      </c>
      <c r="U8" s="665">
        <f t="shared" si="1"/>
        <v>100</v>
      </c>
      <c r="V8" s="664" t="s">
        <v>20</v>
      </c>
      <c r="W8" s="665">
        <f t="shared" si="2"/>
        <v>100</v>
      </c>
      <c r="X8" s="666"/>
      <c r="Y8" s="3435" t="s">
        <v>1683</v>
      </c>
      <c r="Z8" s="343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1"/>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1"/>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1"/>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1"/>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0"/>
      <c r="Q16" s="1263"/>
      <c r="R16" s="667"/>
      <c r="S16" s="668"/>
      <c r="T16" s="667"/>
      <c r="U16" s="668"/>
      <c r="V16" s="667"/>
      <c r="W16" s="668"/>
      <c r="X16" s="1265"/>
      <c r="Y16" s="3403"/>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0"/>
      <c r="Q18" s="1263"/>
      <c r="R18" s="667"/>
      <c r="S18" s="668"/>
      <c r="T18" s="667"/>
      <c r="U18" s="668"/>
      <c r="V18" s="667"/>
      <c r="W18" s="668"/>
      <c r="X18" s="1265"/>
      <c r="Y18" s="3403"/>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0"/>
      <c r="Q20" s="1263"/>
      <c r="R20" s="667"/>
      <c r="S20" s="668"/>
      <c r="T20" s="667"/>
      <c r="U20" s="668"/>
      <c r="V20" s="667"/>
      <c r="W20" s="668"/>
      <c r="X20" s="1265"/>
      <c r="Y20" s="3403"/>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0"/>
      <c r="Q22" s="1263"/>
      <c r="R22" s="667"/>
      <c r="S22" s="668"/>
      <c r="T22" s="667"/>
      <c r="U22" s="668"/>
      <c r="V22" s="667"/>
      <c r="W22" s="668"/>
      <c r="X22" s="1265"/>
      <c r="Y22" s="3403"/>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1964.21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01"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01"/>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01"/>
      <c r="AC6" s="3414"/>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96.6">
      <c r="A15" s="379" t="s">
        <v>1690</v>
      </c>
      <c r="B15" s="58" t="s">
        <v>1777</v>
      </c>
      <c r="C15" s="1750" t="str">
        <f>估价对象房地状况!C4</f>
        <v>估价对象位于朝阳门商圈，周边悠唐国际中心、THE BPX等购物中心项目，人流量较大，商业繁华度较好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0"/>
      <c r="Q16" s="1263"/>
      <c r="R16" s="667"/>
      <c r="S16" s="668"/>
      <c r="T16" s="667"/>
      <c r="U16" s="668"/>
      <c r="V16" s="667"/>
      <c r="W16" s="668"/>
      <c r="X16" s="1265"/>
      <c r="Y16" s="3403"/>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0"/>
      <c r="Q18" s="1263"/>
      <c r="R18" s="667"/>
      <c r="S18" s="668"/>
      <c r="T18" s="667"/>
      <c r="U18" s="668"/>
      <c r="V18" s="667"/>
      <c r="W18" s="668"/>
      <c r="X18" s="1265"/>
      <c r="Y18" s="3403"/>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0"/>
      <c r="Q20" s="1263"/>
      <c r="R20" s="667"/>
      <c r="S20" s="668"/>
      <c r="T20" s="667"/>
      <c r="U20" s="668"/>
      <c r="V20" s="667"/>
      <c r="W20" s="668"/>
      <c r="X20" s="1265"/>
      <c r="Y20" s="3403"/>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0"/>
      <c r="Q22" s="1263"/>
      <c r="R22" s="667"/>
      <c r="S22" s="668"/>
      <c r="T22" s="667"/>
      <c r="U22" s="668"/>
      <c r="V22" s="667"/>
      <c r="W22" s="668"/>
      <c r="X22" s="1265"/>
      <c r="Y22" s="3403"/>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1964.21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48" t="s">
        <v>1775</v>
      </c>
      <c r="Q4" s="3449"/>
      <c r="R4" s="3452" t="s">
        <v>1771</v>
      </c>
      <c r="S4" s="3453"/>
      <c r="T4" s="3452" t="s">
        <v>1772</v>
      </c>
      <c r="U4" s="3453"/>
      <c r="V4" s="3454" t="s">
        <v>1773</v>
      </c>
      <c r="W4" s="3454"/>
      <c r="X4" s="1809"/>
      <c r="Y4" s="3452" t="s">
        <v>1775</v>
      </c>
      <c r="Z4" s="3453"/>
      <c r="AA4" s="3456" t="s">
        <v>1771</v>
      </c>
      <c r="AB4" s="3456" t="s">
        <v>1772</v>
      </c>
      <c r="AC4" s="3445" t="s">
        <v>1773</v>
      </c>
    </row>
    <row r="5" spans="1:29">
      <c r="A5" s="348"/>
      <c r="B5" s="349"/>
      <c r="C5" s="3433" t="s">
        <v>1673</v>
      </c>
      <c r="D5" s="3434"/>
      <c r="E5" s="3440" t="s">
        <v>1674</v>
      </c>
      <c r="F5" s="3441"/>
      <c r="G5" s="3433" t="s">
        <v>1675</v>
      </c>
      <c r="H5" s="3434"/>
      <c r="I5" s="3433" t="s">
        <v>1676</v>
      </c>
      <c r="J5" s="3434"/>
      <c r="K5" s="537"/>
      <c r="L5" s="2484"/>
      <c r="M5" s="2485"/>
      <c r="N5" s="2485"/>
      <c r="O5" s="2485"/>
      <c r="P5" s="3450"/>
      <c r="Q5" s="3422"/>
      <c r="R5" s="3427"/>
      <c r="S5" s="3428"/>
      <c r="T5" s="3427"/>
      <c r="U5" s="3428"/>
      <c r="V5" s="3401"/>
      <c r="W5" s="3401"/>
      <c r="X5" s="1265"/>
      <c r="Y5" s="3427"/>
      <c r="Z5" s="3428"/>
      <c r="AA5" s="3413"/>
      <c r="AB5" s="3413"/>
      <c r="AC5" s="3446"/>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51"/>
      <c r="Q6" s="3424"/>
      <c r="R6" s="3427"/>
      <c r="S6" s="3428"/>
      <c r="T6" s="3429"/>
      <c r="U6" s="3430"/>
      <c r="V6" s="3401"/>
      <c r="W6" s="3401"/>
      <c r="X6" s="1265"/>
      <c r="Y6" s="3429"/>
      <c r="Z6" s="3430"/>
      <c r="AA6" s="3414"/>
      <c r="AB6" s="3414"/>
      <c r="AC6" s="3447"/>
    </row>
    <row r="7" spans="1:29" s="102" customFormat="1" ht="1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5" t="s">
        <v>1683</v>
      </c>
      <c r="Q8" s="3436"/>
      <c r="R8" s="664" t="s">
        <v>14</v>
      </c>
      <c r="S8" s="665">
        <f t="shared" si="0"/>
        <v>100</v>
      </c>
      <c r="T8" s="664" t="s">
        <v>14</v>
      </c>
      <c r="U8" s="665">
        <f t="shared" si="1"/>
        <v>100</v>
      </c>
      <c r="V8" s="664" t="s">
        <v>14</v>
      </c>
      <c r="W8" s="665">
        <f t="shared" si="2"/>
        <v>100</v>
      </c>
      <c r="X8" s="666"/>
      <c r="Y8" s="3435" t="s">
        <v>1683</v>
      </c>
      <c r="Z8" s="343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0"/>
      <c r="Q16" s="1263"/>
      <c r="R16" s="667"/>
      <c r="S16" s="668"/>
      <c r="T16" s="667"/>
      <c r="U16" s="668"/>
      <c r="V16" s="667"/>
      <c r="W16" s="668"/>
      <c r="X16" s="1265"/>
      <c r="Y16" s="3403"/>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0"/>
      <c r="Q18" s="1263"/>
      <c r="R18" s="667"/>
      <c r="S18" s="668"/>
      <c r="T18" s="667"/>
      <c r="U18" s="668"/>
      <c r="V18" s="667"/>
      <c r="W18" s="668"/>
      <c r="X18" s="1265"/>
      <c r="Y18" s="3403"/>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0"/>
      <c r="Q20" s="1263"/>
      <c r="R20" s="667"/>
      <c r="S20" s="668"/>
      <c r="T20" s="667"/>
      <c r="U20" s="668"/>
      <c r="V20" s="667"/>
      <c r="W20" s="668"/>
      <c r="X20" s="1265"/>
      <c r="Y20" s="3403"/>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0"/>
      <c r="Q22" s="1263"/>
      <c r="R22" s="667"/>
      <c r="S22" s="668"/>
      <c r="T22" s="667"/>
      <c r="U22" s="668"/>
      <c r="V22" s="667"/>
      <c r="W22" s="668"/>
      <c r="X22" s="1265"/>
      <c r="Y22" s="3403"/>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0"/>
      <c r="Q24" s="1263"/>
      <c r="R24" s="667"/>
      <c r="S24" s="668"/>
      <c r="T24" s="667"/>
      <c r="U24" s="668"/>
      <c r="V24" s="667"/>
      <c r="W24" s="668"/>
      <c r="X24" s="1265"/>
      <c r="Y24" s="340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0"/>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1" t="str">
        <f>A48</f>
        <v>成交单价（元/平方米）</v>
      </c>
      <c r="Q48" s="3400"/>
      <c r="R48" s="3401">
        <f>E48</f>
        <v>0</v>
      </c>
      <c r="S48" s="3401"/>
      <c r="T48" s="3401">
        <f>G48</f>
        <v>0</v>
      </c>
      <c r="U48" s="3401"/>
      <c r="V48" s="3401">
        <f>I48</f>
        <v>0</v>
      </c>
      <c r="W48" s="340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估价对象为北京市北京市朝阳区朝阳门外大街18号房地产，为所有。根据《国有土地使用证》[]，估价对象（分摊）出让国有建设用地使用权面积为225.09平方米，建筑面积为1964.21平方米。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朝阳门外大街18号房地产,属开发建设的，该项目尚在开发建设中。根据《国有土地使用证》[]，估价对象（分摊）出让国有建设用地使用权面积为225.09平方米，规划建筑面积为1964.21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1964.21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860"/>
      <c r="M5" s="861"/>
      <c r="N5" s="861"/>
      <c r="O5" s="861"/>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860"/>
      <c r="M6" s="861"/>
      <c r="N6" s="861"/>
      <c r="O6" s="861"/>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2"/>
      <c r="M7" s="863"/>
      <c r="N7" s="863"/>
      <c r="O7" s="863"/>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0"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0"/>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3"/>
      <c r="Q15" s="1263"/>
      <c r="R15" s="667"/>
      <c r="S15" s="668"/>
      <c r="T15" s="667"/>
      <c r="U15" s="668"/>
      <c r="V15" s="667"/>
      <c r="W15" s="668"/>
      <c r="X15" s="1265"/>
      <c r="Y15" s="3403"/>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3"/>
      <c r="Q17" s="1263"/>
      <c r="R17" s="667"/>
      <c r="S17" s="668"/>
      <c r="T17" s="667"/>
      <c r="U17" s="668"/>
      <c r="V17" s="667"/>
      <c r="W17" s="668"/>
      <c r="X17" s="1265"/>
      <c r="Y17" s="3403"/>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3"/>
      <c r="Q19" s="1263"/>
      <c r="R19" s="667"/>
      <c r="S19" s="668"/>
      <c r="T19" s="667"/>
      <c r="U19" s="668"/>
      <c r="V19" s="667"/>
      <c r="W19" s="668"/>
      <c r="X19" s="1265"/>
      <c r="Y19" s="3403"/>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2"/>
      <c r="M37" s="2485"/>
      <c r="N37" s="2485"/>
      <c r="O37" s="2485"/>
      <c r="P37" s="3400" t="str">
        <f>A37</f>
        <v>成交单价</v>
      </c>
      <c r="Q37" s="3400"/>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7" t="str">
        <f>A39</f>
        <v>估价对象XX用房的比较价值（楼面单价，元/平方米）</v>
      </c>
      <c r="Q39" s="339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45765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0"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0"/>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0"/>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3"/>
      <c r="Q15" s="1263"/>
      <c r="R15" s="667"/>
      <c r="S15" s="668"/>
      <c r="T15" s="667"/>
      <c r="U15" s="668"/>
      <c r="V15" s="667"/>
      <c r="W15" s="668"/>
      <c r="X15" s="1265"/>
      <c r="Y15" s="3403"/>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3"/>
      <c r="Q17" s="1263"/>
      <c r="R17" s="667"/>
      <c r="S17" s="668"/>
      <c r="T17" s="667"/>
      <c r="U17" s="668"/>
      <c r="V17" s="667"/>
      <c r="W17" s="668"/>
      <c r="X17" s="1265"/>
      <c r="Y17" s="3403"/>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3"/>
      <c r="Q19" s="1263"/>
      <c r="R19" s="667"/>
      <c r="S19" s="668"/>
      <c r="T19" s="667"/>
      <c r="U19" s="668"/>
      <c r="V19" s="667"/>
      <c r="W19" s="668"/>
      <c r="X19" s="1265"/>
      <c r="Y19" s="3403"/>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7" t="str">
        <f>A37</f>
        <v>估价对象XX用房的比较价值（楼面单价，元/平方米）</v>
      </c>
      <c r="Q37" s="339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45765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0"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246</v>
      </c>
      <c r="G10" s="402"/>
      <c r="H10" s="119">
        <f>ROUND(100/'数据-取费表'!G16,0)</f>
        <v>246</v>
      </c>
      <c r="I10" s="402"/>
      <c r="J10" s="119">
        <f>ROUND(100/'数据-取费表'!G16,0)</f>
        <v>246</v>
      </c>
      <c r="K10" s="592"/>
      <c r="L10" s="2487"/>
      <c r="M10" s="2488"/>
      <c r="N10" s="2488"/>
      <c r="O10" s="2539"/>
      <c r="P10" s="3400"/>
      <c r="Q10" s="530" t="str">
        <f t="shared" si="6"/>
        <v>土地使用年限（年）</v>
      </c>
      <c r="R10" s="664" t="s">
        <v>14</v>
      </c>
      <c r="S10" s="665">
        <f t="shared" si="0"/>
        <v>246</v>
      </c>
      <c r="T10" s="664" t="s">
        <v>14</v>
      </c>
      <c r="U10" s="665">
        <f t="shared" si="1"/>
        <v>246</v>
      </c>
      <c r="V10" s="664" t="s">
        <v>14</v>
      </c>
      <c r="W10" s="665">
        <f t="shared" si="2"/>
        <v>246</v>
      </c>
      <c r="X10" s="666"/>
      <c r="Y10" s="3256"/>
      <c r="Z10" s="50" t="str">
        <f t="shared" si="7"/>
        <v>土地使用年限（年）</v>
      </c>
      <c r="AA10" s="50">
        <f t="shared" si="3"/>
        <v>0.4065040650406504</v>
      </c>
      <c r="AB10" s="50">
        <f t="shared" si="4"/>
        <v>0.4065040650406504</v>
      </c>
      <c r="AC10" s="50">
        <f t="shared" si="5"/>
        <v>0.4065040650406504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0"/>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0"/>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0"/>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3"/>
      <c r="Q16" s="1263"/>
      <c r="R16" s="667"/>
      <c r="S16" s="668"/>
      <c r="T16" s="667"/>
      <c r="U16" s="668"/>
      <c r="V16" s="667"/>
      <c r="W16" s="668"/>
      <c r="X16" s="1265"/>
      <c r="Y16" s="3403"/>
      <c r="Z16" s="1264"/>
      <c r="AA16" s="1264">
        <v>1</v>
      </c>
      <c r="AB16" s="1264">
        <v>1</v>
      </c>
      <c r="AC16" s="1264">
        <v>1</v>
      </c>
    </row>
    <row r="17" spans="1:29" ht="110.4">
      <c r="A17" s="367"/>
      <c r="B17" s="390" t="s">
        <v>1777</v>
      </c>
      <c r="C17" s="1806" t="str">
        <f>估价对象房地状况!C16</f>
        <v>估价对象位于朝阳门商圈，周边悠唐国际中心、THE BPX等购物中心项目，人流量较大，商业繁华度较好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3"/>
      <c r="Q18" s="1263"/>
      <c r="R18" s="667"/>
      <c r="S18" s="668"/>
      <c r="T18" s="667"/>
      <c r="U18" s="668"/>
      <c r="V18" s="667"/>
      <c r="W18" s="668"/>
      <c r="X18" s="1265"/>
      <c r="Y18" s="3403"/>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3"/>
      <c r="Q20" s="1263"/>
      <c r="R20" s="667"/>
      <c r="S20" s="668"/>
      <c r="T20" s="667"/>
      <c r="U20" s="668"/>
      <c r="V20" s="667"/>
      <c r="W20" s="668"/>
      <c r="X20" s="1265"/>
      <c r="Y20" s="3403"/>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3"/>
      <c r="Q22" s="1263"/>
      <c r="R22" s="667"/>
      <c r="S22" s="668"/>
      <c r="T22" s="667"/>
      <c r="U22" s="668"/>
      <c r="V22" s="667"/>
      <c r="W22" s="668"/>
      <c r="X22" s="1265"/>
      <c r="Y22" s="340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3"/>
      <c r="Q24" s="1263"/>
      <c r="R24" s="667"/>
      <c r="S24" s="668"/>
      <c r="T24" s="667"/>
      <c r="U24" s="668"/>
      <c r="V24" s="667"/>
      <c r="W24" s="668"/>
      <c r="X24" s="1265"/>
      <c r="Y24" s="3403"/>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3"/>
      <c r="Q26" s="1263"/>
      <c r="R26" s="667"/>
      <c r="S26" s="668"/>
      <c r="T26" s="667"/>
      <c r="U26" s="668"/>
      <c r="V26" s="667"/>
      <c r="W26" s="668"/>
      <c r="X26" s="1265"/>
      <c r="Y26" s="3403"/>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3"/>
      <c r="Q28" s="530"/>
      <c r="R28" s="664"/>
      <c r="S28" s="665"/>
      <c r="T28" s="664"/>
      <c r="U28" s="665"/>
      <c r="V28" s="664"/>
      <c r="W28" s="665"/>
      <c r="X28" s="666"/>
      <c r="Y28" s="3403"/>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7"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0" t="str">
        <f>A46</f>
        <v>成交单价</v>
      </c>
      <c r="Q46" s="3400"/>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0" t="str">
        <f>A47</f>
        <v>比较价值（元/平方米）</v>
      </c>
      <c r="Q47" s="3400"/>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97" t="str">
        <f>A48</f>
        <v>估价对象XX用房的比较价值（楼面单价，元/平方米）</v>
      </c>
      <c r="Q48" s="3398"/>
      <c r="R48" s="3460" t="e">
        <f>ROUND(IF(D47="简单平均",AVERAGE(R47:W47),R47*F47+T47*H47+V47*J47),0)</f>
        <v>#DIV/0!</v>
      </c>
      <c r="S48" s="3460"/>
      <c r="T48" s="3460"/>
      <c r="U48" s="3460"/>
      <c r="V48" s="3460"/>
      <c r="W48" s="346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5" t="s">
        <v>1887</v>
      </c>
      <c r="H55" s="346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1964.21</v>
      </c>
      <c r="F56" s="833" t="e">
        <f t="shared" ref="F56:F64" si="15">ROUND(B56*E56/10000,0)</f>
        <v>#DIV/0!</v>
      </c>
      <c r="G56" s="3411"/>
      <c r="H56" s="340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0.7</v>
      </c>
      <c r="D57" s="891">
        <v>0.25</v>
      </c>
      <c r="E57" s="614"/>
      <c r="F57" s="833" t="e">
        <f t="shared" si="15"/>
        <v>#DIV/0!</v>
      </c>
      <c r="G57" s="2748" t="s">
        <v>1892</v>
      </c>
      <c r="H57" s="834" t="str">
        <f>项目基本情况!B37</f>
        <v>一级</v>
      </c>
      <c r="I57" s="838">
        <f>SUMIF(修正!A57:A68,H57,修正!B57:B68)</f>
        <v>0.7</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0.4</v>
      </c>
      <c r="D58" s="891">
        <v>0.25</v>
      </c>
      <c r="E58" s="614"/>
      <c r="F58" s="833" t="e">
        <f t="shared" si="15"/>
        <v>#DIV/0!</v>
      </c>
      <c r="G58" s="2749"/>
      <c r="H58" s="834" t="str">
        <f>项目基本情况!B37</f>
        <v>一级</v>
      </c>
      <c r="I58" s="838">
        <f>SUMIF(修正!A57:A68,H58,修正!C57:C68)</f>
        <v>0.4</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0.3</v>
      </c>
      <c r="D59" s="891">
        <v>0.25</v>
      </c>
      <c r="E59" s="614"/>
      <c r="F59" s="833" t="e">
        <f t="shared" si="15"/>
        <v>#DIV/0!</v>
      </c>
      <c r="G59" s="2749"/>
      <c r="H59" s="834" t="str">
        <f>项目基本情况!B37</f>
        <v>一级</v>
      </c>
      <c r="I59" s="838">
        <f>SUMIF(修正!A57:A68,H59,修正!D57:D68)</f>
        <v>0.3</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1964.21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62" t="s">
        <v>1919</v>
      </c>
      <c r="D6" s="3463"/>
      <c r="E6" s="3464" t="s">
        <v>1919</v>
      </c>
      <c r="F6" s="3465"/>
      <c r="G6" s="3462" t="s">
        <v>1919</v>
      </c>
      <c r="H6" s="3463"/>
      <c r="I6" s="3462" t="s">
        <v>1919</v>
      </c>
      <c r="J6" s="3463"/>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45765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0"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246</v>
      </c>
      <c r="G10" s="371"/>
      <c r="H10" s="119">
        <f>ROUND(100/'数据-取费表'!G16,0)</f>
        <v>246</v>
      </c>
      <c r="I10" s="371"/>
      <c r="J10" s="119">
        <f>ROUND(100/'数据-取费表'!G16,0)</f>
        <v>246</v>
      </c>
      <c r="K10" s="592"/>
      <c r="L10" s="2487"/>
      <c r="M10" s="2488"/>
      <c r="N10" s="2488"/>
      <c r="O10" s="2539"/>
      <c r="P10" s="3400"/>
      <c r="Q10" s="530" t="str">
        <f t="shared" si="6"/>
        <v>土地使用年限（年）</v>
      </c>
      <c r="R10" s="664" t="s">
        <v>14</v>
      </c>
      <c r="S10" s="665">
        <f t="shared" si="0"/>
        <v>246</v>
      </c>
      <c r="T10" s="664" t="s">
        <v>14</v>
      </c>
      <c r="U10" s="665">
        <f t="shared" si="1"/>
        <v>246</v>
      </c>
      <c r="V10" s="664" t="s">
        <v>14</v>
      </c>
      <c r="W10" s="665">
        <f t="shared" si="2"/>
        <v>246</v>
      </c>
      <c r="X10" s="666"/>
      <c r="Y10" s="3256"/>
      <c r="Z10" s="50" t="str">
        <f t="shared" si="7"/>
        <v>土地使用年限（年）</v>
      </c>
      <c r="AA10" s="50">
        <f t="shared" si="3"/>
        <v>0.4065040650406504</v>
      </c>
      <c r="AB10" s="50">
        <f t="shared" si="4"/>
        <v>0.4065040650406504</v>
      </c>
      <c r="AC10" s="50">
        <f t="shared" si="5"/>
        <v>0.4065040650406504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0"/>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0"/>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0"/>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3"/>
      <c r="Q16" s="1263"/>
      <c r="R16" s="667"/>
      <c r="S16" s="668"/>
      <c r="T16" s="667"/>
      <c r="U16" s="668"/>
      <c r="V16" s="667"/>
      <c r="W16" s="668"/>
      <c r="X16" s="1265"/>
      <c r="Y16" s="340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3"/>
      <c r="Q18" s="1263"/>
      <c r="R18" s="667"/>
      <c r="S18" s="668"/>
      <c r="T18" s="667"/>
      <c r="U18" s="668"/>
      <c r="V18" s="667"/>
      <c r="W18" s="668"/>
      <c r="X18" s="1265"/>
      <c r="Y18" s="340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3"/>
      <c r="Q20" s="1263"/>
      <c r="R20" s="667"/>
      <c r="S20" s="668"/>
      <c r="T20" s="667"/>
      <c r="U20" s="668"/>
      <c r="V20" s="667"/>
      <c r="W20" s="668"/>
      <c r="X20" s="1265"/>
      <c r="Y20" s="340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3"/>
      <c r="Q22" s="1263"/>
      <c r="R22" s="667"/>
      <c r="S22" s="668"/>
      <c r="T22" s="667"/>
      <c r="U22" s="668"/>
      <c r="V22" s="667"/>
      <c r="W22" s="668"/>
      <c r="X22" s="1265"/>
      <c r="Y22" s="340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3"/>
      <c r="Q24" s="530"/>
      <c r="R24" s="664"/>
      <c r="S24" s="665"/>
      <c r="T24" s="664"/>
      <c r="U24" s="665"/>
      <c r="V24" s="664"/>
      <c r="W24" s="665"/>
      <c r="X24" s="666"/>
      <c r="Y24" s="340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7"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0" t="str">
        <f>A41</f>
        <v>成交单价</v>
      </c>
      <c r="Q41" s="3400"/>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0" t="str">
        <f>A42</f>
        <v>比较价值（元/平方米）</v>
      </c>
      <c r="Q42" s="3400"/>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7" t="str">
        <f>A43</f>
        <v>估价对象XX用房的比较价值（楼面单价，元/平方米）</v>
      </c>
      <c r="Q43" s="3398"/>
      <c r="R43" s="3460" t="e">
        <f>ROUND(IF(D42="简单平均",AVERAGE(R42:W42),R42*F42+T42*H42+V42*J42),0)</f>
        <v>#DIV/0!</v>
      </c>
      <c r="S43" s="3460"/>
      <c r="T43" s="3460"/>
      <c r="U43" s="3460"/>
      <c r="V43" s="3460"/>
      <c r="W43" s="346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5" t="s">
        <v>1887</v>
      </c>
      <c r="H50" s="346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1964.21</v>
      </c>
      <c r="F51" s="611" t="e">
        <f t="shared" ref="F51:F60" si="15">ROUND(B51*E51/10000,0)</f>
        <v>#DIV/0!</v>
      </c>
      <c r="G51" s="3411"/>
      <c r="H51" s="340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0.7</v>
      </c>
      <c r="D52" s="891">
        <v>0.25</v>
      </c>
      <c r="E52" s="614"/>
      <c r="F52" s="611" t="e">
        <f t="shared" si="15"/>
        <v>#DIV/0!</v>
      </c>
      <c r="G52" s="2748" t="s">
        <v>1892</v>
      </c>
      <c r="H52" s="834" t="str">
        <f>项目基本情况!B37</f>
        <v>一级</v>
      </c>
      <c r="I52" s="727">
        <f>SUMIF(修正!A57:A68,H52,修正!B57:B68)</f>
        <v>0.7</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0.4</v>
      </c>
      <c r="D53" s="891">
        <v>0.25</v>
      </c>
      <c r="E53" s="614"/>
      <c r="F53" s="611" t="e">
        <f t="shared" si="15"/>
        <v>#DIV/0!</v>
      </c>
      <c r="G53" s="2749"/>
      <c r="H53" s="834" t="str">
        <f>项目基本情况!B37</f>
        <v>一级</v>
      </c>
      <c r="I53" s="727">
        <f>SUMIF(修正!A57:A68,H53,修正!C57:C68)</f>
        <v>0.4</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0.3</v>
      </c>
      <c r="D54" s="891">
        <v>0.25</v>
      </c>
      <c r="E54" s="614"/>
      <c r="F54" s="611" t="e">
        <f t="shared" si="15"/>
        <v>#DIV/0!</v>
      </c>
      <c r="G54" s="2749"/>
      <c r="H54" s="834" t="str">
        <f>项目基本情况!B37</f>
        <v>一级</v>
      </c>
      <c r="I54" s="727">
        <f>SUMIF(修正!A57:A68,H54,修正!D57:D68)</f>
        <v>0.3</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225.09</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2059</v>
      </c>
      <c r="C2" s="1984" t="s">
        <v>2074</v>
      </c>
      <c r="D2" s="1984" t="s">
        <v>2075</v>
      </c>
      <c r="E2" s="2396">
        <f ca="1">SUMIF(E6:E13,"&lt;&gt;#ref!",E6:E13)</f>
        <v>1964.21</v>
      </c>
      <c r="F2" s="2542"/>
      <c r="G2" s="2542"/>
      <c r="H2" s="2542"/>
      <c r="I2" s="2542"/>
      <c r="J2" s="2542"/>
      <c r="K2" s="2542"/>
      <c r="L2" s="2542"/>
      <c r="M2" s="2542"/>
      <c r="N2" s="2542"/>
      <c r="O2" s="2542"/>
      <c r="P2" s="2542"/>
    </row>
    <row r="3" spans="1:16" ht="15.6">
      <c r="A3" s="1984" t="s">
        <v>2076</v>
      </c>
      <c r="B3" s="2386">
        <f ca="1">ROUND(B2*10000/E2,0)</f>
        <v>10483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2059</v>
      </c>
      <c r="C6" s="1984" t="s">
        <v>2074</v>
      </c>
      <c r="D6" s="2542"/>
      <c r="E6" s="2396">
        <f ca="1">SUMIF(INDIRECT("'"&amp;A6&amp;"'"&amp;"!C:C"),"建筑面积",INDIRECT("'"&amp;A6&amp;"'"&amp;"!D:D"))</f>
        <v>1964.21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81" t="s">
        <v>2603</v>
      </c>
      <c r="B20" s="3476" t="s">
        <v>2624</v>
      </c>
      <c r="C20" s="2840" t="s">
        <v>2435</v>
      </c>
      <c r="D20" s="2841"/>
      <c r="E20" s="2842">
        <v>1</v>
      </c>
      <c r="F20" s="2843" t="s">
        <v>2436</v>
      </c>
      <c r="G20" s="2843"/>
    </row>
    <row r="21" spans="1:13" ht="19.5" customHeight="1">
      <c r="A21" s="3482"/>
      <c r="B21" s="3475"/>
      <c r="C21" s="2844" t="s">
        <v>2437</v>
      </c>
      <c r="D21" s="2845"/>
      <c r="E21" s="2846">
        <v>1</v>
      </c>
      <c r="F21" s="2843" t="s">
        <v>2438</v>
      </c>
      <c r="G21" s="2843"/>
    </row>
    <row r="22" spans="1:13" ht="19.5" customHeight="1">
      <c r="A22" s="3482"/>
      <c r="B22" s="3475"/>
      <c r="C22" s="2844" t="s">
        <v>2439</v>
      </c>
      <c r="D22" s="2845"/>
      <c r="E22" s="2846">
        <v>0.9</v>
      </c>
      <c r="F22" s="2843" t="s">
        <v>2440</v>
      </c>
      <c r="G22" s="2843"/>
    </row>
    <row r="23" spans="1:13" ht="19.5" customHeight="1">
      <c r="A23" s="3482"/>
      <c r="B23" s="3475"/>
      <c r="C23" s="2844" t="s">
        <v>2441</v>
      </c>
      <c r="D23" s="2845"/>
      <c r="E23" s="2846">
        <v>0.9</v>
      </c>
      <c r="F23" s="2843" t="s">
        <v>2442</v>
      </c>
      <c r="G23" s="2843"/>
    </row>
    <row r="24" spans="1:13" ht="19.5" customHeight="1">
      <c r="A24" s="3482"/>
      <c r="B24" s="3475"/>
      <c r="C24" s="2844" t="s">
        <v>2443</v>
      </c>
      <c r="D24" s="2845"/>
      <c r="E24" s="2846">
        <v>0.8</v>
      </c>
      <c r="F24" s="2843" t="s">
        <v>2444</v>
      </c>
      <c r="G24" s="2843"/>
    </row>
    <row r="25" spans="1:13" ht="19.5" customHeight="1" thickBot="1">
      <c r="A25" s="3483"/>
      <c r="B25" s="3477"/>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8" t="s">
        <v>2627</v>
      </c>
      <c r="B27" s="3476" t="s">
        <v>2608</v>
      </c>
      <c r="C27" s="2840" t="s">
        <v>2448</v>
      </c>
      <c r="D27" s="2841"/>
      <c r="E27" s="2842">
        <v>1</v>
      </c>
      <c r="F27" s="2843" t="s">
        <v>2449</v>
      </c>
      <c r="G27" s="2843"/>
    </row>
    <row r="28" spans="1:13" ht="19.5" customHeight="1">
      <c r="A28" s="3479"/>
      <c r="B28" s="3475"/>
      <c r="C28" s="2844" t="s">
        <v>2450</v>
      </c>
      <c r="D28" s="2845"/>
      <c r="E28" s="2846">
        <v>1</v>
      </c>
      <c r="F28" s="2843" t="s">
        <v>2451</v>
      </c>
      <c r="G28" s="2843"/>
    </row>
    <row r="29" spans="1:13" ht="19.5" customHeight="1">
      <c r="A29" s="3479"/>
      <c r="B29" s="3475"/>
      <c r="C29" s="2844" t="s">
        <v>2452</v>
      </c>
      <c r="D29" s="2845"/>
      <c r="E29" s="2846">
        <v>0.8</v>
      </c>
      <c r="F29" s="2843" t="s">
        <v>2453</v>
      </c>
      <c r="G29" s="2843"/>
    </row>
    <row r="30" spans="1:13" ht="19.5" customHeight="1">
      <c r="A30" s="3479"/>
      <c r="B30" s="3475"/>
      <c r="C30" s="2844" t="s">
        <v>2454</v>
      </c>
      <c r="D30" s="2845"/>
      <c r="E30" s="2846">
        <v>0.8</v>
      </c>
      <c r="F30" s="2843" t="s">
        <v>2455</v>
      </c>
      <c r="G30" s="2843"/>
    </row>
    <row r="31" spans="1:13" ht="19.5" customHeight="1">
      <c r="A31" s="3479"/>
      <c r="B31" s="3475"/>
      <c r="C31" s="2844" t="s">
        <v>2456</v>
      </c>
      <c r="D31" s="2845"/>
      <c r="E31" s="2846">
        <v>0.8</v>
      </c>
      <c r="F31" s="2843" t="s">
        <v>2457</v>
      </c>
      <c r="G31" s="2843"/>
    </row>
    <row r="32" spans="1:13" ht="19.5" customHeight="1">
      <c r="A32" s="3479"/>
      <c r="B32" s="3475"/>
      <c r="C32" s="2844" t="s">
        <v>2458</v>
      </c>
      <c r="D32" s="2845"/>
      <c r="E32" s="2846">
        <v>0.7</v>
      </c>
      <c r="F32" s="2843" t="s">
        <v>2459</v>
      </c>
      <c r="G32" s="2843"/>
    </row>
    <row r="33" spans="1:7" ht="19.5" customHeight="1">
      <c r="A33" s="3479"/>
      <c r="B33" s="3475"/>
      <c r="C33" s="2844" t="s">
        <v>2460</v>
      </c>
      <c r="D33" s="2845"/>
      <c r="E33" s="2846">
        <v>0.8</v>
      </c>
      <c r="F33" s="2843" t="s">
        <v>2461</v>
      </c>
      <c r="G33" s="2843"/>
    </row>
    <row r="34" spans="1:7" ht="19.5" customHeight="1">
      <c r="A34" s="3479"/>
      <c r="B34" s="3475"/>
      <c r="C34" s="2844" t="s">
        <v>2462</v>
      </c>
      <c r="D34" s="2845"/>
      <c r="E34" s="2846">
        <v>0.6</v>
      </c>
      <c r="F34" s="2843" t="s">
        <v>2463</v>
      </c>
      <c r="G34" s="2843"/>
    </row>
    <row r="35" spans="1:7" ht="19.5" customHeight="1">
      <c r="A35" s="3479"/>
      <c r="B35" s="3475"/>
      <c r="C35" s="2844" t="s">
        <v>2464</v>
      </c>
      <c r="D35" s="2845"/>
      <c r="E35" s="2846">
        <v>0.2</v>
      </c>
      <c r="F35" s="2843" t="s">
        <v>2465</v>
      </c>
      <c r="G35" s="2843"/>
    </row>
    <row r="36" spans="1:7" ht="19.5" customHeight="1">
      <c r="A36" s="3479"/>
      <c r="B36" s="3475"/>
      <c r="C36" s="2844" t="s">
        <v>2466</v>
      </c>
      <c r="D36" s="2845"/>
      <c r="E36" s="2846">
        <v>0.2</v>
      </c>
      <c r="F36" s="2843" t="s">
        <v>2467</v>
      </c>
      <c r="G36" s="2843"/>
    </row>
    <row r="37" spans="1:7" ht="19.5" customHeight="1">
      <c r="A37" s="3479"/>
      <c r="B37" s="3473" t="s">
        <v>2628</v>
      </c>
      <c r="C37" s="2844" t="s">
        <v>2468</v>
      </c>
      <c r="D37" s="2845"/>
      <c r="E37" s="2846">
        <v>0.6</v>
      </c>
      <c r="F37" s="2843" t="s">
        <v>2469</v>
      </c>
      <c r="G37" s="2843"/>
    </row>
    <row r="38" spans="1:7" ht="19.5" customHeight="1">
      <c r="A38" s="3479"/>
      <c r="B38" s="3475"/>
      <c r="C38" s="2844" t="s">
        <v>2470</v>
      </c>
      <c r="D38" s="2845"/>
      <c r="E38" s="2846">
        <v>0.6</v>
      </c>
      <c r="F38" s="2843" t="s">
        <v>2471</v>
      </c>
      <c r="G38" s="2843"/>
    </row>
    <row r="39" spans="1:7" ht="19.5" customHeight="1" thickBot="1">
      <c r="A39" s="3480"/>
      <c r="B39" s="3477"/>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81" t="s">
        <v>2606</v>
      </c>
      <c r="B41" s="3476" t="s">
        <v>2630</v>
      </c>
      <c r="C41" s="2840" t="s">
        <v>2475</v>
      </c>
      <c r="D41" s="2841"/>
      <c r="E41" s="2842">
        <v>1</v>
      </c>
      <c r="F41" s="2843" t="s">
        <v>2476</v>
      </c>
      <c r="G41" s="2843"/>
    </row>
    <row r="42" spans="1:7" ht="19.5" customHeight="1">
      <c r="A42" s="3482"/>
      <c r="B42" s="3475"/>
      <c r="C42" s="2844" t="s">
        <v>2477</v>
      </c>
      <c r="D42" s="2845"/>
      <c r="E42" s="2846">
        <v>1</v>
      </c>
      <c r="F42" s="2843" t="s">
        <v>2478</v>
      </c>
      <c r="G42" s="2843"/>
    </row>
    <row r="43" spans="1:7" ht="19.5" customHeight="1">
      <c r="A43" s="3482"/>
      <c r="B43" s="3474"/>
      <c r="C43" s="2844" t="s">
        <v>2479</v>
      </c>
      <c r="D43" s="2845"/>
      <c r="E43" s="2846">
        <v>1.5</v>
      </c>
      <c r="F43" s="2843" t="s">
        <v>2480</v>
      </c>
      <c r="G43" s="2843"/>
    </row>
    <row r="44" spans="1:7" ht="19.5" customHeight="1">
      <c r="A44" s="3482"/>
      <c r="B44" s="2855" t="s">
        <v>2631</v>
      </c>
      <c r="C44" s="2844" t="s">
        <v>2632</v>
      </c>
      <c r="D44" s="2845"/>
      <c r="E44" s="2846">
        <v>2</v>
      </c>
      <c r="F44" s="2843" t="s">
        <v>2481</v>
      </c>
      <c r="G44" s="2843"/>
    </row>
    <row r="45" spans="1:7" ht="19.5" customHeight="1">
      <c r="A45" s="3482"/>
      <c r="B45" s="3473" t="s">
        <v>2633</v>
      </c>
      <c r="C45" s="2844" t="s">
        <v>2482</v>
      </c>
      <c r="D45" s="2845"/>
      <c r="E45" s="2846">
        <v>1</v>
      </c>
      <c r="F45" s="2843" t="s">
        <v>2483</v>
      </c>
      <c r="G45" s="2843"/>
    </row>
    <row r="46" spans="1:7" ht="19.5" customHeight="1">
      <c r="A46" s="3482"/>
      <c r="B46" s="3475"/>
      <c r="C46" s="2844" t="s">
        <v>2484</v>
      </c>
      <c r="D46" s="2845"/>
      <c r="E46" s="2846">
        <v>1</v>
      </c>
      <c r="F46" s="2843" t="s">
        <v>2485</v>
      </c>
      <c r="G46" s="2843"/>
    </row>
    <row r="47" spans="1:7" ht="19.5" customHeight="1">
      <c r="A47" s="3482"/>
      <c r="B47" s="3475"/>
      <c r="C47" s="2844" t="s">
        <v>2486</v>
      </c>
      <c r="D47" s="2845"/>
      <c r="E47" s="2846">
        <v>1</v>
      </c>
      <c r="F47" s="2843" t="s">
        <v>2487</v>
      </c>
      <c r="G47" s="2843"/>
    </row>
    <row r="48" spans="1:7" ht="19.5" customHeight="1">
      <c r="A48" s="3482"/>
      <c r="B48" s="3475"/>
      <c r="C48" s="2844" t="s">
        <v>2488</v>
      </c>
      <c r="D48" s="2845"/>
      <c r="E48" s="2846">
        <v>1</v>
      </c>
      <c r="F48" s="2843" t="s">
        <v>2489</v>
      </c>
      <c r="G48" s="2843"/>
    </row>
    <row r="49" spans="1:7" ht="19.5" customHeight="1">
      <c r="A49" s="3482"/>
      <c r="B49" s="3475"/>
      <c r="C49" s="2844" t="s">
        <v>2490</v>
      </c>
      <c r="D49" s="2845"/>
      <c r="E49" s="2846">
        <v>1</v>
      </c>
      <c r="F49" s="2843" t="s">
        <v>2491</v>
      </c>
      <c r="G49" s="2843"/>
    </row>
    <row r="50" spans="1:7" ht="19.5" customHeight="1">
      <c r="A50" s="3482"/>
      <c r="B50" s="3475"/>
      <c r="C50" s="2844" t="s">
        <v>2492</v>
      </c>
      <c r="D50" s="2845"/>
      <c r="E50" s="2846">
        <v>1</v>
      </c>
      <c r="F50" s="2843" t="s">
        <v>2493</v>
      </c>
      <c r="G50" s="2843"/>
    </row>
    <row r="51" spans="1:7" ht="19.5" customHeight="1" thickBot="1">
      <c r="A51" s="3483"/>
      <c r="B51" s="3477"/>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3" t="s">
        <v>2647</v>
      </c>
      <c r="C73" s="2829" t="s">
        <v>2648</v>
      </c>
      <c r="D73" s="2829" t="s">
        <v>2649</v>
      </c>
      <c r="E73" s="2855">
        <v>0.2</v>
      </c>
      <c r="F73" s="2855">
        <v>25</v>
      </c>
    </row>
    <row r="74" spans="1:7" ht="24">
      <c r="A74" s="2855">
        <v>2</v>
      </c>
      <c r="B74" s="3475"/>
      <c r="C74" s="2829" t="s">
        <v>2650</v>
      </c>
      <c r="D74" s="2829" t="s">
        <v>2651</v>
      </c>
      <c r="E74" s="2855">
        <v>0.2</v>
      </c>
      <c r="F74" s="2855">
        <v>25</v>
      </c>
    </row>
    <row r="75" spans="1:7" ht="24">
      <c r="A75" s="2855">
        <v>3</v>
      </c>
      <c r="B75" s="3475"/>
      <c r="C75" s="2829" t="s">
        <v>2652</v>
      </c>
      <c r="D75" s="2829" t="s">
        <v>2653</v>
      </c>
      <c r="E75" s="2855">
        <v>0.2</v>
      </c>
      <c r="F75" s="2855">
        <v>25</v>
      </c>
    </row>
    <row r="76" spans="1:7" ht="14.4">
      <c r="A76" s="2855">
        <v>4</v>
      </c>
      <c r="B76" s="3475"/>
      <c r="C76" s="2829" t="s">
        <v>2654</v>
      </c>
      <c r="D76" s="2829" t="s">
        <v>2655</v>
      </c>
      <c r="E76" s="2855">
        <v>0.15</v>
      </c>
      <c r="F76" s="2855">
        <v>20</v>
      </c>
    </row>
    <row r="77" spans="1:7" ht="24">
      <c r="A77" s="2855">
        <v>5</v>
      </c>
      <c r="B77" s="3475"/>
      <c r="C77" s="2829" t="s">
        <v>2656</v>
      </c>
      <c r="D77" s="2829" t="s">
        <v>2657</v>
      </c>
      <c r="E77" s="2855">
        <v>0.15</v>
      </c>
      <c r="F77" s="2855">
        <v>20</v>
      </c>
    </row>
    <row r="78" spans="1:7" ht="24">
      <c r="A78" s="2855">
        <v>6</v>
      </c>
      <c r="B78" s="3475"/>
      <c r="C78" s="2829" t="s">
        <v>2658</v>
      </c>
      <c r="D78" s="2829" t="s">
        <v>2659</v>
      </c>
      <c r="E78" s="2855">
        <v>0.15</v>
      </c>
      <c r="F78" s="2855">
        <v>20</v>
      </c>
    </row>
    <row r="79" spans="1:7" ht="24">
      <c r="A79" s="2855">
        <v>7</v>
      </c>
      <c r="B79" s="3475"/>
      <c r="C79" s="2829" t="s">
        <v>2660</v>
      </c>
      <c r="D79" s="2829" t="s">
        <v>2661</v>
      </c>
      <c r="E79" s="2855">
        <v>0.15</v>
      </c>
      <c r="F79" s="2855">
        <v>20</v>
      </c>
    </row>
    <row r="80" spans="1:7" ht="24">
      <c r="A80" s="2855">
        <v>8</v>
      </c>
      <c r="B80" s="3475"/>
      <c r="C80" s="2829" t="s">
        <v>2662</v>
      </c>
      <c r="D80" s="2829" t="s">
        <v>2663</v>
      </c>
      <c r="E80" s="2855">
        <v>0.1</v>
      </c>
      <c r="F80" s="2855">
        <v>15</v>
      </c>
    </row>
    <row r="81" spans="1:6" ht="24">
      <c r="A81" s="2855">
        <v>9</v>
      </c>
      <c r="B81" s="3475"/>
      <c r="C81" s="2829" t="s">
        <v>2664</v>
      </c>
      <c r="D81" s="2829" t="s">
        <v>2665</v>
      </c>
      <c r="E81" s="2855">
        <v>0.1</v>
      </c>
      <c r="F81" s="2855">
        <v>15</v>
      </c>
    </row>
    <row r="82" spans="1:6" ht="24">
      <c r="A82" s="2855">
        <v>10</v>
      </c>
      <c r="B82" s="3475"/>
      <c r="C82" s="2829" t="s">
        <v>2666</v>
      </c>
      <c r="D82" s="2829" t="s">
        <v>2667</v>
      </c>
      <c r="E82" s="2855">
        <v>0.1</v>
      </c>
      <c r="F82" s="2855">
        <v>15</v>
      </c>
    </row>
    <row r="83" spans="1:6" ht="24">
      <c r="A83" s="2855">
        <v>11</v>
      </c>
      <c r="B83" s="3475"/>
      <c r="C83" s="2829" t="s">
        <v>2668</v>
      </c>
      <c r="D83" s="2829" t="s">
        <v>2669</v>
      </c>
      <c r="E83" s="2855">
        <v>0.1</v>
      </c>
      <c r="F83" s="2855">
        <v>15</v>
      </c>
    </row>
    <row r="84" spans="1:6" ht="24">
      <c r="A84" s="2855">
        <v>12</v>
      </c>
      <c r="B84" s="3475"/>
      <c r="C84" s="2829" t="s">
        <v>2670</v>
      </c>
      <c r="D84" s="2829" t="s">
        <v>2671</v>
      </c>
      <c r="E84" s="2855">
        <v>0.1</v>
      </c>
      <c r="F84" s="2855">
        <v>15</v>
      </c>
    </row>
    <row r="85" spans="1:6" ht="24">
      <c r="A85" s="2855">
        <v>13</v>
      </c>
      <c r="B85" s="3475"/>
      <c r="C85" s="2829" t="s">
        <v>2672</v>
      </c>
      <c r="D85" s="2829" t="s">
        <v>2673</v>
      </c>
      <c r="E85" s="2855">
        <v>0.1</v>
      </c>
      <c r="F85" s="2855">
        <v>15</v>
      </c>
    </row>
    <row r="86" spans="1:6" ht="24">
      <c r="A86" s="2855">
        <v>14</v>
      </c>
      <c r="B86" s="3475"/>
      <c r="C86" s="2829" t="s">
        <v>2674</v>
      </c>
      <c r="D86" s="2829" t="s">
        <v>2675</v>
      </c>
      <c r="E86" s="2855">
        <v>0.1</v>
      </c>
      <c r="F86" s="2855">
        <v>15</v>
      </c>
    </row>
    <row r="87" spans="1:6" ht="24">
      <c r="A87" s="2855">
        <v>15</v>
      </c>
      <c r="B87" s="3475"/>
      <c r="C87" s="2829" t="s">
        <v>2676</v>
      </c>
      <c r="D87" s="2829" t="s">
        <v>2677</v>
      </c>
      <c r="E87" s="2855">
        <v>0.1</v>
      </c>
      <c r="F87" s="2855">
        <v>15</v>
      </c>
    </row>
    <row r="88" spans="1:6" ht="24">
      <c r="A88" s="2855">
        <v>16</v>
      </c>
      <c r="B88" s="3475"/>
      <c r="C88" s="2829" t="s">
        <v>2678</v>
      </c>
      <c r="D88" s="2829" t="s">
        <v>2679</v>
      </c>
      <c r="E88" s="2855">
        <v>0.1</v>
      </c>
      <c r="F88" s="2855">
        <v>15</v>
      </c>
    </row>
    <row r="89" spans="1:6" ht="24">
      <c r="A89" s="2855">
        <v>17</v>
      </c>
      <c r="B89" s="3474"/>
      <c r="C89" s="2829" t="s">
        <v>2680</v>
      </c>
      <c r="D89" s="2829" t="s">
        <v>2681</v>
      </c>
      <c r="E89" s="2855">
        <v>0.1</v>
      </c>
      <c r="F89" s="2855">
        <v>15</v>
      </c>
    </row>
    <row r="90" spans="1:6" ht="14.4">
      <c r="A90" s="2855">
        <v>18</v>
      </c>
      <c r="B90" s="3473" t="s">
        <v>2682</v>
      </c>
      <c r="C90" s="2829" t="s">
        <v>2683</v>
      </c>
      <c r="D90" s="2829" t="s">
        <v>2684</v>
      </c>
      <c r="E90" s="2855">
        <v>0.2</v>
      </c>
      <c r="F90" s="2855">
        <v>25</v>
      </c>
    </row>
    <row r="91" spans="1:6" ht="24">
      <c r="A91" s="2855">
        <v>19</v>
      </c>
      <c r="B91" s="3475"/>
      <c r="C91" s="2829" t="s">
        <v>2685</v>
      </c>
      <c r="D91" s="2829" t="s">
        <v>2686</v>
      </c>
      <c r="E91" s="2855">
        <v>0.2</v>
      </c>
      <c r="F91" s="2855">
        <v>25</v>
      </c>
    </row>
    <row r="92" spans="1:6" ht="14.4">
      <c r="A92" s="2855">
        <v>20</v>
      </c>
      <c r="B92" s="3475"/>
      <c r="C92" s="2829" t="s">
        <v>2687</v>
      </c>
      <c r="D92" s="2829" t="s">
        <v>2688</v>
      </c>
      <c r="E92" s="2855">
        <v>0.15</v>
      </c>
      <c r="F92" s="2855">
        <v>20</v>
      </c>
    </row>
    <row r="93" spans="1:6" ht="24">
      <c r="A93" s="2855">
        <v>21</v>
      </c>
      <c r="B93" s="3475"/>
      <c r="C93" s="2829" t="s">
        <v>2689</v>
      </c>
      <c r="D93" s="2829" t="s">
        <v>2690</v>
      </c>
      <c r="E93" s="2855">
        <v>0.15</v>
      </c>
      <c r="F93" s="2855">
        <v>20</v>
      </c>
    </row>
    <row r="94" spans="1:6" ht="24">
      <c r="A94" s="2855">
        <v>22</v>
      </c>
      <c r="B94" s="3475"/>
      <c r="C94" s="2829" t="s">
        <v>2691</v>
      </c>
      <c r="D94" s="2829" t="s">
        <v>2692</v>
      </c>
      <c r="E94" s="2855">
        <v>0.15</v>
      </c>
      <c r="F94" s="2855">
        <v>20</v>
      </c>
    </row>
    <row r="95" spans="1:6" ht="36">
      <c r="A95" s="2855">
        <v>23</v>
      </c>
      <c r="B95" s="3475"/>
      <c r="C95" s="2829" t="s">
        <v>2693</v>
      </c>
      <c r="D95" s="2829" t="s">
        <v>2694</v>
      </c>
      <c r="E95" s="2855">
        <v>0.15</v>
      </c>
      <c r="F95" s="2855">
        <v>20</v>
      </c>
    </row>
    <row r="96" spans="1:6" ht="24">
      <c r="A96" s="2855">
        <v>24</v>
      </c>
      <c r="B96" s="3475"/>
      <c r="C96" s="2829" t="s">
        <v>2695</v>
      </c>
      <c r="D96" s="2829" t="s">
        <v>2696</v>
      </c>
      <c r="E96" s="2855">
        <v>0.1</v>
      </c>
      <c r="F96" s="2855">
        <v>15</v>
      </c>
    </row>
    <row r="97" spans="1:6" ht="24">
      <c r="A97" s="2855">
        <v>25</v>
      </c>
      <c r="B97" s="3475"/>
      <c r="C97" s="2829" t="s">
        <v>2697</v>
      </c>
      <c r="D97" s="2829" t="s">
        <v>2698</v>
      </c>
      <c r="E97" s="2855">
        <v>0.1</v>
      </c>
      <c r="F97" s="2855">
        <v>15</v>
      </c>
    </row>
    <row r="98" spans="1:6" ht="24">
      <c r="A98" s="2855">
        <v>26</v>
      </c>
      <c r="B98" s="3475"/>
      <c r="C98" s="2829" t="s">
        <v>2699</v>
      </c>
      <c r="D98" s="2829" t="s">
        <v>2700</v>
      </c>
      <c r="E98" s="2855">
        <v>0.1</v>
      </c>
      <c r="F98" s="2855">
        <v>15</v>
      </c>
    </row>
    <row r="99" spans="1:6" ht="24">
      <c r="A99" s="2855">
        <v>27</v>
      </c>
      <c r="B99" s="3475"/>
      <c r="C99" s="2829" t="s">
        <v>2701</v>
      </c>
      <c r="D99" s="2829" t="s">
        <v>2702</v>
      </c>
      <c r="E99" s="2855">
        <v>0.1</v>
      </c>
      <c r="F99" s="2855">
        <v>15</v>
      </c>
    </row>
    <row r="100" spans="1:6" ht="24">
      <c r="A100" s="2855">
        <v>28</v>
      </c>
      <c r="B100" s="3475"/>
      <c r="C100" s="2829" t="s">
        <v>2703</v>
      </c>
      <c r="D100" s="2829" t="s">
        <v>2704</v>
      </c>
      <c r="E100" s="2855">
        <v>0.1</v>
      </c>
      <c r="F100" s="2855">
        <v>15</v>
      </c>
    </row>
    <row r="101" spans="1:6" ht="24">
      <c r="A101" s="2855">
        <v>29</v>
      </c>
      <c r="B101" s="3475"/>
      <c r="C101" s="2829" t="s">
        <v>2705</v>
      </c>
      <c r="D101" s="2829" t="s">
        <v>2706</v>
      </c>
      <c r="E101" s="2855">
        <v>0.1</v>
      </c>
      <c r="F101" s="2855">
        <v>15</v>
      </c>
    </row>
    <row r="102" spans="1:6" ht="24">
      <c r="A102" s="2855">
        <v>30</v>
      </c>
      <c r="B102" s="3475"/>
      <c r="C102" s="2829" t="s">
        <v>2707</v>
      </c>
      <c r="D102" s="2829" t="s">
        <v>2708</v>
      </c>
      <c r="E102" s="2855">
        <v>0.1</v>
      </c>
      <c r="F102" s="2855">
        <v>15</v>
      </c>
    </row>
    <row r="103" spans="1:6" ht="24">
      <c r="A103" s="2855">
        <v>31</v>
      </c>
      <c r="B103" s="3475"/>
      <c r="C103" s="2829" t="s">
        <v>2709</v>
      </c>
      <c r="D103" s="2829" t="s">
        <v>2710</v>
      </c>
      <c r="E103" s="2855">
        <v>0.1</v>
      </c>
      <c r="F103" s="2855">
        <v>15</v>
      </c>
    </row>
    <row r="104" spans="1:6" ht="24">
      <c r="A104" s="2855">
        <v>32</v>
      </c>
      <c r="B104" s="3475"/>
      <c r="C104" s="2829" t="s">
        <v>2711</v>
      </c>
      <c r="D104" s="2829" t="s">
        <v>2712</v>
      </c>
      <c r="E104" s="2855">
        <v>0.1</v>
      </c>
      <c r="F104" s="2855">
        <v>15</v>
      </c>
    </row>
    <row r="105" spans="1:6" ht="24">
      <c r="A105" s="2855">
        <v>33</v>
      </c>
      <c r="B105" s="3475"/>
      <c r="C105" s="2829" t="s">
        <v>2713</v>
      </c>
      <c r="D105" s="2829" t="s">
        <v>2714</v>
      </c>
      <c r="E105" s="2855">
        <v>0.1</v>
      </c>
      <c r="F105" s="2855">
        <v>15</v>
      </c>
    </row>
    <row r="106" spans="1:6" ht="24">
      <c r="A106" s="2855">
        <v>34</v>
      </c>
      <c r="B106" s="3474"/>
      <c r="C106" s="2829" t="s">
        <v>2715</v>
      </c>
      <c r="D106" s="2829" t="s">
        <v>2716</v>
      </c>
      <c r="E106" s="2855">
        <v>0.1</v>
      </c>
      <c r="F106" s="2855">
        <v>15</v>
      </c>
    </row>
    <row r="107" spans="1:6" ht="36">
      <c r="A107" s="2855">
        <v>35</v>
      </c>
      <c r="B107" s="3473" t="s">
        <v>2717</v>
      </c>
      <c r="C107" s="2855" t="s">
        <v>2718</v>
      </c>
      <c r="D107" s="2829" t="s">
        <v>2719</v>
      </c>
      <c r="E107" s="2855">
        <v>0.15</v>
      </c>
      <c r="F107" s="2855">
        <v>20</v>
      </c>
    </row>
    <row r="108" spans="1:6" ht="24">
      <c r="A108" s="2855">
        <v>36</v>
      </c>
      <c r="B108" s="3475"/>
      <c r="C108" s="2855" t="s">
        <v>2720</v>
      </c>
      <c r="D108" s="2829" t="s">
        <v>2721</v>
      </c>
      <c r="E108" s="2855">
        <v>0.15</v>
      </c>
      <c r="F108" s="2855">
        <v>20</v>
      </c>
    </row>
    <row r="109" spans="1:6" ht="24">
      <c r="A109" s="2855">
        <v>37</v>
      </c>
      <c r="B109" s="3475"/>
      <c r="C109" s="2855" t="s">
        <v>2722</v>
      </c>
      <c r="D109" s="2829" t="s">
        <v>2723</v>
      </c>
      <c r="E109" s="2855">
        <v>0.15</v>
      </c>
      <c r="F109" s="2855">
        <v>20</v>
      </c>
    </row>
    <row r="110" spans="1:6" ht="24">
      <c r="A110" s="2855">
        <v>38</v>
      </c>
      <c r="B110" s="3475"/>
      <c r="C110" s="2855" t="s">
        <v>2724</v>
      </c>
      <c r="D110" s="2829" t="s">
        <v>2725</v>
      </c>
      <c r="E110" s="2855">
        <v>0.1</v>
      </c>
      <c r="F110" s="2855">
        <v>15</v>
      </c>
    </row>
    <row r="111" spans="1:6" ht="24">
      <c r="A111" s="2855">
        <v>39</v>
      </c>
      <c r="B111" s="3475"/>
      <c r="C111" s="2855" t="s">
        <v>2726</v>
      </c>
      <c r="D111" s="2829" t="s">
        <v>2727</v>
      </c>
      <c r="E111" s="2855">
        <v>0.1</v>
      </c>
      <c r="F111" s="2855">
        <v>15</v>
      </c>
    </row>
    <row r="112" spans="1:6" ht="24">
      <c r="A112" s="2855">
        <v>40</v>
      </c>
      <c r="B112" s="3474"/>
      <c r="C112" s="2855" t="s">
        <v>2728</v>
      </c>
      <c r="D112" s="2829" t="s">
        <v>2729</v>
      </c>
      <c r="E112" s="2855">
        <v>0.1</v>
      </c>
      <c r="F112" s="2855">
        <v>15</v>
      </c>
    </row>
    <row r="113" spans="1:6" ht="24">
      <c r="A113" s="2855">
        <v>41</v>
      </c>
      <c r="B113" s="3472" t="s">
        <v>2730</v>
      </c>
      <c r="C113" s="2855" t="s">
        <v>2731</v>
      </c>
      <c r="D113" s="2829" t="s">
        <v>2732</v>
      </c>
      <c r="E113" s="2855">
        <v>0.1</v>
      </c>
      <c r="F113" s="2855">
        <v>15</v>
      </c>
    </row>
    <row r="114" spans="1:6" ht="24">
      <c r="A114" s="2855">
        <v>42</v>
      </c>
      <c r="B114" s="3472"/>
      <c r="C114" s="2855" t="s">
        <v>2733</v>
      </c>
      <c r="D114" s="2829" t="s">
        <v>2734</v>
      </c>
      <c r="E114" s="2855">
        <v>0.1</v>
      </c>
      <c r="F114" s="2855">
        <v>15</v>
      </c>
    </row>
    <row r="115" spans="1:6" ht="24">
      <c r="A115" s="2855">
        <v>43</v>
      </c>
      <c r="B115" s="3472"/>
      <c r="C115" s="2855" t="s">
        <v>2735</v>
      </c>
      <c r="D115" s="2829" t="s">
        <v>2736</v>
      </c>
      <c r="E115" s="2855">
        <v>0.1</v>
      </c>
      <c r="F115" s="2855">
        <v>15</v>
      </c>
    </row>
    <row r="116" spans="1:6" ht="24">
      <c r="A116" s="2855">
        <v>44</v>
      </c>
      <c r="B116" s="3473" t="s">
        <v>2737</v>
      </c>
      <c r="C116" s="2855" t="s">
        <v>2738</v>
      </c>
      <c r="D116" s="2829" t="s">
        <v>2739</v>
      </c>
      <c r="E116" s="2855">
        <v>0.1</v>
      </c>
      <c r="F116" s="2855">
        <v>15</v>
      </c>
    </row>
    <row r="117" spans="1:6" ht="24">
      <c r="A117" s="2855">
        <v>45</v>
      </c>
      <c r="B117" s="3474"/>
      <c r="C117" s="2829" t="s">
        <v>2740</v>
      </c>
      <c r="D117" s="2829" t="s">
        <v>2741</v>
      </c>
      <c r="E117" s="2855">
        <v>0.1</v>
      </c>
      <c r="F117" s="2855">
        <v>15</v>
      </c>
    </row>
    <row r="118" spans="1:6" ht="24">
      <c r="A118" s="2855">
        <v>46</v>
      </c>
      <c r="B118" s="3473" t="s">
        <v>2742</v>
      </c>
      <c r="C118" s="2855" t="s">
        <v>2743</v>
      </c>
      <c r="D118" s="2829" t="s">
        <v>2744</v>
      </c>
      <c r="E118" s="2855">
        <v>0.1</v>
      </c>
      <c r="F118" s="2855">
        <v>15</v>
      </c>
    </row>
    <row r="119" spans="1:6" ht="24">
      <c r="A119" s="2855">
        <v>47</v>
      </c>
      <c r="B119" s="3474"/>
      <c r="C119" s="2855" t="s">
        <v>2745</v>
      </c>
      <c r="D119" s="2829" t="s">
        <v>2746</v>
      </c>
      <c r="E119" s="2855">
        <v>0.1</v>
      </c>
      <c r="F119" s="2855">
        <v>15</v>
      </c>
    </row>
    <row r="120" spans="1:6" ht="24">
      <c r="A120" s="2855">
        <v>48</v>
      </c>
      <c r="B120" s="3473" t="s">
        <v>2747</v>
      </c>
      <c r="C120" s="2855" t="s">
        <v>2748</v>
      </c>
      <c r="D120" s="2829" t="s">
        <v>2749</v>
      </c>
      <c r="E120" s="2855">
        <v>0.1</v>
      </c>
      <c r="F120" s="2855">
        <v>15</v>
      </c>
    </row>
    <row r="121" spans="1:6" ht="24">
      <c r="A121" s="2855">
        <v>49</v>
      </c>
      <c r="B121" s="3474"/>
      <c r="C121" s="2855" t="s">
        <v>2750</v>
      </c>
      <c r="D121" s="2829" t="s">
        <v>2751</v>
      </c>
      <c r="E121" s="2855">
        <v>0.1</v>
      </c>
      <c r="F121" s="2855">
        <v>15</v>
      </c>
    </row>
    <row r="122" spans="1:6" ht="24">
      <c r="A122" s="2855">
        <v>50</v>
      </c>
      <c r="B122" s="3472" t="s">
        <v>2752</v>
      </c>
      <c r="C122" s="2855" t="s">
        <v>2753</v>
      </c>
      <c r="D122" s="2829" t="s">
        <v>2754</v>
      </c>
      <c r="E122" s="2855">
        <v>0.1</v>
      </c>
      <c r="F122" s="2855">
        <v>15</v>
      </c>
    </row>
    <row r="123" spans="1:6" ht="24">
      <c r="A123" s="2855">
        <v>51</v>
      </c>
      <c r="B123" s="3472"/>
      <c r="C123" s="2855" t="s">
        <v>2755</v>
      </c>
      <c r="D123" s="2829" t="s">
        <v>2756</v>
      </c>
      <c r="E123" s="2855">
        <v>0.1</v>
      </c>
      <c r="F123" s="2855">
        <v>15</v>
      </c>
    </row>
    <row r="124" spans="1:6" ht="24">
      <c r="A124" s="2855">
        <v>52</v>
      </c>
      <c r="B124" s="3472" t="s">
        <v>2757</v>
      </c>
      <c r="C124" s="2855" t="s">
        <v>2758</v>
      </c>
      <c r="D124" s="2829" t="s">
        <v>2759</v>
      </c>
      <c r="E124" s="2855">
        <v>0.1</v>
      </c>
      <c r="F124" s="2855">
        <v>15</v>
      </c>
    </row>
    <row r="125" spans="1:6" ht="24">
      <c r="A125" s="2855">
        <v>53</v>
      </c>
      <c r="B125" s="3472"/>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72" t="s">
        <v>2765</v>
      </c>
      <c r="C127" s="2855" t="s">
        <v>2766</v>
      </c>
      <c r="D127" s="2829" t="s">
        <v>2767</v>
      </c>
      <c r="E127" s="2855">
        <v>0.1</v>
      </c>
      <c r="F127" s="2855">
        <v>15</v>
      </c>
    </row>
    <row r="128" spans="1:6" ht="24">
      <c r="A128" s="2855">
        <v>56</v>
      </c>
      <c r="B128" s="3472"/>
      <c r="C128" s="2855" t="s">
        <v>2768</v>
      </c>
      <c r="D128" s="2829" t="s">
        <v>2769</v>
      </c>
      <c r="E128" s="2855">
        <v>0.1</v>
      </c>
      <c r="F128" s="2855">
        <v>15</v>
      </c>
    </row>
    <row r="129" spans="1:6" ht="24">
      <c r="A129" s="2855">
        <v>57</v>
      </c>
      <c r="B129" s="3472"/>
      <c r="C129" s="2855" t="s">
        <v>2770</v>
      </c>
      <c r="D129" s="2829" t="s">
        <v>2771</v>
      </c>
      <c r="E129" s="2855">
        <v>0.1</v>
      </c>
      <c r="F129" s="2855">
        <v>15</v>
      </c>
    </row>
    <row r="130" spans="1:6" ht="24">
      <c r="A130" s="2855">
        <v>58</v>
      </c>
      <c r="B130" s="3472" t="s">
        <v>2772</v>
      </c>
      <c r="C130" s="2855" t="s">
        <v>2773</v>
      </c>
      <c r="D130" s="2829" t="s">
        <v>2774</v>
      </c>
      <c r="E130" s="2855">
        <v>0.1</v>
      </c>
      <c r="F130" s="2855">
        <v>15</v>
      </c>
    </row>
    <row r="131" spans="1:6" ht="24">
      <c r="A131" s="2855">
        <v>59</v>
      </c>
      <c r="B131" s="3472"/>
      <c r="C131" s="2855" t="s">
        <v>2775</v>
      </c>
      <c r="D131" s="2829" t="s">
        <v>2776</v>
      </c>
      <c r="E131" s="2855">
        <v>0.1</v>
      </c>
      <c r="F131" s="2855">
        <v>15</v>
      </c>
    </row>
    <row r="132" spans="1:6" ht="24">
      <c r="A132" s="2855">
        <v>60</v>
      </c>
      <c r="B132" s="3473" t="s">
        <v>2777</v>
      </c>
      <c r="C132" s="2855" t="s">
        <v>2778</v>
      </c>
      <c r="D132" s="2829" t="s">
        <v>2779</v>
      </c>
      <c r="E132" s="2855">
        <v>0.1</v>
      </c>
      <c r="F132" s="2855">
        <v>15</v>
      </c>
    </row>
    <row r="133" spans="1:6" ht="24">
      <c r="A133" s="2855">
        <v>61</v>
      </c>
      <c r="B133" s="3474"/>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72" t="s">
        <v>2785</v>
      </c>
      <c r="C135" s="2855" t="s">
        <v>2786</v>
      </c>
      <c r="D135" s="2829" t="s">
        <v>2787</v>
      </c>
      <c r="E135" s="2855">
        <v>0.1</v>
      </c>
      <c r="F135" s="2855">
        <v>15</v>
      </c>
    </row>
    <row r="136" spans="1:6" ht="24">
      <c r="A136" s="2855">
        <v>64</v>
      </c>
      <c r="B136" s="3472"/>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30087</v>
      </c>
      <c r="C2" s="2" t="s">
        <v>106</v>
      </c>
      <c r="D2" s="191"/>
      <c r="E2" s="191"/>
      <c r="F2" s="191"/>
      <c r="G2" s="191"/>
    </row>
    <row r="3" spans="1:7" s="192" customFormat="1" ht="18" customHeight="1" thickBot="1">
      <c r="A3" s="195" t="s">
        <v>58</v>
      </c>
      <c r="B3" s="196">
        <f ca="1">ROUND(B2*10000/'数据-汇总表'!E3,0)</f>
        <v>153176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39</v>
      </c>
      <c r="D10" s="795">
        <f>'数据-汇总表'!E6</f>
        <v>1964.21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39</v>
      </c>
      <c r="D19" s="204">
        <f>'数据-汇总表'!E3</f>
        <v>1964.21</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2005</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3175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3175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28926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1249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1100</v>
      </c>
      <c r="D34" s="209"/>
      <c r="E34" s="212"/>
      <c r="F34" s="249">
        <f>IF('数据-取费表'!B24=0,1,'数据-取费表'!N16)</f>
        <v>1</v>
      </c>
      <c r="G34" s="211" t="s">
        <v>89</v>
      </c>
    </row>
    <row r="35" spans="1:7" ht="13.5" customHeight="1">
      <c r="A35" s="734" t="s">
        <v>351</v>
      </c>
      <c r="B35" s="207" t="s">
        <v>33</v>
      </c>
      <c r="C35" s="212">
        <f>ROUND(C34*F35,0)</f>
        <v>88</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39</v>
      </c>
      <c r="D37" s="209">
        <f>'数据-汇总表'!E3</f>
        <v>1964.21</v>
      </c>
      <c r="E37" s="241">
        <f>'数据-取费表'!B35</f>
        <v>200</v>
      </c>
      <c r="F37" s="251"/>
      <c r="G37" s="253" t="s">
        <v>92</v>
      </c>
    </row>
    <row r="38" spans="1:7" ht="13.5" customHeight="1">
      <c r="A38" s="734" t="s">
        <v>354</v>
      </c>
      <c r="B38" s="207" t="s">
        <v>36</v>
      </c>
      <c r="C38" s="212">
        <f>ROUND(C34*F38,0)</f>
        <v>22</v>
      </c>
      <c r="D38" s="212"/>
      <c r="E38" s="212"/>
      <c r="F38" s="251">
        <f>'数据-取费表'!B36</f>
        <v>0.02</v>
      </c>
      <c r="G38" s="211" t="s">
        <v>90</v>
      </c>
    </row>
    <row r="39" spans="1:7" s="206" customFormat="1" ht="13.5" customHeight="1">
      <c r="A39" s="731" t="s">
        <v>338</v>
      </c>
      <c r="B39" s="202" t="s">
        <v>77</v>
      </c>
      <c r="C39" s="224">
        <f>ROUND(C33*F20,0)</f>
        <v>31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60</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59</v>
      </c>
      <c r="D42" s="230"/>
      <c r="E42" s="230"/>
      <c r="F42" s="231"/>
      <c r="G42" s="3368" t="s">
        <v>94</v>
      </c>
    </row>
    <row r="43" spans="1:7" ht="13.5" customHeight="1">
      <c r="A43" s="734" t="s">
        <v>347</v>
      </c>
      <c r="B43" s="207" t="s">
        <v>426</v>
      </c>
      <c r="C43" s="230">
        <f ca="1">ROUND(IF('数据-取费表'!B22&lt;=1,C39*F22*'数据-取费表'!B21/2,C39*(POWER((1+F22),'数据-取费表'!B21/2)-1)),0)</f>
        <v>1</v>
      </c>
      <c r="D43" s="230"/>
      <c r="E43" s="230"/>
      <c r="F43" s="231"/>
      <c r="G43" s="3369"/>
    </row>
    <row r="44" spans="1:7" ht="13.5" customHeight="1">
      <c r="A44" s="734" t="s">
        <v>348</v>
      </c>
      <c r="B44" s="207" t="s">
        <v>428</v>
      </c>
      <c r="C44" s="230">
        <f ca="1">ROUND(IF('数据-取费表'!B22&lt;=1,C40*F22*'数据-取费表'!B21/2,C40*(POWER((1+F22),'数据-取费表'!B21/2)-1)),4)</f>
        <v>1.4E-3</v>
      </c>
      <c r="D44" s="230"/>
      <c r="E44" s="230"/>
      <c r="F44" s="231"/>
      <c r="G44" s="3370"/>
    </row>
    <row r="45" spans="1:7" s="206" customFormat="1" ht="13.5" customHeight="1">
      <c r="A45" s="731" t="s">
        <v>341</v>
      </c>
      <c r="B45" s="236" t="s">
        <v>85</v>
      </c>
      <c r="C45" s="237">
        <f>C46</f>
        <v>192</v>
      </c>
      <c r="D45" s="227">
        <f>C47</f>
        <v>4.4999999999999997E-3</v>
      </c>
      <c r="E45" s="228" t="s">
        <v>102</v>
      </c>
      <c r="F45" s="238"/>
      <c r="G45" s="239" t="s">
        <v>434</v>
      </c>
    </row>
    <row r="46" spans="1:7" s="206" customFormat="1" ht="13.5" customHeight="1">
      <c r="A46" s="734" t="s">
        <v>349</v>
      </c>
      <c r="B46" s="240" t="s">
        <v>427</v>
      </c>
      <c r="C46" s="241">
        <f>ROUND((C33+C39)*F27,0)</f>
        <v>192</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1682</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1161</v>
      </c>
      <c r="D51" s="224"/>
      <c r="E51" s="224"/>
      <c r="F51" s="256"/>
      <c r="G51" s="226" t="s">
        <v>37</v>
      </c>
    </row>
    <row r="52" spans="1:7" s="200" customFormat="1" ht="16.8" thickBot="1">
      <c r="A52" s="257" t="s">
        <v>38</v>
      </c>
      <c r="B52" s="258"/>
      <c r="C52" s="259">
        <f ca="1">C31+C51</f>
        <v>30087</v>
      </c>
      <c r="D52" s="258"/>
      <c r="E52" s="258"/>
      <c r="F52" s="258"/>
      <c r="G52" s="260"/>
    </row>
    <row r="55" spans="1:7" ht="15">
      <c r="B55" s="262" t="s">
        <v>39</v>
      </c>
      <c r="C55" s="263"/>
    </row>
    <row r="56" spans="1:7">
      <c r="B56" s="265" t="s">
        <v>40</v>
      </c>
      <c r="C56" s="266">
        <f ca="1">ROUND(C51/C52,3)</f>
        <v>3.9E-2</v>
      </c>
    </row>
    <row r="57" spans="1:7">
      <c r="B57" s="265" t="s">
        <v>41</v>
      </c>
      <c r="C57" s="267">
        <f ca="1">1-C56</f>
        <v>0.96099999999999997</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3348</v>
      </c>
    </row>
    <row r="6" spans="1:5" ht="15.6">
      <c r="B6" s="3167"/>
      <c r="C6" s="1392" t="s">
        <v>911</v>
      </c>
      <c r="D6" s="797" t="str">
        <f ca="1">NUMBERSTRING(INT(D5*10000),2)&amp;"元整"</f>
        <v>叁仟叁佰肆拾捌万元整</v>
      </c>
    </row>
    <row r="7" spans="1:5" ht="15.6">
      <c r="B7" s="3172"/>
      <c r="C7" s="1393" t="s">
        <v>912</v>
      </c>
      <c r="D7" s="798">
        <f ca="1">结果表!H102</f>
        <v>17044</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3348</v>
      </c>
    </row>
    <row r="14" spans="1:5" ht="15.6">
      <c r="B14" s="3167"/>
      <c r="C14" s="1392" t="s">
        <v>911</v>
      </c>
      <c r="D14" s="797" t="str">
        <f ca="1">NUMBERSTRING(INT(D13*10000),2)&amp;"元整"</f>
        <v>叁仟叁佰肆拾捌万元整</v>
      </c>
    </row>
    <row r="15" spans="1:5" ht="15.6">
      <c r="B15" s="3172"/>
      <c r="C15" s="1393" t="s">
        <v>921</v>
      </c>
      <c r="D15" s="806">
        <f ca="1">结果表!H108</f>
        <v>17044</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4.抵押净值</v>
      </c>
      <c r="C19" s="1397" t="s">
        <v>910</v>
      </c>
      <c r="D19" s="798">
        <f ca="1">结果表!H111</f>
        <v>3144</v>
      </c>
    </row>
    <row r="20" spans="1:5" ht="15.6">
      <c r="B20" s="3167"/>
      <c r="C20" s="1392" t="s">
        <v>923</v>
      </c>
      <c r="D20" s="797" t="str">
        <f ca="1">NUMBERSTRING(INT(D19*10000),2)&amp;"元整"</f>
        <v>叁仟壹佰肆拾肆万元整</v>
      </c>
    </row>
    <row r="21" spans="1:5" ht="16.2" thickBot="1">
      <c r="B21" s="3168"/>
      <c r="C21" s="1399" t="s">
        <v>921</v>
      </c>
      <c r="D21" s="807">
        <f ca="1">结果表!H112</f>
        <v>16006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4" t="s">
        <v>3177</v>
      </c>
      <c r="B1" s="3484"/>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5" t="s">
        <v>3228</v>
      </c>
      <c r="B1" s="3485"/>
      <c r="C1" s="3485"/>
      <c r="D1" s="3485"/>
      <c r="E1" s="3485"/>
      <c r="F1" s="3486"/>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45765</v>
      </c>
      <c r="B1" s="2927" t="s">
        <v>3373</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3400</v>
      </c>
      <c r="AG2" t="s">
        <v>673</v>
      </c>
      <c r="AH2" t="s">
        <v>21</v>
      </c>
      <c r="AI2" t="s">
        <v>3401</v>
      </c>
      <c r="AJ2" t="s">
        <v>3</v>
      </c>
      <c r="AK2" t="s">
        <v>3402</v>
      </c>
      <c r="AM2" t="s">
        <v>3400</v>
      </c>
      <c r="AN2" t="s">
        <v>673</v>
      </c>
      <c r="AO2" t="s">
        <v>21</v>
      </c>
      <c r="AP2" t="s">
        <v>3401</v>
      </c>
      <c r="AQ2" t="s">
        <v>3</v>
      </c>
      <c r="AR2" t="s">
        <v>3402</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3376</v>
      </c>
    </row>
    <row r="27" spans="1:44">
      <c r="I27" s="1405" t="s">
        <v>2821</v>
      </c>
    </row>
    <row r="29" spans="1:44" s="2009" customFormat="1" ht="13.2">
      <c r="B29" s="2927" t="s">
        <v>3374</v>
      </c>
      <c r="C29" s="2928"/>
      <c r="D29" s="2928"/>
      <c r="E29" s="2928"/>
      <c r="F29" s="2928"/>
      <c r="G29" s="2928"/>
      <c r="H29" s="2928"/>
      <c r="I29" s="2928"/>
      <c r="J29" s="2894"/>
      <c r="K29" s="2928" t="s">
        <v>2822</v>
      </c>
      <c r="L29" s="2928"/>
      <c r="M29" s="2928"/>
      <c r="N29" s="2928"/>
      <c r="O29" s="2928"/>
      <c r="P29" s="2928"/>
      <c r="Q29" s="2894"/>
      <c r="R29" s="3487" t="s">
        <v>2823</v>
      </c>
      <c r="S29" s="3488"/>
      <c r="T29" s="3488"/>
      <c r="U29" s="3488"/>
      <c r="V29" s="3488"/>
      <c r="W29" s="3488"/>
      <c r="X29" s="2894"/>
      <c r="Y29" s="3487" t="s">
        <v>2824</v>
      </c>
      <c r="Z29" s="3488"/>
      <c r="AA29" s="3488"/>
      <c r="AB29" s="3488"/>
      <c r="AC29" s="3488"/>
      <c r="AD29" s="3488"/>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3401</v>
      </c>
      <c r="AJ30"/>
      <c r="AK30" t="s">
        <v>3402</v>
      </c>
      <c r="AN30" t="s">
        <v>673</v>
      </c>
      <c r="AO30" t="s">
        <v>21</v>
      </c>
      <c r="AP30" t="s">
        <v>3401</v>
      </c>
      <c r="AQ30"/>
      <c r="AR30" t="s">
        <v>3402</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0" t="s">
        <v>2835</v>
      </c>
      <c r="B1" s="3500"/>
      <c r="C1" s="3500"/>
      <c r="D1" s="3500"/>
      <c r="E1" s="3500"/>
      <c r="F1" s="3500"/>
      <c r="G1" s="3501"/>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98"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99"/>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30">
      <c r="A4" s="1403" t="str">
        <f>项目基本情况!S2</f>
        <v>北京市北京市朝阳区朝阳门外大街18号房地产</v>
      </c>
      <c r="B4" s="801">
        <f>项目基本情况!C17</f>
        <v>1964.21</v>
      </c>
      <c r="C4" s="801">
        <f>项目基本情况!C18</f>
        <v>225.09</v>
      </c>
      <c r="D4" s="801" t="e">
        <f ca="1">结果表!D118</f>
        <v>#REF!</v>
      </c>
      <c r="E4" s="801" t="e">
        <f ca="1">结果表!E118</f>
        <v>#REF!</v>
      </c>
      <c r="F4" s="801" t="e">
        <f ca="1">结果表!F118</f>
        <v>#REF!</v>
      </c>
      <c r="G4" s="801" t="e">
        <f ca="1">结果表!G118</f>
        <v>#REF!</v>
      </c>
      <c r="H4" s="801">
        <f ca="1">结果表!H118</f>
        <v>3348</v>
      </c>
      <c r="I4" s="801">
        <f ca="1">结果表!I118</f>
        <v>17044</v>
      </c>
    </row>
    <row r="5" spans="1:9" ht="30" customHeight="1">
      <c r="A5" s="3179" t="s">
        <v>927</v>
      </c>
      <c r="B5" s="3179"/>
      <c r="C5" s="3179"/>
      <c r="D5" s="3179" t="e">
        <f ca="1">结果表!D119</f>
        <v>#REF!</v>
      </c>
      <c r="E5" s="3179"/>
      <c r="F5" s="3179" t="e">
        <f ca="1">结果表!F119</f>
        <v>#REF!</v>
      </c>
      <c r="G5" s="3179"/>
      <c r="H5" s="3179" t="str">
        <f ca="1">结果表!H119</f>
        <v>叁仟叁佰肆拾捌万元整</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f ca="1">结果表!D122</f>
        <v>3348</v>
      </c>
      <c r="E8" s="3178"/>
      <c r="F8" s="3178"/>
      <c r="G8" s="3178"/>
      <c r="H8" s="3178"/>
      <c r="I8" s="3178"/>
    </row>
    <row r="9" spans="1:9" ht="15">
      <c r="A9" s="3179" t="s">
        <v>927</v>
      </c>
      <c r="B9" s="3179"/>
      <c r="C9" s="3179"/>
      <c r="D9" s="3179" t="str">
        <f ca="1">结果表!D123</f>
        <v>叁仟叁佰肆拾捌万元整</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抵押净值</v>
      </c>
      <c r="B12" s="3178"/>
      <c r="C12" s="3178"/>
      <c r="D12" s="3178">
        <f ca="1">结果表!D126</f>
        <v>3144</v>
      </c>
      <c r="E12" s="3178"/>
      <c r="F12" s="3178"/>
      <c r="G12" s="3178"/>
      <c r="H12" s="3178"/>
      <c r="I12" s="3178"/>
    </row>
    <row r="13" spans="1:9" ht="15.6" thickBot="1">
      <c r="A13" s="3176" t="s">
        <v>927</v>
      </c>
      <c r="B13" s="3176"/>
      <c r="C13" s="3176"/>
      <c r="D13" s="3176" t="str">
        <f ca="1">结果表!D127</f>
        <v>叁仟壹佰肆拾肆万元整</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45770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2025-04-23T03:02:23Z</dcterms:modified>
</cp:coreProperties>
</file>