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收益法（汇总）" sheetId="70" r:id="rId20"/>
    <sheet name="基准地价（汇总）" sheetId="76" r:id="rId21"/>
    <sheet name="成本法 (元)" sheetId="69" state="hidden" r:id="rId22"/>
    <sheet name="假设开发法-办公" sheetId="12" state="hidden" r:id="rId23"/>
    <sheet name="假设开发法-商业" sheetId="81" state="hidden" r:id="rId24"/>
    <sheet name="假设开发法-仓储" sheetId="82" state="hidden" r:id="rId25"/>
    <sheet name="收益法-办公" sheetId="15" r:id="rId26"/>
    <sheet name="收益法 (元)" sheetId="67"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收益法-商业" sheetId="79" r:id="rId37"/>
    <sheet name="收益法-仓储" sheetId="80" r:id="rId38"/>
    <sheet name="基准地价修正-办公" sheetId="43" r:id="rId39"/>
    <sheet name="基准地价修正-商业" sheetId="83" r:id="rId40"/>
    <sheet name="修正" sheetId="45" state="hidden" r:id="rId41"/>
    <sheet name="容积率修正" sheetId="4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商业租金" sheetId="77" r:id="rId50"/>
    <sheet name="Sheet2" sheetId="78" state="hidden" r:id="rId51"/>
    <sheet name="办公租金案例" sheetId="85" r:id="rId52"/>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5">'收益法-办公'!$A$1:$AK$69</definedName>
    <definedName name="_xlnm.Print_Area" localSheetId="37">'收益法-仓储'!$A$1:$AK$69</definedName>
    <definedName name="_xlnm.Print_Area" localSheetId="36">'收益法-商业'!$A$1:$AK$69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9">'基准地价修正-商业'!$Q$19:$AD$19</definedName>
    <definedName name="季度">'基准地价修正-办公'!$Q$19:$AD$19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AL13" i="3"/>
  <c r="D29" i="83"/>
  <c r="F113" i="83"/>
  <c r="N99" i="83"/>
  <c r="N108" i="83" s="1"/>
  <c r="M99" i="83"/>
  <c r="M108" i="83" s="1"/>
  <c r="L99" i="83"/>
  <c r="L108" i="83" s="1"/>
  <c r="K99" i="83"/>
  <c r="K108" i="83" s="1"/>
  <c r="J99" i="83"/>
  <c r="J108" i="83" s="1"/>
  <c r="I99" i="83"/>
  <c r="I108" i="83" s="1"/>
  <c r="H99" i="83"/>
  <c r="H108" i="83" s="1"/>
  <c r="G99" i="83"/>
  <c r="G108" i="83" s="1"/>
  <c r="F99" i="83"/>
  <c r="F108" i="83" s="1"/>
  <c r="E99" i="83"/>
  <c r="E108" i="83" s="1"/>
  <c r="D99" i="83"/>
  <c r="D108" i="83" s="1"/>
  <c r="C99" i="83"/>
  <c r="C108" i="83" s="1"/>
  <c r="M88" i="83"/>
  <c r="N88" i="83" s="1"/>
  <c r="K88" i="83"/>
  <c r="J88" i="83" s="1"/>
  <c r="D88" i="83"/>
  <c r="N87" i="83"/>
  <c r="M87" i="83"/>
  <c r="K87" i="83"/>
  <c r="J87" i="83" s="1"/>
  <c r="D87" i="83"/>
  <c r="N86" i="83"/>
  <c r="M86" i="83"/>
  <c r="K86" i="83"/>
  <c r="J86" i="83" s="1"/>
  <c r="D86" i="83"/>
  <c r="M85" i="83"/>
  <c r="N85" i="83" s="1"/>
  <c r="K85" i="83"/>
  <c r="J85" i="83" s="1"/>
  <c r="D85" i="83"/>
  <c r="N84" i="83"/>
  <c r="M84" i="83"/>
  <c r="K84" i="83"/>
  <c r="J84" i="83" s="1"/>
  <c r="D84" i="83"/>
  <c r="B84" i="83"/>
  <c r="M83" i="83"/>
  <c r="N83" i="83" s="1"/>
  <c r="K83" i="83"/>
  <c r="J83" i="83" s="1"/>
  <c r="D83" i="83"/>
  <c r="B83" i="83"/>
  <c r="N82" i="83"/>
  <c r="M82" i="83"/>
  <c r="K82" i="83"/>
  <c r="J82" i="83" s="1"/>
  <c r="D82" i="83"/>
  <c r="M81" i="83"/>
  <c r="N81" i="83" s="1"/>
  <c r="K81" i="83"/>
  <c r="J81" i="83" s="1"/>
  <c r="F81" i="83"/>
  <c r="H87" i="83" s="1"/>
  <c r="D81" i="83"/>
  <c r="M78" i="83"/>
  <c r="N78" i="83" s="1"/>
  <c r="K78" i="83"/>
  <c r="J78" i="83" s="1"/>
  <c r="D78" i="83"/>
  <c r="M77" i="83"/>
  <c r="N77" i="83" s="1"/>
  <c r="K77" i="83"/>
  <c r="J77" i="83" s="1"/>
  <c r="D77" i="83"/>
  <c r="M76" i="83"/>
  <c r="N76" i="83" s="1"/>
  <c r="K76" i="83"/>
  <c r="J76" i="83"/>
  <c r="D76" i="83"/>
  <c r="M75" i="83"/>
  <c r="N75" i="83" s="1"/>
  <c r="K75" i="83"/>
  <c r="J75" i="83" s="1"/>
  <c r="D75" i="83"/>
  <c r="N74" i="83"/>
  <c r="M74" i="83"/>
  <c r="K74" i="83"/>
  <c r="J74" i="83" s="1"/>
  <c r="D74" i="83"/>
  <c r="M73" i="83"/>
  <c r="N73" i="83" s="1"/>
  <c r="K73" i="83"/>
  <c r="J73" i="83" s="1"/>
  <c r="D73" i="83"/>
  <c r="M72" i="83"/>
  <c r="N72" i="83" s="1"/>
  <c r="K72" i="83"/>
  <c r="J72" i="83" s="1"/>
  <c r="D72" i="83"/>
  <c r="B72" i="83"/>
  <c r="M71" i="83"/>
  <c r="N71" i="83" s="1"/>
  <c r="K71" i="83"/>
  <c r="J71" i="83" s="1"/>
  <c r="D71" i="83"/>
  <c r="N70" i="83"/>
  <c r="M70" i="83"/>
  <c r="K70" i="83"/>
  <c r="J70" i="83" s="1"/>
  <c r="F70" i="83"/>
  <c r="H76" i="83" s="1"/>
  <c r="D70" i="83"/>
  <c r="N67" i="83"/>
  <c r="M67" i="83"/>
  <c r="K67" i="83"/>
  <c r="J67" i="83" s="1"/>
  <c r="D67" i="83"/>
  <c r="M66" i="83"/>
  <c r="N66" i="83" s="1"/>
  <c r="K66" i="83"/>
  <c r="J66" i="83" s="1"/>
  <c r="D66" i="83"/>
  <c r="M65" i="83"/>
  <c r="N65" i="83" s="1"/>
  <c r="K65" i="83"/>
  <c r="J65" i="83" s="1"/>
  <c r="D65" i="83"/>
  <c r="M64" i="83"/>
  <c r="N64" i="83" s="1"/>
  <c r="K64" i="83"/>
  <c r="J64" i="83" s="1"/>
  <c r="D64" i="83"/>
  <c r="M63" i="83"/>
  <c r="N63" i="83" s="1"/>
  <c r="K63" i="83"/>
  <c r="J63" i="83" s="1"/>
  <c r="D63" i="83"/>
  <c r="M62" i="83"/>
  <c r="N62" i="83" s="1"/>
  <c r="K62" i="83"/>
  <c r="J62" i="83" s="1"/>
  <c r="D62" i="83"/>
  <c r="M61" i="83"/>
  <c r="N61" i="83" s="1"/>
  <c r="K61" i="83"/>
  <c r="J61" i="83" s="1"/>
  <c r="D61" i="83"/>
  <c r="B61" i="83"/>
  <c r="M60" i="83"/>
  <c r="N60" i="83" s="1"/>
  <c r="K60" i="83"/>
  <c r="J60" i="83" s="1"/>
  <c r="D60" i="83"/>
  <c r="E59" i="83" s="1"/>
  <c r="B57" i="83" s="1"/>
  <c r="N59" i="83"/>
  <c r="M59" i="83"/>
  <c r="K59" i="83"/>
  <c r="J59" i="83" s="1"/>
  <c r="D59" i="83"/>
  <c r="M56" i="83"/>
  <c r="N56" i="83" s="1"/>
  <c r="K56" i="83"/>
  <c r="J56" i="83" s="1"/>
  <c r="M55" i="83"/>
  <c r="N55" i="83" s="1"/>
  <c r="K55" i="83"/>
  <c r="J55" i="83" s="1"/>
  <c r="D55" i="83"/>
  <c r="M54" i="83"/>
  <c r="N54" i="83" s="1"/>
  <c r="K54" i="83"/>
  <c r="J54" i="83" s="1"/>
  <c r="M53" i="83"/>
  <c r="N53" i="83" s="1"/>
  <c r="K53" i="83"/>
  <c r="J53" i="83" s="1"/>
  <c r="D53" i="83"/>
  <c r="M52" i="83"/>
  <c r="N52" i="83" s="1"/>
  <c r="K52" i="83"/>
  <c r="J52" i="83" s="1"/>
  <c r="D52" i="83"/>
  <c r="M51" i="83"/>
  <c r="N51" i="83" s="1"/>
  <c r="K51" i="83"/>
  <c r="J51" i="83" s="1"/>
  <c r="D51" i="83"/>
  <c r="M50" i="83"/>
  <c r="N50" i="83" s="1"/>
  <c r="K50" i="83"/>
  <c r="J50" i="83" s="1"/>
  <c r="D50" i="83"/>
  <c r="B50" i="83"/>
  <c r="M49" i="83"/>
  <c r="N49" i="83" s="1"/>
  <c r="K49" i="83"/>
  <c r="J49" i="83" s="1"/>
  <c r="D49" i="83"/>
  <c r="M48" i="83"/>
  <c r="N48" i="83" s="1"/>
  <c r="K48" i="83"/>
  <c r="J48" i="83" s="1"/>
  <c r="D48" i="83"/>
  <c r="B48" i="83"/>
  <c r="H39" i="83"/>
  <c r="H38" i="83"/>
  <c r="H37" i="83"/>
  <c r="H36" i="83"/>
  <c r="H35" i="83"/>
  <c r="H34" i="83"/>
  <c r="H33" i="83"/>
  <c r="J20" i="83"/>
  <c r="I19" i="83"/>
  <c r="C18" i="83"/>
  <c r="F15" i="83"/>
  <c r="E15" i="83"/>
  <c r="D15" i="83"/>
  <c r="C15" i="83"/>
  <c r="C12" i="83" s="1"/>
  <c r="Y12" i="83"/>
  <c r="Y10" i="83"/>
  <c r="C10" i="83"/>
  <c r="C11" i="83" s="1"/>
  <c r="AJ9" i="83"/>
  <c r="AJ12" i="83" s="1"/>
  <c r="AI9" i="83"/>
  <c r="AI10" i="83" s="1"/>
  <c r="AH9" i="83"/>
  <c r="AH12" i="83" s="1"/>
  <c r="AG9" i="83"/>
  <c r="AG10" i="83" s="1"/>
  <c r="AF9" i="83"/>
  <c r="AF12" i="83" s="1"/>
  <c r="AE9" i="83"/>
  <c r="AE10" i="83" s="1"/>
  <c r="AD9" i="83"/>
  <c r="AD12" i="83" s="1"/>
  <c r="AC9" i="83"/>
  <c r="AC10" i="83" s="1"/>
  <c r="AB9" i="83"/>
  <c r="AB12" i="83" s="1"/>
  <c r="AA9" i="83"/>
  <c r="AA10" i="83" s="1"/>
  <c r="Z9" i="83"/>
  <c r="Z12" i="83" s="1"/>
  <c r="C9" i="83"/>
  <c r="A7" i="83"/>
  <c r="I2" i="83"/>
  <c r="N12" i="83" s="1"/>
  <c r="G2" i="83"/>
  <c r="F59" i="83" s="1"/>
  <c r="N1" i="83"/>
  <c r="D1" i="83"/>
  <c r="AA12" i="83" l="1"/>
  <c r="AE12" i="83"/>
  <c r="AI12" i="83"/>
  <c r="D54" i="83"/>
  <c r="D56" i="83"/>
  <c r="E81" i="83"/>
  <c r="B79" i="83" s="1"/>
  <c r="AC12" i="83"/>
  <c r="AG12" i="83"/>
  <c r="E48" i="83"/>
  <c r="B46" i="83" s="1"/>
  <c r="C24" i="83" s="1"/>
  <c r="E70" i="83"/>
  <c r="B68" i="83" s="1"/>
  <c r="M4" i="83"/>
  <c r="M7" i="83"/>
  <c r="N11" i="83"/>
  <c r="M1" i="83"/>
  <c r="M2" i="83"/>
  <c r="N3" i="83"/>
  <c r="N5" i="83"/>
  <c r="M8" i="83"/>
  <c r="M9" i="83"/>
  <c r="M12" i="83"/>
  <c r="H70" i="83"/>
  <c r="H74" i="83"/>
  <c r="H78" i="83"/>
  <c r="H81" i="83"/>
  <c r="N6" i="83"/>
  <c r="N10" i="83"/>
  <c r="F48" i="83"/>
  <c r="H72" i="83"/>
  <c r="H77" i="83"/>
  <c r="H66" i="83"/>
  <c r="H64" i="83"/>
  <c r="H63" i="83"/>
  <c r="H60" i="83"/>
  <c r="H67" i="83"/>
  <c r="H59" i="83"/>
  <c r="H65" i="83"/>
  <c r="H62" i="83"/>
  <c r="H61" i="83"/>
  <c r="E9" i="83"/>
  <c r="E8" i="83"/>
  <c r="E11" i="83"/>
  <c r="E10" i="83"/>
  <c r="Z10" i="83"/>
  <c r="AB10" i="83"/>
  <c r="AD10" i="83"/>
  <c r="AF10" i="83"/>
  <c r="AH10" i="83"/>
  <c r="AJ10" i="83"/>
  <c r="E17" i="83"/>
  <c r="H17" i="83"/>
  <c r="J17" i="83"/>
  <c r="F33" i="83"/>
  <c r="F34" i="83"/>
  <c r="F35" i="83"/>
  <c r="F36" i="83"/>
  <c r="F37" i="83"/>
  <c r="F38" i="83"/>
  <c r="F39" i="83"/>
  <c r="H83" i="83"/>
  <c r="H85" i="83"/>
  <c r="H88" i="83"/>
  <c r="D100" i="83"/>
  <c r="F100" i="83"/>
  <c r="H100" i="83"/>
  <c r="J100" i="83"/>
  <c r="L100" i="83"/>
  <c r="N100" i="83"/>
  <c r="H113" i="83"/>
  <c r="N2" i="83"/>
  <c r="M3" i="83"/>
  <c r="N4" i="83"/>
  <c r="M5" i="83"/>
  <c r="M6" i="83"/>
  <c r="C6" i="83" s="1"/>
  <c r="N7" i="83"/>
  <c r="X7" i="83"/>
  <c r="N8" i="83"/>
  <c r="N9" i="83"/>
  <c r="M10" i="83"/>
  <c r="M11" i="83"/>
  <c r="C17" i="83"/>
  <c r="G17" i="83"/>
  <c r="I17" i="83"/>
  <c r="H49" i="83"/>
  <c r="H52" i="83"/>
  <c r="H53" i="83"/>
  <c r="H71" i="83"/>
  <c r="H73" i="83"/>
  <c r="H75" i="83"/>
  <c r="H82" i="83"/>
  <c r="H84" i="83"/>
  <c r="H86" i="83"/>
  <c r="C100" i="83"/>
  <c r="E100" i="83"/>
  <c r="G100" i="83"/>
  <c r="I100" i="83"/>
  <c r="K100" i="83"/>
  <c r="M100" i="83"/>
  <c r="F24" i="82"/>
  <c r="F23" i="82"/>
  <c r="F22" i="82"/>
  <c r="E20" i="82"/>
  <c r="H55" i="83" l="1"/>
  <c r="H54" i="83"/>
  <c r="H50" i="83"/>
  <c r="H56" i="83"/>
  <c r="H51" i="83"/>
  <c r="H48" i="83"/>
  <c r="C16" i="83"/>
  <c r="D5" i="83" s="1"/>
  <c r="C7" i="83"/>
  <c r="E19" i="82"/>
  <c r="E17" i="82"/>
  <c r="F15" i="82"/>
  <c r="E14" i="82"/>
  <c r="C5" i="83" l="1"/>
  <c r="F13" i="82"/>
  <c r="F12" i="82"/>
  <c r="K7" i="82" l="1"/>
  <c r="J7" i="82"/>
  <c r="I7" i="82"/>
  <c r="H7" i="82"/>
  <c r="G7" i="82"/>
  <c r="F7" i="82"/>
  <c r="E7" i="82"/>
  <c r="D7" i="82"/>
  <c r="F24" i="81" l="1"/>
  <c r="F23" i="81"/>
  <c r="F22" i="81"/>
  <c r="E20" i="81"/>
  <c r="E19" i="81" l="1"/>
  <c r="E17" i="81" l="1"/>
  <c r="F15" i="81"/>
  <c r="E14" i="81"/>
  <c r="F13" i="81" l="1"/>
  <c r="F12" i="81"/>
  <c r="K7" i="81" l="1"/>
  <c r="J7" i="81"/>
  <c r="I7" i="81"/>
  <c r="H7" i="81"/>
  <c r="G7" i="81"/>
  <c r="F7" i="81"/>
  <c r="Q72" i="80" l="1"/>
  <c r="Q59" i="80"/>
  <c r="K59" i="80"/>
  <c r="P61" i="80" s="1"/>
  <c r="F59" i="80"/>
  <c r="P74" i="80" l="1"/>
  <c r="Q58" i="80"/>
  <c r="Q51" i="80"/>
  <c r="J50" i="80"/>
  <c r="J51" i="80" l="1"/>
  <c r="M47" i="80"/>
  <c r="D46" i="80" l="1"/>
  <c r="F33" i="80"/>
  <c r="F61" i="80" s="1"/>
  <c r="F31" i="80"/>
  <c r="F23" i="80"/>
  <c r="D24" i="80" s="1"/>
  <c r="D23" i="80" l="1"/>
  <c r="D22" i="80"/>
  <c r="F21" i="80"/>
  <c r="F20" i="80"/>
  <c r="M19" i="80"/>
  <c r="F18" i="80"/>
  <c r="M17" i="80"/>
  <c r="F17" i="80" l="1"/>
  <c r="F15" i="80"/>
  <c r="Q72" i="79"/>
  <c r="Q59" i="79"/>
  <c r="K59" i="79"/>
  <c r="P61" i="79" s="1"/>
  <c r="F59" i="79"/>
  <c r="P74" i="79" l="1"/>
  <c r="Q58" i="79"/>
  <c r="Q51" i="79"/>
  <c r="J50" i="79"/>
  <c r="J51" i="79" l="1"/>
  <c r="M47" i="79"/>
  <c r="D46" i="79" l="1"/>
  <c r="F33" i="79"/>
  <c r="F61" i="79" s="1"/>
  <c r="F31" i="79"/>
  <c r="F23" i="79"/>
  <c r="D24" i="79" s="1"/>
  <c r="D23" i="79" l="1"/>
  <c r="D22" i="79"/>
  <c r="F21" i="79"/>
  <c r="F20" i="79"/>
  <c r="M19" i="79"/>
  <c r="F18" i="79"/>
  <c r="M17" i="79"/>
  <c r="F17" i="79" l="1"/>
  <c r="F15" i="79"/>
  <c r="D29" i="43"/>
  <c r="G21" i="6"/>
  <c r="F20" i="6"/>
  <c r="F19" i="6"/>
  <c r="AD5" i="71" l="1"/>
  <c r="AH5" i="71"/>
  <c r="AG5" i="71"/>
  <c r="AE5" i="71"/>
  <c r="AF5" i="71" s="1"/>
  <c r="Q5" i="71"/>
  <c r="P5" i="71"/>
  <c r="O5" i="71"/>
  <c r="N5" i="71"/>
  <c r="L3" i="71" l="1"/>
  <c r="AH3" i="71" s="1"/>
  <c r="K3" i="71"/>
  <c r="J3" i="71"/>
  <c r="AE3" i="71" s="1"/>
  <c r="I3" i="71"/>
  <c r="AH6" i="71"/>
  <c r="AG6" i="71"/>
  <c r="AE6" i="71"/>
  <c r="AF6" i="71" s="1"/>
  <c r="AD6" i="71"/>
  <c r="Q6" i="71"/>
  <c r="Q7" i="71"/>
  <c r="P6" i="71"/>
  <c r="P7" i="71"/>
  <c r="O6" i="71"/>
  <c r="O7" i="71"/>
  <c r="Y6" i="71" s="1"/>
  <c r="Z6" i="71" s="1"/>
  <c r="N6" i="71"/>
  <c r="N7" i="71"/>
  <c r="N8" i="71"/>
  <c r="X6" i="71" s="1"/>
  <c r="AH7" i="71"/>
  <c r="AG7" i="71"/>
  <c r="AE7" i="71"/>
  <c r="AF7" i="71" s="1"/>
  <c r="AD7" i="71"/>
  <c r="Q8" i="71"/>
  <c r="P8" i="71"/>
  <c r="AA6" i="71" s="1"/>
  <c r="O8" i="71"/>
  <c r="F8" i="71"/>
  <c r="F7" i="71" s="1"/>
  <c r="D10" i="71"/>
  <c r="AH8" i="71"/>
  <c r="AG8" i="71"/>
  <c r="AE8" i="71"/>
  <c r="AF8" i="71"/>
  <c r="AD8" i="71"/>
  <c r="AD9" i="71"/>
  <c r="AG9" i="71"/>
  <c r="AH9" i="71"/>
  <c r="AE9" i="71"/>
  <c r="AF9" i="71"/>
  <c r="N9" i="71"/>
  <c r="Q9" i="71"/>
  <c r="P9" i="71"/>
  <c r="O9" i="71"/>
  <c r="C9" i="71"/>
  <c r="C8" i="71" s="1"/>
  <c r="Q10" i="71"/>
  <c r="F9" i="71"/>
  <c r="P10" i="71"/>
  <c r="AA7" i="71" s="1"/>
  <c r="E9" i="71"/>
  <c r="E8" i="71" s="1"/>
  <c r="E7" i="71" s="1"/>
  <c r="O10" i="71"/>
  <c r="Y7" i="71" s="1"/>
  <c r="Z7" i="71" s="1"/>
  <c r="N10" i="71"/>
  <c r="B9" i="71"/>
  <c r="B8" i="71" s="1"/>
  <c r="B7" i="71" s="1"/>
  <c r="B6" i="71" s="1"/>
  <c r="B5" i="71" s="1"/>
  <c r="V9"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B60" i="72" s="1"/>
  <c r="A13" i="62"/>
  <c r="A19" i="62"/>
  <c r="A12" i="62"/>
  <c r="B58" i="72" s="1"/>
  <c r="A120" i="9"/>
  <c r="H2" i="52"/>
  <c r="A1" i="52"/>
  <c r="A3" i="53"/>
  <c r="Q11" i="71"/>
  <c r="P11" i="71"/>
  <c r="O11" i="71"/>
  <c r="Y9" i="71" s="1"/>
  <c r="Z9" i="71" s="1"/>
  <c r="N11" i="71"/>
  <c r="X8" i="71" s="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X9" i="71" s="1"/>
  <c r="AG3"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H24" i="71"/>
  <c r="AG24" i="71"/>
  <c r="AE24" i="71"/>
  <c r="AF24" i="71" s="1"/>
  <c r="AD24" i="71"/>
  <c r="AD25" i="71"/>
  <c r="AE25" i="71"/>
  <c r="AF25" i="71" s="1"/>
  <c r="AG25" i="71"/>
  <c r="AH25" i="71"/>
  <c r="S2" i="31"/>
  <c r="M2" i="31"/>
  <c r="N2" i="31"/>
  <c r="O2" i="31"/>
  <c r="P2" i="31"/>
  <c r="Q2" i="31"/>
  <c r="R2" i="31"/>
  <c r="C1" i="73"/>
  <c r="L1" i="73"/>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I10" i="43"/>
  <c r="AB10" i="43"/>
  <c r="AF10" i="43"/>
  <c r="AJ10" i="43"/>
  <c r="K49" i="9"/>
  <c r="E107" i="9"/>
  <c r="A122" i="9"/>
  <c r="A8" i="52" s="1"/>
  <c r="B54" i="72" s="1"/>
  <c r="E111" i="9"/>
  <c r="A126" i="9"/>
  <c r="E109" i="9"/>
  <c r="A124" i="9"/>
  <c r="B44" i="72"/>
  <c r="B42" i="72"/>
  <c r="B69" i="72"/>
  <c r="B68" i="72"/>
  <c r="B63" i="72"/>
  <c r="B62" i="72"/>
  <c r="B16" i="72"/>
  <c r="B65" i="72"/>
  <c r="B59" i="72"/>
  <c r="B67" i="72"/>
  <c r="B66" i="72"/>
  <c r="B12" i="72"/>
  <c r="B10" i="72"/>
  <c r="C53" i="10"/>
  <c r="B51" i="10"/>
  <c r="B19" i="72"/>
  <c r="A18" i="51"/>
  <c r="B13" i="72" s="1"/>
  <c r="B49" i="48"/>
  <c r="B5" i="72"/>
  <c r="I19" i="43"/>
  <c r="D74" i="71"/>
  <c r="F73" i="71"/>
  <c r="E73" i="71"/>
  <c r="E72" i="71" s="1"/>
  <c r="E71" i="71" s="1"/>
  <c r="C73" i="71"/>
  <c r="D73" i="71"/>
  <c r="B73" i="71"/>
  <c r="F72" i="71"/>
  <c r="F71" i="71" s="1"/>
  <c r="B72" i="71"/>
  <c r="B71" i="71" s="1"/>
  <c r="D70" i="71"/>
  <c r="F69" i="71"/>
  <c r="E69" i="71"/>
  <c r="E68" i="71" s="1"/>
  <c r="E67" i="71" s="1"/>
  <c r="C69" i="71"/>
  <c r="D69" i="71"/>
  <c r="B69" i="71"/>
  <c r="F68" i="71"/>
  <c r="F67" i="71" s="1"/>
  <c r="B68" i="71"/>
  <c r="B67" i="71" s="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s="1"/>
  <c r="E53" i="71"/>
  <c r="P53" i="71" s="1"/>
  <c r="C53" i="71"/>
  <c r="B53" i="71"/>
  <c r="S53" i="71"/>
  <c r="B52" i="71"/>
  <c r="D50" i="71"/>
  <c r="Q49" i="71"/>
  <c r="P49" i="71"/>
  <c r="O49" i="71"/>
  <c r="N49" i="71"/>
  <c r="Q48" i="71"/>
  <c r="P48" i="71"/>
  <c r="O48" i="71"/>
  <c r="N48" i="71"/>
  <c r="Q47" i="71"/>
  <c r="P47" i="71"/>
  <c r="O47" i="71"/>
  <c r="N47" i="71"/>
  <c r="Q46" i="71"/>
  <c r="F47" i="71" s="1"/>
  <c r="F48" i="71" s="1"/>
  <c r="F49" i="71" s="1"/>
  <c r="V49" i="71" s="1"/>
  <c r="P46" i="71"/>
  <c r="E47" i="71"/>
  <c r="O46" i="71"/>
  <c r="C47" i="71"/>
  <c r="N46" i="71"/>
  <c r="B47" i="71"/>
  <c r="B48" i="71" s="1"/>
  <c r="B49" i="71" s="1"/>
  <c r="S49" i="71" s="1"/>
  <c r="D46" i="71"/>
  <c r="Q45" i="71"/>
  <c r="P45" i="71"/>
  <c r="O45" i="71"/>
  <c r="N45" i="71"/>
  <c r="Q44" i="71"/>
  <c r="P44" i="71"/>
  <c r="O44" i="71"/>
  <c r="N44" i="71"/>
  <c r="Q43" i="71"/>
  <c r="P43" i="71"/>
  <c r="O43" i="71"/>
  <c r="N43" i="71"/>
  <c r="Q42" i="71"/>
  <c r="F43" i="71"/>
  <c r="F44" i="71" s="1"/>
  <c r="F45" i="71" s="1"/>
  <c r="V45" i="71" s="1"/>
  <c r="P42" i="71"/>
  <c r="E43" i="71" s="1"/>
  <c r="E44" i="71" s="1"/>
  <c r="O42" i="71"/>
  <c r="C43" i="71" s="1"/>
  <c r="C44" i="71" s="1"/>
  <c r="C45" i="71" s="1"/>
  <c r="N42" i="71"/>
  <c r="B43" i="71" s="1"/>
  <c r="B44" i="71" s="1"/>
  <c r="B45" i="71" s="1"/>
  <c r="S45" i="71" s="1"/>
  <c r="D42" i="71"/>
  <c r="Q41" i="71"/>
  <c r="P41" i="71"/>
  <c r="O41" i="71"/>
  <c r="N41" i="71"/>
  <c r="Q40" i="71"/>
  <c r="P40" i="71"/>
  <c r="O40" i="71"/>
  <c r="N40" i="71"/>
  <c r="Q39" i="71"/>
  <c r="P39" i="71"/>
  <c r="O39" i="71"/>
  <c r="N39" i="71"/>
  <c r="Q38" i="71"/>
  <c r="F39" i="71"/>
  <c r="F40" i="71" s="1"/>
  <c r="F41" i="71" s="1"/>
  <c r="V41" i="71" s="1"/>
  <c r="P38" i="71"/>
  <c r="E39" i="71" s="1"/>
  <c r="O38" i="71"/>
  <c r="C39" i="71" s="1"/>
  <c r="C40" i="71" s="1"/>
  <c r="C41" i="71" s="1"/>
  <c r="N38" i="71"/>
  <c r="B39" i="71"/>
  <c r="B40" i="71" s="1"/>
  <c r="B41" i="71" s="1"/>
  <c r="S41" i="71" s="1"/>
  <c r="D38" i="71"/>
  <c r="Q37" i="71"/>
  <c r="P37" i="71"/>
  <c r="O37" i="71"/>
  <c r="N37" i="71"/>
  <c r="Q36" i="71"/>
  <c r="P36" i="71"/>
  <c r="O36" i="71"/>
  <c r="N36" i="71"/>
  <c r="Q35" i="71"/>
  <c r="P35" i="71"/>
  <c r="O35" i="71"/>
  <c r="N35" i="71"/>
  <c r="Q34" i="71"/>
  <c r="F35" i="71"/>
  <c r="P34" i="71"/>
  <c r="E35" i="71"/>
  <c r="E36" i="71" s="1"/>
  <c r="E37" i="71" s="1"/>
  <c r="U37" i="71" s="1"/>
  <c r="O34" i="71"/>
  <c r="C35" i="71" s="1"/>
  <c r="C36" i="71" s="1"/>
  <c r="C37" i="71" s="1"/>
  <c r="N34" i="71"/>
  <c r="B35" i="71" s="1"/>
  <c r="B36" i="71" s="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c r="E32" i="71" s="1"/>
  <c r="E33" i="71" s="1"/>
  <c r="U33" i="71" s="1"/>
  <c r="O30" i="71"/>
  <c r="C31" i="71" s="1"/>
  <c r="N30" i="71"/>
  <c r="B31" i="71" s="1"/>
  <c r="B32" i="71" s="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s="1"/>
  <c r="U29" i="71" s="1"/>
  <c r="O26" i="71"/>
  <c r="C27" i="71" s="1"/>
  <c r="D27" i="71" s="1"/>
  <c r="N26" i="71"/>
  <c r="B27" i="71" s="1"/>
  <c r="B28" i="71" s="1"/>
  <c r="B29" i="71" s="1"/>
  <c r="S29" i="71" s="1"/>
  <c r="D26" i="71"/>
  <c r="Q25" i="71"/>
  <c r="P25" i="71"/>
  <c r="O25" i="71"/>
  <c r="N25" i="71"/>
  <c r="AB24" i="71"/>
  <c r="Q24" i="71"/>
  <c r="P24" i="71"/>
  <c r="AA24" i="71" s="1"/>
  <c r="O24" i="71"/>
  <c r="Y24" i="71" s="1"/>
  <c r="Z24" i="71" s="1"/>
  <c r="N24" i="71"/>
  <c r="X24" i="71"/>
  <c r="Q23" i="71"/>
  <c r="AB23" i="71"/>
  <c r="P23" i="71"/>
  <c r="O23" i="71"/>
  <c r="Y23" i="71" s="1"/>
  <c r="Z23" i="71" s="1"/>
  <c r="N23" i="71"/>
  <c r="Q22" i="71"/>
  <c r="F23" i="71" s="1"/>
  <c r="F24" i="71" s="1"/>
  <c r="F25" i="71" s="1"/>
  <c r="V25" i="71" s="1"/>
  <c r="P22" i="71"/>
  <c r="O22" i="71"/>
  <c r="C23" i="71" s="1"/>
  <c r="D23" i="71" s="1"/>
  <c r="N22" i="71"/>
  <c r="D22" i="71"/>
  <c r="Q21" i="71"/>
  <c r="AB21" i="71"/>
  <c r="P21" i="71"/>
  <c r="O21" i="71"/>
  <c r="Y21" i="71" s="1"/>
  <c r="Z21" i="71" s="1"/>
  <c r="N21" i="71"/>
  <c r="Q20" i="71"/>
  <c r="AB20" i="71" s="1"/>
  <c r="P20" i="71"/>
  <c r="AA18" i="71" s="1"/>
  <c r="O20" i="71"/>
  <c r="Y20" i="71"/>
  <c r="Z20" i="71" s="1"/>
  <c r="N20" i="71"/>
  <c r="X18" i="71" s="1"/>
  <c r="Q19" i="71"/>
  <c r="AB19" i="71"/>
  <c r="P19" i="71"/>
  <c r="O19" i="71"/>
  <c r="Y19" i="71" s="1"/>
  <c r="Z19" i="71" s="1"/>
  <c r="N19" i="71"/>
  <c r="Q18" i="71"/>
  <c r="F19" i="71" s="1"/>
  <c r="F20" i="71" s="1"/>
  <c r="F21" i="71" s="1"/>
  <c r="V21" i="71" s="1"/>
  <c r="P18" i="71"/>
  <c r="O18" i="71"/>
  <c r="N18" i="71"/>
  <c r="D18" i="71"/>
  <c r="Q17" i="71"/>
  <c r="AB17" i="71"/>
  <c r="P17" i="71"/>
  <c r="O17" i="71"/>
  <c r="Y17" i="71" s="1"/>
  <c r="Z17" i="71" s="1"/>
  <c r="N17" i="71"/>
  <c r="Q16" i="71"/>
  <c r="AB16" i="71" s="1"/>
  <c r="P16" i="71"/>
  <c r="AA15" i="71" s="1"/>
  <c r="O16" i="71"/>
  <c r="Y16" i="71"/>
  <c r="Z16" i="71" s="1"/>
  <c r="N16" i="71"/>
  <c r="X14" i="71" s="1"/>
  <c r="Q15" i="71"/>
  <c r="AB15" i="71"/>
  <c r="P15" i="71"/>
  <c r="O15" i="71"/>
  <c r="Y15" i="71" s="1"/>
  <c r="Z15" i="71" s="1"/>
  <c r="N15" i="71"/>
  <c r="Q14" i="71"/>
  <c r="F15" i="71" s="1"/>
  <c r="F16" i="71" s="1"/>
  <c r="F17" i="71" s="1"/>
  <c r="V17" i="71" s="1"/>
  <c r="P14" i="71"/>
  <c r="O14" i="71"/>
  <c r="Y14" i="71" s="1"/>
  <c r="Z14" i="71" s="1"/>
  <c r="N14" i="71"/>
  <c r="D14" i="71"/>
  <c r="O13" i="71"/>
  <c r="N13" i="71"/>
  <c r="X10" i="71" s="1"/>
  <c r="B15" i="71"/>
  <c r="B16" i="71"/>
  <c r="B17" i="71" s="1"/>
  <c r="S17" i="71" s="1"/>
  <c r="E15" i="71"/>
  <c r="E16" i="71" s="1"/>
  <c r="E17" i="71" s="1"/>
  <c r="U17" i="71" s="1"/>
  <c r="AA14" i="71"/>
  <c r="B19" i="71"/>
  <c r="B20" i="71"/>
  <c r="B21" i="71" s="1"/>
  <c r="S21" i="71" s="1"/>
  <c r="B23" i="71"/>
  <c r="B24" i="71" s="1"/>
  <c r="B25" i="71" s="1"/>
  <c r="S25" i="71" s="1"/>
  <c r="X22" i="71"/>
  <c r="E23" i="71"/>
  <c r="E24" i="71"/>
  <c r="E25" i="71" s="1"/>
  <c r="U25" i="71" s="1"/>
  <c r="N53" i="71"/>
  <c r="E19" i="71"/>
  <c r="E20" i="71"/>
  <c r="E21" i="71" s="1"/>
  <c r="U21" i="71" s="1"/>
  <c r="C15" i="71"/>
  <c r="C16" i="71" s="1"/>
  <c r="C17" i="71" s="1"/>
  <c r="X15" i="71"/>
  <c r="X16" i="71"/>
  <c r="X17" i="71"/>
  <c r="C19" i="71"/>
  <c r="Y18" i="71"/>
  <c r="Z18" i="71" s="1"/>
  <c r="AB18" i="71"/>
  <c r="AA19" i="71"/>
  <c r="AA20" i="71"/>
  <c r="X21" i="71"/>
  <c r="AA21" i="71"/>
  <c r="Y22" i="71"/>
  <c r="Z22" i="71" s="1"/>
  <c r="AB22" i="71"/>
  <c r="X23" i="71"/>
  <c r="AA23" i="71"/>
  <c r="F36" i="71"/>
  <c r="F37" i="71"/>
  <c r="V37" i="71" s="1"/>
  <c r="C13" i="71"/>
  <c r="Y10" i="71"/>
  <c r="Z10" i="71" s="1"/>
  <c r="Y11" i="71"/>
  <c r="Z11" i="71" s="1"/>
  <c r="Y12" i="71"/>
  <c r="Z12" i="71" s="1"/>
  <c r="Y13" i="71"/>
  <c r="Z13" i="71" s="1"/>
  <c r="B13" i="71"/>
  <c r="X11" i="71"/>
  <c r="X13" i="71"/>
  <c r="D15" i="71"/>
  <c r="C24" i="71"/>
  <c r="C25" i="71" s="1"/>
  <c r="M19" i="83" s="1"/>
  <c r="C28" i="71"/>
  <c r="C29" i="71" s="1"/>
  <c r="C32" i="71"/>
  <c r="D32" i="71" s="1"/>
  <c r="D31" i="71"/>
  <c r="D35" i="71"/>
  <c r="P13" i="71"/>
  <c r="E40" i="71"/>
  <c r="E41" i="71" s="1"/>
  <c r="U41" i="71" s="1"/>
  <c r="E45" i="71"/>
  <c r="U45" i="71" s="1"/>
  <c r="E48" i="71"/>
  <c r="E49" i="71" s="1"/>
  <c r="U49" i="71"/>
  <c r="U53" i="71"/>
  <c r="E52" i="71"/>
  <c r="Q13" i="71"/>
  <c r="D39" i="71"/>
  <c r="D43" i="71"/>
  <c r="C48" i="71"/>
  <c r="D47" i="71"/>
  <c r="N52" i="71"/>
  <c r="B51" i="71"/>
  <c r="N51" i="71" s="1"/>
  <c r="T53" i="71"/>
  <c r="O53" i="71"/>
  <c r="D53" i="71"/>
  <c r="C52" i="71"/>
  <c r="Q53" i="71"/>
  <c r="C56" i="71"/>
  <c r="E56" i="71"/>
  <c r="E55" i="71" s="1"/>
  <c r="D57" i="71"/>
  <c r="C60" i="71"/>
  <c r="E60" i="71"/>
  <c r="E59" i="71" s="1"/>
  <c r="D61" i="71"/>
  <c r="C64" i="71"/>
  <c r="E64" i="71"/>
  <c r="E63" i="71" s="1"/>
  <c r="D65" i="71"/>
  <c r="C68" i="71"/>
  <c r="C72" i="71"/>
  <c r="C71" i="71" s="1"/>
  <c r="C12" i="71"/>
  <c r="F13" i="71"/>
  <c r="F12" i="71" s="1"/>
  <c r="F11" i="71"/>
  <c r="AB11" i="71"/>
  <c r="AB13" i="71"/>
  <c r="E13" i="71"/>
  <c r="E12" i="71"/>
  <c r="E11" i="71" s="1"/>
  <c r="AA3" i="71"/>
  <c r="AA10" i="71"/>
  <c r="AA11" i="71"/>
  <c r="AA12" i="71"/>
  <c r="AA13" i="71"/>
  <c r="C51" i="71"/>
  <c r="O52" i="71"/>
  <c r="D52" i="71"/>
  <c r="C49" i="71"/>
  <c r="D48" i="71"/>
  <c r="D68" i="71"/>
  <c r="C67" i="71"/>
  <c r="D67" i="71"/>
  <c r="D60" i="71"/>
  <c r="C59" i="71"/>
  <c r="D59" i="71" s="1"/>
  <c r="N50" i="71"/>
  <c r="D72" i="71"/>
  <c r="D71" i="71"/>
  <c r="D64" i="71"/>
  <c r="C63" i="71"/>
  <c r="D63" i="71" s="1"/>
  <c r="D56" i="71"/>
  <c r="C55" i="71"/>
  <c r="D55" i="71"/>
  <c r="D44" i="71"/>
  <c r="D40" i="71"/>
  <c r="P52" i="71"/>
  <c r="E51" i="71"/>
  <c r="P50" i="71" s="1"/>
  <c r="D36" i="71"/>
  <c r="D28" i="71"/>
  <c r="D24" i="71"/>
  <c r="D16" i="71"/>
  <c r="V13" i="71"/>
  <c r="P51" i="71"/>
  <c r="O51" i="71"/>
  <c r="D51" i="71"/>
  <c r="O50" i="71"/>
  <c r="T17" i="71"/>
  <c r="D17" i="71"/>
  <c r="T25" i="71"/>
  <c r="D25" i="71"/>
  <c r="M19" i="43" s="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83" s="1"/>
  <c r="C22" i="20"/>
  <c r="B75" i="43" s="1"/>
  <c r="B55" i="43"/>
  <c r="C25" i="40"/>
  <c r="S25" i="40"/>
  <c r="S29" i="39"/>
  <c r="S18" i="36"/>
  <c r="U18" i="36"/>
  <c r="S21" i="34"/>
  <c r="H25" i="40"/>
  <c r="J25" i="40"/>
  <c r="H29" i="39"/>
  <c r="J29" i="39"/>
  <c r="AC29" i="39" s="1"/>
  <c r="J18" i="36"/>
  <c r="AC18" i="36" s="1"/>
  <c r="H18" i="35"/>
  <c r="AB18" i="35" s="1"/>
  <c r="S18" i="35"/>
  <c r="J18" i="35"/>
  <c r="F77" i="37"/>
  <c r="G77" i="37" s="1"/>
  <c r="H21" i="37"/>
  <c r="F21" i="37"/>
  <c r="AA21" i="37" s="1"/>
  <c r="H21" i="34"/>
  <c r="AB21" i="34" s="1"/>
  <c r="F83" i="33"/>
  <c r="H21" i="33"/>
  <c r="U21" i="33" s="1"/>
  <c r="F21" i="33"/>
  <c r="E83" i="21"/>
  <c r="F83" i="21" s="1"/>
  <c r="G83" i="21" s="1"/>
  <c r="S21" i="21"/>
  <c r="H1" i="69"/>
  <c r="AC25" i="40"/>
  <c r="W25" i="40"/>
  <c r="AB25" i="40"/>
  <c r="U25" i="40"/>
  <c r="AB29" i="39"/>
  <c r="U29" i="39"/>
  <c r="W29" i="39"/>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F7" i="69"/>
  <c r="C7" i="69" s="1"/>
  <c r="AC21" i="37"/>
  <c r="AC21" i="34"/>
  <c r="AC21" i="33"/>
  <c r="AB21" i="21"/>
  <c r="J21" i="21"/>
  <c r="F38" i="68"/>
  <c r="E37" i="68"/>
  <c r="F36" i="68"/>
  <c r="F35" i="68"/>
  <c r="F21" i="68"/>
  <c r="C21" i="68" s="1"/>
  <c r="F20" i="68"/>
  <c r="E10" i="68"/>
  <c r="E9" i="68"/>
  <c r="F7" i="68"/>
  <c r="W21" i="21"/>
  <c r="AC21" i="21"/>
  <c r="Q72" i="67"/>
  <c r="Q59" i="67"/>
  <c r="Q58" i="67"/>
  <c r="Q51" i="67"/>
  <c r="J50" i="67"/>
  <c r="M47" i="67"/>
  <c r="J53" i="67" s="1"/>
  <c r="D46" i="67"/>
  <c r="F33" i="67"/>
  <c r="F61" i="67"/>
  <c r="F23" i="67"/>
  <c r="D24"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0" i="43"/>
  <c r="D61" i="43"/>
  <c r="D62" i="43"/>
  <c r="D64"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s="1"/>
  <c r="K67" i="43"/>
  <c r="J67" i="43" s="1"/>
  <c r="M66" i="43"/>
  <c r="N66" i="43"/>
  <c r="K66" i="43"/>
  <c r="J66" i="43"/>
  <c r="M65" i="43"/>
  <c r="N65" i="43" s="1"/>
  <c r="K65" i="43"/>
  <c r="J65" i="43" s="1"/>
  <c r="M64" i="43"/>
  <c r="N64" i="43"/>
  <c r="K64" i="43"/>
  <c r="J64" i="43"/>
  <c r="M63" i="43"/>
  <c r="N63" i="43" s="1"/>
  <c r="K63" i="43"/>
  <c r="J63" i="43" s="1"/>
  <c r="M62" i="43"/>
  <c r="N62" i="43"/>
  <c r="K62" i="43"/>
  <c r="J62" i="43"/>
  <c r="M61" i="43"/>
  <c r="N61" i="43" s="1"/>
  <c r="K61" i="43"/>
  <c r="J61" i="43" s="1"/>
  <c r="M60" i="43"/>
  <c r="N60" i="43"/>
  <c r="K60" i="43"/>
  <c r="J60" i="43"/>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G19" i="83" s="1"/>
  <c r="F15" i="4"/>
  <c r="F9" i="1"/>
  <c r="F10" i="1"/>
  <c r="F11" i="1"/>
  <c r="F12" i="1"/>
  <c r="F13" i="1"/>
  <c r="D6" i="1"/>
  <c r="D9" i="1"/>
  <c r="D10" i="1"/>
  <c r="D11" i="1"/>
  <c r="D12" i="1"/>
  <c r="D13" i="1"/>
  <c r="D7" i="1"/>
  <c r="D8" i="1"/>
  <c r="A7" i="1"/>
  <c r="B7" i="1" s="1"/>
  <c r="E7" i="1" s="1"/>
  <c r="A8" i="1"/>
  <c r="B8" i="1" s="1"/>
  <c r="E8" i="1" s="1"/>
  <c r="A9" i="1"/>
  <c r="A10" i="1"/>
  <c r="A11" i="1"/>
  <c r="A12" i="1"/>
  <c r="A13" i="1"/>
  <c r="A6" i="1"/>
  <c r="F3" i="35" s="1"/>
  <c r="B11" i="1"/>
  <c r="E11"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c r="C57" i="40" s="1"/>
  <c r="H56" i="40"/>
  <c r="I56" i="40"/>
  <c r="C56" i="40" s="1"/>
  <c r="H55" i="40"/>
  <c r="I55" i="40"/>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c r="A4" i="62"/>
  <c r="B70" i="72"/>
  <c r="F33" i="9"/>
  <c r="B37" i="48"/>
  <c r="B2" i="72" s="1"/>
  <c r="B13" i="53"/>
  <c r="B29" i="72"/>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s="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s="1"/>
  <c r="D95" i="39"/>
  <c r="E95" i="39" s="1"/>
  <c r="F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83" s="1"/>
  <c r="G19" i="20"/>
  <c r="B85" i="83" s="1"/>
  <c r="G16" i="20"/>
  <c r="B82" i="83" s="1"/>
  <c r="G15" i="20"/>
  <c r="B81" i="83" s="1"/>
  <c r="C24" i="20"/>
  <c r="C21" i="20"/>
  <c r="C20" i="20"/>
  <c r="C18" i="20"/>
  <c r="C17" i="20"/>
  <c r="B59" i="83" s="1"/>
  <c r="C16" i="20"/>
  <c r="C17" i="39" s="1"/>
  <c r="C15" i="20"/>
  <c r="B70" i="8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G123" i="21"/>
  <c r="H123" i="21"/>
  <c r="I123" i="21" s="1"/>
  <c r="J123" i="21" s="1"/>
  <c r="K123" i="21" s="1"/>
  <c r="L123" i="21" s="1"/>
  <c r="M123" i="21" s="1"/>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B30" i="21"/>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H103" i="9"/>
  <c r="D8" i="53"/>
  <c r="B16" i="53"/>
  <c r="B33" i="72"/>
  <c r="C7" i="37"/>
  <c r="C7" i="34"/>
  <c r="C7" i="36"/>
  <c r="W35" i="40"/>
  <c r="A118" i="9"/>
  <c r="A4" i="52"/>
  <c r="B41" i="72" s="1"/>
  <c r="J11" i="39"/>
  <c r="W11" i="39" s="1"/>
  <c r="F11" i="39"/>
  <c r="AA11" i="39" s="1"/>
  <c r="A12" i="52"/>
  <c r="B56" i="72" s="1"/>
  <c r="G4" i="4"/>
  <c r="I4" i="4"/>
  <c r="K5" i="4"/>
  <c r="B47" i="48" s="1"/>
  <c r="A2" i="9"/>
  <c r="N2"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G29" i="6" s="1"/>
  <c r="E29" i="6" s="1"/>
  <c r="K15" i="1" s="1"/>
  <c r="AZ343" i="3"/>
  <c r="BK5" i="3"/>
  <c r="BI5" i="3"/>
  <c r="BG5" i="3"/>
  <c r="BE5" i="3"/>
  <c r="BC5" i="3"/>
  <c r="G17" i="3"/>
  <c r="BA17" i="3"/>
  <c r="BT5" i="3"/>
  <c r="AZ350" i="3"/>
  <c r="AZ352" i="3"/>
  <c r="AZ356" i="3"/>
  <c r="AZ364" i="3"/>
  <c r="AZ368" i="3"/>
  <c r="BA15" i="3"/>
  <c r="BB5" i="3"/>
  <c r="BR5" i="3"/>
  <c r="G28" i="6" s="1"/>
  <c r="AZ380" i="3"/>
  <c r="AZ384" i="3"/>
  <c r="AZ388" i="3"/>
  <c r="AZ392" i="3"/>
  <c r="AZ396" i="3"/>
  <c r="AZ499" i="3"/>
  <c r="AZ509" i="3"/>
  <c r="G509" i="3"/>
  <c r="BL493" i="3"/>
  <c r="AZ491" i="3"/>
  <c r="AZ390" i="3"/>
  <c r="AZ493" i="3"/>
  <c r="U36" i="40"/>
  <c r="N4" i="43"/>
  <c r="F36" i="43"/>
  <c r="F81" i="43"/>
  <c r="H83" i="43" s="1"/>
  <c r="H113" i="43"/>
  <c r="F48" i="43"/>
  <c r="H52" i="43" s="1"/>
  <c r="N7" i="43"/>
  <c r="F70" i="43"/>
  <c r="H73" i="43" s="1"/>
  <c r="M6" i="43"/>
  <c r="M11" i="43"/>
  <c r="E17" i="43"/>
  <c r="F39" i="43"/>
  <c r="I17" i="43"/>
  <c r="F35" i="43"/>
  <c r="J17" i="43"/>
  <c r="F6" i="1"/>
  <c r="I20" i="43" s="1"/>
  <c r="U17" i="39"/>
  <c r="S14" i="35"/>
  <c r="U43" i="21"/>
  <c r="U35" i="21"/>
  <c r="AC35" i="21"/>
  <c r="U10" i="21"/>
  <c r="G9" i="1"/>
  <c r="G10" i="1"/>
  <c r="F48" i="9"/>
  <c r="O52" i="9" s="1"/>
  <c r="AZ563" i="3"/>
  <c r="AZ501" i="3"/>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49"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7" i="43"/>
  <c r="K9" i="1"/>
  <c r="M9" i="1" s="1"/>
  <c r="AE9" i="1"/>
  <c r="D93" i="9"/>
  <c r="E15" i="6"/>
  <c r="E60" i="40" s="1"/>
  <c r="K6" i="1"/>
  <c r="E13" i="6"/>
  <c r="E58" i="40"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F30" i="6" s="1"/>
  <c r="BL14" i="3"/>
  <c r="AZ266" i="3"/>
  <c r="U30" i="33"/>
  <c r="AC13" i="34"/>
  <c r="AA47" i="34"/>
  <c r="W28" i="37"/>
  <c r="S19" i="39"/>
  <c r="F12" i="33"/>
  <c r="H12" i="39"/>
  <c r="AB12" i="39"/>
  <c r="F39" i="40"/>
  <c r="BA14" i="3"/>
  <c r="BA5"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C42" i="1"/>
  <c r="C77" i="9" s="1"/>
  <c r="C74" i="9" s="1"/>
  <c r="H100" i="43"/>
  <c r="C30" i="66"/>
  <c r="E26" i="66"/>
  <c r="AA34" i="33"/>
  <c r="B41" i="1"/>
  <c r="S22" i="31"/>
  <c r="J100" i="43"/>
  <c r="AB37" i="40"/>
  <c r="S35" i="40"/>
  <c r="U35" i="40"/>
  <c r="AC36" i="40"/>
  <c r="AA32" i="40"/>
  <c r="S17" i="40"/>
  <c r="S23" i="40"/>
  <c r="AC17" i="40"/>
  <c r="AC15" i="40"/>
  <c r="AB27"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U16" i="36"/>
  <c r="S14" i="36"/>
  <c r="U10" i="36"/>
  <c r="W10" i="36"/>
  <c r="AA25" i="35"/>
  <c r="S23" i="35"/>
  <c r="W24" i="35"/>
  <c r="AB13" i="35"/>
  <c r="U29" i="35"/>
  <c r="U28" i="35"/>
  <c r="AB27" i="35"/>
  <c r="U36" i="35"/>
  <c r="U32" i="35"/>
  <c r="AA33" i="35"/>
  <c r="AC30" i="35"/>
  <c r="S32" i="35"/>
  <c r="AA36" i="35"/>
  <c r="W32" i="35"/>
  <c r="S28" i="35"/>
  <c r="AB16" i="35"/>
  <c r="U22"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AA19" i="37" s="1"/>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AB41" i="34"/>
  <c r="AA45" i="34"/>
  <c r="W34" i="34"/>
  <c r="AA25" i="34"/>
  <c r="U28" i="34"/>
  <c r="S17" i="34"/>
  <c r="AA29" i="34"/>
  <c r="U27" i="34"/>
  <c r="S23" i="34"/>
  <c r="U15" i="34"/>
  <c r="S10" i="34"/>
  <c r="S13" i="34"/>
  <c r="H67" i="34"/>
  <c r="H10" i="34"/>
  <c r="F11" i="34"/>
  <c r="S11" i="34" s="1"/>
  <c r="F70" i="34"/>
  <c r="G70" i="34" s="1"/>
  <c r="H70" i="34" s="1"/>
  <c r="I70" i="34" s="1"/>
  <c r="J70" i="34" s="1"/>
  <c r="K70" i="34" s="1"/>
  <c r="L70" i="34" s="1"/>
  <c r="M70" i="34" s="1"/>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F19" i="33"/>
  <c r="S19" i="33"/>
  <c r="W19" i="33"/>
  <c r="J17" i="33"/>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s="1"/>
  <c r="E85" i="21"/>
  <c r="F85" i="21" s="1"/>
  <c r="G85" i="21" s="1"/>
  <c r="AC11" i="21"/>
  <c r="AA14" i="21"/>
  <c r="AB8" i="21"/>
  <c r="S8" i="21"/>
  <c r="M3" i="43"/>
  <c r="N10" i="43"/>
  <c r="M1" i="43"/>
  <c r="M8" i="43"/>
  <c r="N8" i="43"/>
  <c r="N9" i="43"/>
  <c r="D120" i="9"/>
  <c r="C18" i="9"/>
  <c r="D18" i="9" s="1"/>
  <c r="F34" i="67"/>
  <c r="F62" i="67" s="1"/>
  <c r="M20" i="67"/>
  <c r="F34" i="15"/>
  <c r="F62" i="15" s="1"/>
  <c r="G13" i="3"/>
  <c r="BA13" i="3"/>
  <c r="E10" i="6"/>
  <c r="E11" i="6"/>
  <c r="E61" i="39" s="1"/>
  <c r="BL17" i="3"/>
  <c r="AZ17" i="3"/>
  <c r="BL13" i="3"/>
  <c r="E65" i="39"/>
  <c r="J56" i="9"/>
  <c r="J57" i="9" s="1"/>
  <c r="J59" i="9" s="1"/>
  <c r="J61" i="9" s="1"/>
  <c r="A24" i="51"/>
  <c r="B18" i="72" s="1"/>
  <c r="U29" i="34"/>
  <c r="E14" i="6"/>
  <c r="E64" i="39" s="1"/>
  <c r="E5" i="6"/>
  <c r="D9" i="11" s="1"/>
  <c r="C9" i="11" s="1"/>
  <c r="E32" i="6"/>
  <c r="L19" i="6"/>
  <c r="G1" i="68"/>
  <c r="K1" i="12"/>
  <c r="AQ12" i="1"/>
  <c r="AR10" i="1"/>
  <c r="E19" i="69"/>
  <c r="E19" i="68"/>
  <c r="E19" i="11"/>
  <c r="E1" i="73"/>
  <c r="G41" i="69"/>
  <c r="G22" i="69"/>
  <c r="G41" i="68"/>
  <c r="G22" i="68"/>
  <c r="G27" i="12"/>
  <c r="G26" i="12"/>
  <c r="G41" i="11"/>
  <c r="G22" i="11"/>
  <c r="G25" i="12"/>
  <c r="C100" i="43"/>
  <c r="E81" i="43"/>
  <c r="B79" i="43" s="1"/>
  <c r="E48" i="43"/>
  <c r="B46" i="43" s="1"/>
  <c r="E70" i="43"/>
  <c r="B68" i="43" s="1"/>
  <c r="F100" i="43"/>
  <c r="H17" i="43"/>
  <c r="D9" i="53"/>
  <c r="B25" i="72"/>
  <c r="B24" i="72"/>
  <c r="G6" i="1"/>
  <c r="H85" i="43"/>
  <c r="H81" i="43"/>
  <c r="H84" i="43"/>
  <c r="H88" i="43"/>
  <c r="H53" i="43"/>
  <c r="H54" i="43"/>
  <c r="H78" i="43"/>
  <c r="H70" i="43"/>
  <c r="H71" i="43"/>
  <c r="C17" i="43"/>
  <c r="F33" i="43"/>
  <c r="G17" i="43"/>
  <c r="F34" i="43"/>
  <c r="M7" i="43"/>
  <c r="N6" i="43"/>
  <c r="F59" i="43" s="1"/>
  <c r="M2" i="43"/>
  <c r="C6" i="43"/>
  <c r="M10" i="43"/>
  <c r="N3" i="43"/>
  <c r="N11" i="43"/>
  <c r="F38" i="43"/>
  <c r="F37" i="43"/>
  <c r="M9" i="43"/>
  <c r="N12" i="43"/>
  <c r="N5" i="43"/>
  <c r="M5" i="43"/>
  <c r="M12" i="43"/>
  <c r="M4" i="43"/>
  <c r="B19" i="53"/>
  <c r="B37" i="72"/>
  <c r="C7" i="39"/>
  <c r="C68" i="39" s="1"/>
  <c r="C7" i="35"/>
  <c r="C7" i="33"/>
  <c r="C58" i="33" s="1"/>
  <c r="C7" i="21"/>
  <c r="C7" i="40"/>
  <c r="C63" i="40"/>
  <c r="D63" i="40" s="1"/>
  <c r="M47" i="9"/>
  <c r="G19" i="43"/>
  <c r="O19" i="43" s="1"/>
  <c r="T35" i="4"/>
  <c r="A19" i="51"/>
  <c r="B14" i="72" s="1"/>
  <c r="C46" i="36"/>
  <c r="D46" i="36" s="1"/>
  <c r="C59" i="34"/>
  <c r="D59" i="34"/>
  <c r="C52" i="37"/>
  <c r="D52" i="37"/>
  <c r="A4" i="51"/>
  <c r="B6" i="72" s="1"/>
  <c r="C48" i="35"/>
  <c r="D48" i="35" s="1"/>
  <c r="E48" i="35" s="1"/>
  <c r="F48" i="35" s="1"/>
  <c r="C58" i="21"/>
  <c r="D58" i="21" s="1"/>
  <c r="E58" i="21" s="1"/>
  <c r="F58" i="21" s="1"/>
  <c r="H55" i="43"/>
  <c r="H51" i="43"/>
  <c r="H56" i="43"/>
  <c r="H76" i="43"/>
  <c r="H72" i="43"/>
  <c r="H77" i="43"/>
  <c r="L20" i="6"/>
  <c r="B6" i="1"/>
  <c r="E6" i="1" s="1"/>
  <c r="K11" i="1"/>
  <c r="M11" i="1" s="1"/>
  <c r="AP6" i="1"/>
  <c r="B9" i="1"/>
  <c r="E9" i="1" s="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AC33" i="21" s="1"/>
  <c r="H33" i="21"/>
  <c r="AB33" i="21"/>
  <c r="F37" i="21"/>
  <c r="AA37" i="21"/>
  <c r="AA26" i="21"/>
  <c r="AB14" i="21"/>
  <c r="AB46" i="21"/>
  <c r="U40" i="21"/>
  <c r="AB31" i="21"/>
  <c r="U31"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B4" i="62" s="1"/>
  <c r="B71" i="72" s="1"/>
  <c r="AQ13" i="1"/>
  <c r="AZ13" i="3"/>
  <c r="M6" i="1"/>
  <c r="O6" i="1" s="1"/>
  <c r="E63" i="39"/>
  <c r="T11" i="1"/>
  <c r="AR11" i="1"/>
  <c r="T13" i="1"/>
  <c r="C24" i="12"/>
  <c r="AA39" i="40"/>
  <c r="S39" i="40"/>
  <c r="S12" i="33"/>
  <c r="AA12" i="33"/>
  <c r="J32" i="39"/>
  <c r="H32" i="39"/>
  <c r="U32" i="39" s="1"/>
  <c r="AA32" i="39"/>
  <c r="S32" i="39"/>
  <c r="AB21" i="39"/>
  <c r="U21" i="39"/>
  <c r="AA21" i="39"/>
  <c r="S21" i="39"/>
  <c r="AC21" i="39"/>
  <c r="W21" i="39"/>
  <c r="S26" i="35"/>
  <c r="U9" i="35"/>
  <c r="AB9" i="35"/>
  <c r="AA9" i="35"/>
  <c r="S9" i="35"/>
  <c r="AC26" i="35"/>
  <c r="W26" i="35"/>
  <c r="AB26" i="35"/>
  <c r="U26" i="35"/>
  <c r="AC17" i="37"/>
  <c r="J19" i="37"/>
  <c r="W19" i="37" s="1"/>
  <c r="G75" i="37"/>
  <c r="S19" i="37"/>
  <c r="AA23" i="37"/>
  <c r="J23" i="37"/>
  <c r="G79" i="37"/>
  <c r="J10" i="37"/>
  <c r="I60" i="37"/>
  <c r="G63" i="37"/>
  <c r="H11" i="37"/>
  <c r="AB11" i="37" s="1"/>
  <c r="AB10" i="37"/>
  <c r="U10" i="37"/>
  <c r="H11" i="34"/>
  <c r="AB11" i="34" s="1"/>
  <c r="AB10" i="34"/>
  <c r="U10" i="34"/>
  <c r="J10" i="34"/>
  <c r="I67" i="34"/>
  <c r="AB41" i="33"/>
  <c r="U41" i="33"/>
  <c r="W35" i="33"/>
  <c r="AC35" i="33"/>
  <c r="H111" i="33"/>
  <c r="I111" i="33"/>
  <c r="J111" i="33" s="1"/>
  <c r="K111" i="33" s="1"/>
  <c r="L111" i="33" s="1"/>
  <c r="M111" i="33" s="1"/>
  <c r="J36" i="33"/>
  <c r="H36" i="33"/>
  <c r="U36" i="33" s="1"/>
  <c r="S36" i="33"/>
  <c r="AA36" i="33"/>
  <c r="W32" i="33"/>
  <c r="U27" i="33"/>
  <c r="AB27" i="33"/>
  <c r="J27" i="33"/>
  <c r="W27" i="33" s="1"/>
  <c r="U25" i="33"/>
  <c r="AB25" i="33"/>
  <c r="AA25" i="33"/>
  <c r="J25" i="33"/>
  <c r="W25" i="33" s="1"/>
  <c r="AB23" i="33"/>
  <c r="U23" i="33"/>
  <c r="F23" i="33"/>
  <c r="G85" i="33"/>
  <c r="AC23" i="33"/>
  <c r="W23" i="33"/>
  <c r="AA19" i="33"/>
  <c r="H19" i="33"/>
  <c r="AB19" i="33" s="1"/>
  <c r="G81" i="33"/>
  <c r="G79" i="33"/>
  <c r="H17" i="33"/>
  <c r="F17" i="33"/>
  <c r="AA17" i="33" s="1"/>
  <c r="W17" i="33"/>
  <c r="AC17" i="33"/>
  <c r="U10" i="33"/>
  <c r="AB10" i="33"/>
  <c r="W10" i="33"/>
  <c r="AC37" i="21"/>
  <c r="U33" i="21"/>
  <c r="S37" i="21"/>
  <c r="AA23" i="21"/>
  <c r="AB15" i="21"/>
  <c r="J23" i="21"/>
  <c r="AC23" i="21" s="1"/>
  <c r="H23" i="21"/>
  <c r="S13" i="21"/>
  <c r="D6" i="52"/>
  <c r="D121" i="9"/>
  <c r="D7" i="52" s="1"/>
  <c r="K120" i="9"/>
  <c r="R22" i="31"/>
  <c r="B21" i="31"/>
  <c r="E52" i="37"/>
  <c r="F52" i="37" s="1"/>
  <c r="G52" i="37" s="1"/>
  <c r="E59" i="34"/>
  <c r="F59" i="34" s="1"/>
  <c r="G59" i="34" s="1"/>
  <c r="H59" i="34" s="1"/>
  <c r="C65" i="40"/>
  <c r="L27" i="6"/>
  <c r="AP7" i="1"/>
  <c r="AB45" i="21"/>
  <c r="W33" i="21"/>
  <c r="S33" i="21"/>
  <c r="AA33" i="21"/>
  <c r="AC32" i="21"/>
  <c r="U9" i="21"/>
  <c r="AA32" i="21"/>
  <c r="S32" i="21"/>
  <c r="W9" i="21"/>
  <c r="AC9" i="21"/>
  <c r="AB32" i="21"/>
  <c r="U32" i="21"/>
  <c r="S10" i="21"/>
  <c r="A18" i="62"/>
  <c r="B64" i="72" s="1"/>
  <c r="AB32" i="39"/>
  <c r="AC32" i="39"/>
  <c r="W32" i="39"/>
  <c r="AC19" i="37"/>
  <c r="W23" i="37"/>
  <c r="AC23" i="37"/>
  <c r="U11" i="37"/>
  <c r="H63" i="37"/>
  <c r="I63" i="37"/>
  <c r="J63" i="37" s="1"/>
  <c r="K63" i="37" s="1"/>
  <c r="L63" i="37" s="1"/>
  <c r="M63" i="37" s="1"/>
  <c r="J11" i="37"/>
  <c r="W10" i="37"/>
  <c r="AC10" i="37"/>
  <c r="U11" i="34"/>
  <c r="AC10" i="34"/>
  <c r="W10" i="34"/>
  <c r="J11" i="34"/>
  <c r="AC11" i="34" s="1"/>
  <c r="AC36" i="33"/>
  <c r="W36" i="33"/>
  <c r="AB36" i="33"/>
  <c r="AC27" i="33"/>
  <c r="AC25" i="33"/>
  <c r="AA23" i="33"/>
  <c r="S23" i="33"/>
  <c r="U19" i="33"/>
  <c r="S17" i="33"/>
  <c r="U17" i="33"/>
  <c r="AB17" i="33"/>
  <c r="U23" i="21"/>
  <c r="AB23" i="21"/>
  <c r="W23" i="21"/>
  <c r="F1" i="67"/>
  <c r="Q52" i="67"/>
  <c r="AC11" i="37"/>
  <c r="W11" i="37"/>
  <c r="W11" i="34"/>
  <c r="F34" i="11"/>
  <c r="F34" i="68"/>
  <c r="AG6" i="1"/>
  <c r="H109" i="9"/>
  <c r="M49" i="9" s="1"/>
  <c r="H110" i="9"/>
  <c r="D18" i="53" s="1"/>
  <c r="B35" i="72" s="1"/>
  <c r="D16" i="53"/>
  <c r="B34" i="72" s="1"/>
  <c r="H112" i="9"/>
  <c r="D21" i="53"/>
  <c r="B39" i="72" s="1"/>
  <c r="H111" i="9"/>
  <c r="D126" i="9" s="1"/>
  <c r="D59" i="9"/>
  <c r="M55" i="9"/>
  <c r="AD3" i="71"/>
  <c r="F11" i="12"/>
  <c r="C36" i="68"/>
  <c r="M29" i="67"/>
  <c r="F4" i="73"/>
  <c r="D2" i="37"/>
  <c r="F7" i="73"/>
  <c r="F9" i="15"/>
  <c r="F5" i="73"/>
  <c r="F38" i="15"/>
  <c r="E12" i="76"/>
  <c r="M28" i="15"/>
  <c r="M22" i="67"/>
  <c r="B13" i="76"/>
  <c r="D35" i="9"/>
  <c r="M29" i="15"/>
  <c r="B12" i="76"/>
  <c r="M23" i="15"/>
  <c r="F43" i="15"/>
  <c r="M23" i="67"/>
  <c r="M8" i="67"/>
  <c r="M26" i="15"/>
  <c r="M26" i="67"/>
  <c r="F35" i="67"/>
  <c r="M24" i="67"/>
  <c r="F6" i="67"/>
  <c r="F13" i="67"/>
  <c r="D4" i="73"/>
  <c r="F8" i="15"/>
  <c r="F42" i="67"/>
  <c r="F16" i="15"/>
  <c r="AO10" i="1"/>
  <c r="AO9" i="1"/>
  <c r="F40" i="67"/>
  <c r="AO11" i="1"/>
  <c r="M27" i="67"/>
  <c r="D2" i="34"/>
  <c r="M8" i="15"/>
  <c r="F3" i="73"/>
  <c r="M28" i="67"/>
  <c r="B11" i="76"/>
  <c r="M27" i="15"/>
  <c r="M9" i="15"/>
  <c r="M9" i="67"/>
  <c r="F16" i="67"/>
  <c r="AO13" i="1"/>
  <c r="J15" i="67"/>
  <c r="F37" i="15"/>
  <c r="F36" i="67"/>
  <c r="F42" i="15"/>
  <c r="L48" i="67"/>
  <c r="F40" i="15"/>
  <c r="E13" i="76"/>
  <c r="F41" i="67"/>
  <c r="D5" i="73"/>
  <c r="M6" i="67"/>
  <c r="AO12" i="1"/>
  <c r="M21" i="67"/>
  <c r="F8" i="67"/>
  <c r="F9" i="67"/>
  <c r="F7" i="15"/>
  <c r="L48" i="15"/>
  <c r="F7" i="67"/>
  <c r="B10" i="76"/>
  <c r="D6" i="73"/>
  <c r="C76" i="15"/>
  <c r="E2" i="69"/>
  <c r="F38" i="67"/>
  <c r="F6" i="15"/>
  <c r="E2" i="68"/>
  <c r="L47" i="15"/>
  <c r="D2" i="35"/>
  <c r="M24" i="15"/>
  <c r="E11" i="76"/>
  <c r="F36" i="15"/>
  <c r="F43" i="67"/>
  <c r="F26" i="15"/>
  <c r="F13" i="15"/>
  <c r="F20" i="31"/>
  <c r="J15" i="15"/>
  <c r="D34" i="9"/>
  <c r="M22" i="15"/>
  <c r="C76" i="67"/>
  <c r="F26" i="67"/>
  <c r="M6" i="15"/>
  <c r="D3" i="73"/>
  <c r="F37" i="67"/>
  <c r="D2" i="21"/>
  <c r="L47" i="67"/>
  <c r="D7" i="73"/>
  <c r="D2" i="33"/>
  <c r="E10" i="76"/>
  <c r="D2" i="36"/>
  <c r="F6" i="73"/>
  <c r="C13" i="12"/>
  <c r="I14" i="74" l="1"/>
  <c r="B8" i="74" s="1"/>
  <c r="D12" i="52"/>
  <c r="D127" i="9"/>
  <c r="D13" i="52" s="1"/>
  <c r="G30" i="6"/>
  <c r="G31" i="6" s="1"/>
  <c r="E28" i="6"/>
  <c r="E30" i="6" s="1"/>
  <c r="L64" i="9"/>
  <c r="M64" i="9" s="1"/>
  <c r="L67" i="9"/>
  <c r="M67" i="9" s="1"/>
  <c r="L68" i="9"/>
  <c r="M68" i="9" s="1"/>
  <c r="L65" i="9"/>
  <c r="M65" i="9" s="1"/>
  <c r="L66" i="9"/>
  <c r="M66" i="9" s="1"/>
  <c r="L63" i="9"/>
  <c r="M63" i="9" s="1"/>
  <c r="M69" i="9" s="1"/>
  <c r="N69" i="9" s="1"/>
  <c r="D65" i="40"/>
  <c r="E63" i="40"/>
  <c r="AZ557" i="3"/>
  <c r="D19" i="53"/>
  <c r="S12" i="34"/>
  <c r="AA12" i="34"/>
  <c r="G5" i="3"/>
  <c r="B3" i="3" s="1"/>
  <c r="E13" i="3" s="1"/>
  <c r="D17" i="53"/>
  <c r="B36" i="72" s="1"/>
  <c r="D124" i="9"/>
  <c r="S17" i="37"/>
  <c r="D9" i="69"/>
  <c r="C9" i="69" s="1"/>
  <c r="AC15" i="21"/>
  <c r="AA11" i="37"/>
  <c r="T10" i="1"/>
  <c r="T12" i="1"/>
  <c r="S43" i="34"/>
  <c r="S32" i="37"/>
  <c r="S20" i="35"/>
  <c r="AB20" i="36"/>
  <c r="S27" i="36"/>
  <c r="S30" i="40"/>
  <c r="F53" i="9"/>
  <c r="F31" i="82"/>
  <c r="F31" i="81"/>
  <c r="F32" i="80"/>
  <c r="F60" i="80" s="1"/>
  <c r="F28" i="80"/>
  <c r="C28" i="80" s="1"/>
  <c r="M18" i="80"/>
  <c r="F32" i="79"/>
  <c r="F60" i="79" s="1"/>
  <c r="F28" i="79"/>
  <c r="C28" i="79" s="1"/>
  <c r="M18" i="79"/>
  <c r="AC34" i="33"/>
  <c r="C24" i="82"/>
  <c r="C24" i="81"/>
  <c r="AA39" i="34"/>
  <c r="H86" i="43"/>
  <c r="H74" i="43"/>
  <c r="S15" i="37"/>
  <c r="AC11" i="39"/>
  <c r="E8" i="6"/>
  <c r="S11" i="39"/>
  <c r="AA25" i="21"/>
  <c r="W31" i="34"/>
  <c r="AA13" i="35"/>
  <c r="W9" i="34"/>
  <c r="AC9" i="34"/>
  <c r="AC34" i="35"/>
  <c r="W34" i="35"/>
  <c r="B49" i="83"/>
  <c r="B71" i="83"/>
  <c r="B60" i="83"/>
  <c r="B67" i="83"/>
  <c r="B56" i="83"/>
  <c r="B77" i="83"/>
  <c r="B74" i="83"/>
  <c r="B54" i="83"/>
  <c r="B65" i="83"/>
  <c r="B73" i="83"/>
  <c r="B63" i="83"/>
  <c r="B52" i="83"/>
  <c r="AZ399" i="3"/>
  <c r="AZ404" i="3"/>
  <c r="AZ411" i="3"/>
  <c r="AZ414" i="3"/>
  <c r="AZ421" i="3"/>
  <c r="AZ423" i="3"/>
  <c r="AZ427" i="3"/>
  <c r="AZ430" i="3"/>
  <c r="AZ440" i="3"/>
  <c r="AZ449" i="3"/>
  <c r="AZ453" i="3"/>
  <c r="AZ455" i="3"/>
  <c r="AZ460" i="3"/>
  <c r="AZ471" i="3"/>
  <c r="AZ476" i="3"/>
  <c r="AZ478" i="3"/>
  <c r="G3" i="43"/>
  <c r="G3" i="83"/>
  <c r="B70" i="43"/>
  <c r="B59" i="43"/>
  <c r="B71" i="43"/>
  <c r="B77" i="43"/>
  <c r="B74" i="43"/>
  <c r="B73" i="43"/>
  <c r="B81" i="43"/>
  <c r="B82" i="43"/>
  <c r="B85" i="43"/>
  <c r="B88" i="43"/>
  <c r="H9" i="34"/>
  <c r="F34" i="35"/>
  <c r="H34" i="35"/>
  <c r="J36" i="35"/>
  <c r="H38" i="40"/>
  <c r="J38" i="40"/>
  <c r="H39" i="40"/>
  <c r="D7" i="81"/>
  <c r="C7" i="81"/>
  <c r="F11" i="82"/>
  <c r="F11" i="81"/>
  <c r="G27" i="82"/>
  <c r="G25" i="82"/>
  <c r="G26" i="82"/>
  <c r="G27" i="81"/>
  <c r="G25" i="81"/>
  <c r="G26" i="81"/>
  <c r="G7" i="1"/>
  <c r="I20" i="83"/>
  <c r="G41" i="83"/>
  <c r="G41" i="43"/>
  <c r="F8" i="1"/>
  <c r="G8" i="1" s="1"/>
  <c r="AZ385" i="3"/>
  <c r="AZ210" i="3"/>
  <c r="AZ225" i="3"/>
  <c r="AZ239" i="3"/>
  <c r="AZ255" i="3"/>
  <c r="AZ270" i="3"/>
  <c r="AZ274" i="3"/>
  <c r="AZ277" i="3"/>
  <c r="AZ298" i="3"/>
  <c r="AZ301" i="3"/>
  <c r="AZ122" i="3"/>
  <c r="AZ125" i="3"/>
  <c r="AZ205" i="3"/>
  <c r="AZ18" i="3"/>
  <c r="AZ23" i="3"/>
  <c r="AZ27" i="3"/>
  <c r="M20" i="15"/>
  <c r="F34" i="80"/>
  <c r="F62" i="80" s="1"/>
  <c r="M20" i="80"/>
  <c r="F34" i="79"/>
  <c r="F62" i="79" s="1"/>
  <c r="M20" i="79"/>
  <c r="C7" i="82"/>
  <c r="E7" i="81"/>
  <c r="BL15" i="3"/>
  <c r="BL5" i="3" s="1"/>
  <c r="AZ54" i="3"/>
  <c r="AZ57" i="3"/>
  <c r="AZ68" i="3"/>
  <c r="AZ73" i="3"/>
  <c r="AZ87" i="3"/>
  <c r="AZ95" i="3"/>
  <c r="AZ100" i="3"/>
  <c r="O19" i="83"/>
  <c r="D65" i="43"/>
  <c r="D63" i="43"/>
  <c r="D67" i="43"/>
  <c r="C40" i="68"/>
  <c r="C29" i="39"/>
  <c r="B66" i="43"/>
  <c r="B86" i="43"/>
  <c r="AB10" i="71"/>
  <c r="AB12" i="71"/>
  <c r="B12" i="71"/>
  <c r="B11" i="71" s="1"/>
  <c r="S13" i="71"/>
  <c r="C20" i="71"/>
  <c r="D19" i="71"/>
  <c r="AB8" i="71"/>
  <c r="AB7" i="71"/>
  <c r="AB6" i="71"/>
  <c r="K1" i="82"/>
  <c r="K1" i="81"/>
  <c r="G1" i="80"/>
  <c r="G1" i="79"/>
  <c r="B66" i="83"/>
  <c r="B55" i="83"/>
  <c r="B75" i="83"/>
  <c r="C11" i="71"/>
  <c r="D11" i="71" s="1"/>
  <c r="D12" i="71"/>
  <c r="T13" i="71"/>
  <c r="D13" i="71"/>
  <c r="U13" i="71" s="1"/>
  <c r="C7" i="71"/>
  <c r="D7" i="71" s="1"/>
  <c r="D8" i="71"/>
  <c r="X12" i="71"/>
  <c r="Y3" i="71"/>
  <c r="Z3" i="71" s="1"/>
  <c r="X20" i="71"/>
  <c r="X19" i="71"/>
  <c r="AA17" i="71"/>
  <c r="AA16" i="71"/>
  <c r="AB14" i="71"/>
  <c r="AA22" i="71"/>
  <c r="F52" i="71"/>
  <c r="AE10" i="43"/>
  <c r="AA9" i="71"/>
  <c r="AB9" i="71"/>
  <c r="D9" i="71"/>
  <c r="U9" i="71" s="1"/>
  <c r="S9" i="71"/>
  <c r="T9" i="71"/>
  <c r="X7" i="71"/>
  <c r="AB5" i="71"/>
  <c r="Y8" i="71"/>
  <c r="Z8" i="71" s="1"/>
  <c r="AA8" i="71"/>
  <c r="X5" i="71"/>
  <c r="AA5" i="71"/>
  <c r="O7" i="1"/>
  <c r="P7" i="1" s="1"/>
  <c r="E59" i="43"/>
  <c r="B57" i="43" s="1"/>
  <c r="C24" i="43" s="1"/>
  <c r="E20" i="83"/>
  <c r="K4" i="4"/>
  <c r="B46" i="48" s="1"/>
  <c r="B4" i="72" s="1"/>
  <c r="J53" i="15"/>
  <c r="Q52" i="15" s="1"/>
  <c r="C94" i="9"/>
  <c r="C92" i="9"/>
  <c r="F32" i="15"/>
  <c r="F60" i="15" s="1"/>
  <c r="F31" i="12"/>
  <c r="F54" i="9"/>
  <c r="F32" i="67"/>
  <c r="F60" i="67" s="1"/>
  <c r="F30" i="11"/>
  <c r="C48" i="11" s="1"/>
  <c r="M18" i="15"/>
  <c r="F30" i="69"/>
  <c r="F28" i="67"/>
  <c r="C28" i="67" s="1"/>
  <c r="F30" i="68"/>
  <c r="D68" i="9"/>
  <c r="F28" i="15"/>
  <c r="C28" i="15" s="1"/>
  <c r="M18" i="67"/>
  <c r="F52" i="9"/>
  <c r="C40" i="69"/>
  <c r="D22" i="67"/>
  <c r="D23" i="67"/>
  <c r="E10" i="43"/>
  <c r="E8" i="43"/>
  <c r="E11" i="43"/>
  <c r="E9" i="43"/>
  <c r="AH10" i="43"/>
  <c r="AD10" i="43"/>
  <c r="Z10" i="43"/>
  <c r="AG10" i="43"/>
  <c r="AC10" i="43"/>
  <c r="H66" i="43"/>
  <c r="H65" i="43"/>
  <c r="H64" i="43"/>
  <c r="H63" i="43"/>
  <c r="H62" i="43"/>
  <c r="H61" i="43"/>
  <c r="H60" i="43"/>
  <c r="H59" i="43"/>
  <c r="H67" i="43"/>
  <c r="Q16" i="1"/>
  <c r="F27" i="69" s="1"/>
  <c r="K14" i="1"/>
  <c r="M14" i="1" s="1"/>
  <c r="O14" i="1" s="1"/>
  <c r="P14" i="1" s="1"/>
  <c r="AZ14" i="3"/>
  <c r="C36" i="11"/>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38" i="3"/>
  <c r="E79" i="3"/>
  <c r="E455" i="3"/>
  <c r="E15" i="3"/>
  <c r="E473" i="3"/>
  <c r="E409" i="3"/>
  <c r="E75" i="3"/>
  <c r="E32" i="3"/>
  <c r="E93" i="3"/>
  <c r="E74"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87"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F27" i="6"/>
  <c r="F31" i="6" s="1"/>
  <c r="E51" i="40"/>
  <c r="E56" i="39"/>
  <c r="E12" i="6"/>
  <c r="E59" i="40"/>
  <c r="H16" i="1"/>
  <c r="C36" i="69"/>
  <c r="P6" i="1"/>
  <c r="O12" i="1"/>
  <c r="P12" i="1" s="1"/>
  <c r="O9" i="1"/>
  <c r="P9" i="1" s="1"/>
  <c r="O8" i="1"/>
  <c r="P8" i="1" s="1"/>
  <c r="O11" i="1"/>
  <c r="P11" i="1" s="1"/>
  <c r="E16" i="6"/>
  <c r="T9" i="1"/>
  <c r="AQ9" i="1"/>
  <c r="E56" i="40"/>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H82" i="43"/>
  <c r="H48" i="43"/>
  <c r="H50" i="43"/>
  <c r="H75" i="43"/>
  <c r="C16" i="43"/>
  <c r="C5" i="43" s="1"/>
  <c r="G16" i="1"/>
  <c r="H10" i="40" s="1"/>
  <c r="J7" i="35"/>
  <c r="G48" i="35"/>
  <c r="H48" i="35" s="1"/>
  <c r="I48" i="35" s="1"/>
  <c r="J48" i="35" s="1"/>
  <c r="K48" i="35" s="1"/>
  <c r="L48" i="35" s="1"/>
  <c r="M48" i="35" s="1"/>
  <c r="N48" i="35" s="1"/>
  <c r="O48" i="35" s="1"/>
  <c r="H7" i="35"/>
  <c r="F7" i="35"/>
  <c r="H52" i="37"/>
  <c r="I52" i="37" s="1"/>
  <c r="J52" i="37" s="1"/>
  <c r="K52" i="37" s="1"/>
  <c r="L52" i="37" s="1"/>
  <c r="M52" i="37" s="1"/>
  <c r="N52" i="37" s="1"/>
  <c r="O52" i="37" s="1"/>
  <c r="D58" i="33"/>
  <c r="E58" i="33" s="1"/>
  <c r="F58" i="33" s="1"/>
  <c r="G58" i="33" s="1"/>
  <c r="H58" i="33" s="1"/>
  <c r="I58" i="33" s="1"/>
  <c r="J58" i="33" s="1"/>
  <c r="K58" i="33" s="1"/>
  <c r="L58" i="33" s="1"/>
  <c r="M58" i="33" s="1"/>
  <c r="N58" i="33" s="1"/>
  <c r="O58" i="33" s="1"/>
  <c r="H7" i="33" s="1"/>
  <c r="J7" i="33"/>
  <c r="F7" i="33"/>
  <c r="C70" i="39"/>
  <c r="D68" i="39"/>
  <c r="I59" i="34"/>
  <c r="J59" i="34" s="1"/>
  <c r="K59" i="34" s="1"/>
  <c r="L59" i="34" s="1"/>
  <c r="M59" i="34" s="1"/>
  <c r="N59" i="34" s="1"/>
  <c r="O59" i="34" s="1"/>
  <c r="H7" i="34"/>
  <c r="F7" i="21"/>
  <c r="G58" i="21"/>
  <c r="H58" i="21" s="1"/>
  <c r="I58" i="21" s="1"/>
  <c r="J58" i="21" s="1"/>
  <c r="K58" i="21" s="1"/>
  <c r="L58" i="21" s="1"/>
  <c r="M58" i="21" s="1"/>
  <c r="N58" i="21" s="1"/>
  <c r="O58" i="21" s="1"/>
  <c r="J7" i="21"/>
  <c r="H7" i="21"/>
  <c r="E46" i="36"/>
  <c r="F46" i="36" s="1"/>
  <c r="G46" i="36" s="1"/>
  <c r="H46" i="36" s="1"/>
  <c r="I46" i="36" s="1"/>
  <c r="J46" i="36" s="1"/>
  <c r="K46" i="36" s="1"/>
  <c r="L46" i="36" s="1"/>
  <c r="M46" i="36" s="1"/>
  <c r="N46" i="36" s="1"/>
  <c r="O46" i="36" s="1"/>
  <c r="F6" i="71"/>
  <c r="F5" i="71" s="1"/>
  <c r="Y5" i="71"/>
  <c r="Z5" i="71" s="1"/>
  <c r="B7" i="49"/>
  <c r="E7" i="49"/>
  <c r="B15" i="49"/>
  <c r="AB3" i="71"/>
  <c r="X3" i="71"/>
  <c r="C19" i="83" s="1"/>
  <c r="C6" i="71"/>
  <c r="E6" i="71"/>
  <c r="E5" i="71" s="1"/>
  <c r="E10" i="49"/>
  <c r="B6" i="49"/>
  <c r="E14" i="49"/>
  <c r="AF3" i="71"/>
  <c r="P24" i="43" s="1"/>
  <c r="B66" i="40" s="1"/>
  <c r="P21" i="43"/>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C34" i="67"/>
  <c r="F63" i="67"/>
  <c r="C62" i="67" s="1"/>
  <c r="B20" i="31"/>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59" i="67"/>
  <c r="F31" i="67"/>
  <c r="F31" i="15"/>
  <c r="F59" i="15"/>
  <c r="M17" i="67"/>
  <c r="M17" i="15"/>
  <c r="D9" i="68"/>
  <c r="D19" i="12"/>
  <c r="G1" i="73"/>
  <c r="C17" i="67"/>
  <c r="C16" i="67"/>
  <c r="C16" i="15"/>
  <c r="C14" i="67"/>
  <c r="F28" i="12"/>
  <c r="C47" i="69" l="1"/>
  <c r="D45" i="69" s="1"/>
  <c r="C9" i="68"/>
  <c r="P22" i="43"/>
  <c r="P23" i="43"/>
  <c r="B71" i="39" s="1"/>
  <c r="H7" i="36"/>
  <c r="F7" i="34"/>
  <c r="J7" i="34"/>
  <c r="C21" i="71"/>
  <c r="D20" i="71"/>
  <c r="P23" i="83"/>
  <c r="P21" i="83"/>
  <c r="P25" i="83"/>
  <c r="U39" i="40"/>
  <c r="AB39" i="40"/>
  <c r="AB38" i="40"/>
  <c r="U38" i="40"/>
  <c r="AB34" i="35"/>
  <c r="U34" i="35"/>
  <c r="U9" i="34"/>
  <c r="AB9" i="34"/>
  <c r="AZ15" i="3"/>
  <c r="AZ5" i="3" s="1"/>
  <c r="AY6" i="3" s="1"/>
  <c r="F51" i="71"/>
  <c r="Q52" i="71"/>
  <c r="P22" i="83"/>
  <c r="P24" i="83"/>
  <c r="AC38" i="40"/>
  <c r="W38" i="40"/>
  <c r="W36" i="35"/>
  <c r="AC36" i="35"/>
  <c r="S34" i="35"/>
  <c r="AA34" i="35"/>
  <c r="B113" i="83"/>
  <c r="S4" i="83"/>
  <c r="Z7" i="83"/>
  <c r="AB11" i="83"/>
  <c r="AB13" i="83" s="1"/>
  <c r="AF11" i="83"/>
  <c r="AF13" i="83" s="1"/>
  <c r="AJ11" i="83"/>
  <c r="AJ13" i="83" s="1"/>
  <c r="D101" i="83"/>
  <c r="H101" i="83"/>
  <c r="L101" i="83"/>
  <c r="G22" i="83"/>
  <c r="C23" i="83"/>
  <c r="S5" i="83"/>
  <c r="S6" i="83"/>
  <c r="AA11" i="83"/>
  <c r="AA13" i="83" s="1"/>
  <c r="AE11" i="83"/>
  <c r="AE13" i="83" s="1"/>
  <c r="AI11" i="83"/>
  <c r="AI13" i="83" s="1"/>
  <c r="F22" i="83"/>
  <c r="E101" i="83"/>
  <c r="I101" i="83"/>
  <c r="M101" i="83"/>
  <c r="C101" i="83"/>
  <c r="G101" i="83"/>
  <c r="K101" i="83"/>
  <c r="S2" i="83"/>
  <c r="S7" i="83"/>
  <c r="Z11" i="83"/>
  <c r="Z13" i="83" s="1"/>
  <c r="AD11" i="83"/>
  <c r="AD13" i="83" s="1"/>
  <c r="AH11" i="83"/>
  <c r="AH13" i="83" s="1"/>
  <c r="F101" i="83"/>
  <c r="J101" i="83"/>
  <c r="N101" i="83"/>
  <c r="E22" i="83"/>
  <c r="J22" i="83"/>
  <c r="S3" i="83"/>
  <c r="Y11" i="83"/>
  <c r="Y13" i="83" s="1"/>
  <c r="AC11" i="83"/>
  <c r="AC13" i="83" s="1"/>
  <c r="AG11" i="83"/>
  <c r="AG13" i="83" s="1"/>
  <c r="H22" i="83"/>
  <c r="D10" i="52"/>
  <c r="D125" i="9"/>
  <c r="D11" i="52" s="1"/>
  <c r="H14" i="74"/>
  <c r="B7" i="74" s="1"/>
  <c r="E562" i="3"/>
  <c r="E556" i="3"/>
  <c r="E497" i="3"/>
  <c r="E494" i="3"/>
  <c r="E452" i="3"/>
  <c r="E470" i="3"/>
  <c r="E420" i="3"/>
  <c r="E26" i="3"/>
  <c r="E104" i="3"/>
  <c r="E41" i="3"/>
  <c r="E115" i="3"/>
  <c r="E198" i="3"/>
  <c r="E139" i="3"/>
  <c r="E225" i="3"/>
  <c r="E281" i="3"/>
  <c r="E243" i="3"/>
  <c r="E332" i="3"/>
  <c r="E391" i="3"/>
  <c r="E356" i="3"/>
  <c r="AL6" i="3"/>
  <c r="E42" i="3"/>
  <c r="E94" i="3"/>
  <c r="E488" i="3"/>
  <c r="E482" i="3"/>
  <c r="E18" i="3"/>
  <c r="E78" i="3"/>
  <c r="E138" i="3"/>
  <c r="E195" i="3"/>
  <c r="E163" i="3"/>
  <c r="E248" i="3"/>
  <c r="E209" i="3"/>
  <c r="E266" i="3"/>
  <c r="E307" i="3"/>
  <c r="E386" i="3"/>
  <c r="E354" i="3"/>
  <c r="E584" i="3"/>
  <c r="E66" i="3"/>
  <c r="E24"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H6" i="3"/>
  <c r="J6" i="3"/>
  <c r="E498" i="3"/>
  <c r="E419" i="3"/>
  <c r="E483" i="3"/>
  <c r="E401" i="3"/>
  <c r="E463" i="3"/>
  <c r="E40" i="3"/>
  <c r="E25" i="3"/>
  <c r="E108" i="3"/>
  <c r="E178" i="3"/>
  <c r="E119" i="3"/>
  <c r="E202" i="3"/>
  <c r="E242" i="3"/>
  <c r="E226" i="3"/>
  <c r="E276" i="3"/>
  <c r="E346" i="3"/>
  <c r="E333" i="3"/>
  <c r="E372" i="3"/>
  <c r="L6" i="3"/>
  <c r="E60" i="3"/>
  <c r="E43" i="3"/>
  <c r="E428" i="3"/>
  <c r="E412" i="3"/>
  <c r="E96" i="3"/>
  <c r="E103" i="3"/>
  <c r="E160" i="3"/>
  <c r="E142" i="3"/>
  <c r="E200" i="3"/>
  <c r="E267" i="3"/>
  <c r="E249" i="3"/>
  <c r="E300" i="3"/>
  <c r="E371" i="3"/>
  <c r="E310" i="3"/>
  <c r="E492" i="3"/>
  <c r="E23" i="3"/>
  <c r="E84" i="3"/>
  <c r="E67"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B38" i="72"/>
  <c r="D20" i="53"/>
  <c r="B40" i="72" s="1"/>
  <c r="E65" i="40"/>
  <c r="F63" i="40"/>
  <c r="O17" i="83"/>
  <c r="M17" i="83"/>
  <c r="P17" i="83"/>
  <c r="N17" i="83"/>
  <c r="G20" i="83" s="1"/>
  <c r="C29" i="69"/>
  <c r="D27" i="69" s="1"/>
  <c r="M11" i="80"/>
  <c r="F11" i="80"/>
  <c r="M11" i="79"/>
  <c r="F11" i="79"/>
  <c r="F1" i="15"/>
  <c r="C30" i="11"/>
  <c r="C30" i="68"/>
  <c r="C48" i="68"/>
  <c r="C48" i="69"/>
  <c r="C30" i="69"/>
  <c r="C29" i="12"/>
  <c r="D28" i="12" s="1"/>
  <c r="C19" i="12"/>
  <c r="C7" i="43"/>
  <c r="D5" i="43"/>
  <c r="F27" i="11"/>
  <c r="C29" i="11" s="1"/>
  <c r="D27" i="11" s="1"/>
  <c r="K16" i="1"/>
  <c r="M16" i="1"/>
  <c r="C34" i="69"/>
  <c r="C38" i="69" s="1"/>
  <c r="E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01" i="3"/>
  <c r="AY190" i="3"/>
  <c r="AY165" i="3"/>
  <c r="AY125" i="3"/>
  <c r="AY278" i="3"/>
  <c r="AY262" i="3"/>
  <c r="AY230" i="3"/>
  <c r="AY397" i="3"/>
  <c r="AY374" i="3"/>
  <c r="BH6" i="3"/>
  <c r="AY73" i="3"/>
  <c r="AY56" i="3"/>
  <c r="AY166" i="3"/>
  <c r="AY145" i="3"/>
  <c r="AY259" i="3"/>
  <c r="AY388" i="3"/>
  <c r="AY333" i="3"/>
  <c r="AY316" i="3"/>
  <c r="AY472" i="3"/>
  <c r="AY430" i="3"/>
  <c r="AY398" i="3"/>
  <c r="BQ6" i="3"/>
  <c r="AY534" i="3"/>
  <c r="AY495" i="3"/>
  <c r="BG6" i="3"/>
  <c r="AY494" i="3"/>
  <c r="AY101" i="3"/>
  <c r="AY48" i="3"/>
  <c r="AY194" i="3"/>
  <c r="AY137" i="3"/>
  <c r="AY251" i="3"/>
  <c r="AY234" i="3"/>
  <c r="AY364" i="3"/>
  <c r="AY344" i="3"/>
  <c r="AY471" i="3"/>
  <c r="AY468" i="3"/>
  <c r="AY426" i="3"/>
  <c r="AY439" i="3"/>
  <c r="AY506" i="3"/>
  <c r="AY524" i="3"/>
  <c r="AY565" i="3"/>
  <c r="AY570" i="3"/>
  <c r="AY99" i="3"/>
  <c r="AY46" i="3"/>
  <c r="AY156" i="3"/>
  <c r="AY135" i="3"/>
  <c r="AY285" i="3"/>
  <c r="AY249" i="3"/>
  <c r="AY232" i="3"/>
  <c r="AY221" i="3"/>
  <c r="AY376" i="3"/>
  <c r="AY331" i="3"/>
  <c r="AY314" i="3"/>
  <c r="AY469" i="3"/>
  <c r="AY456" i="3"/>
  <c r="AY437" i="3"/>
  <c r="AY558" i="3"/>
  <c r="AY517" i="3"/>
  <c r="AY512" i="3"/>
  <c r="AY587" i="3"/>
  <c r="AY86" i="3"/>
  <c r="AY55" i="3"/>
  <c r="AY38" i="3"/>
  <c r="AY184" i="3"/>
  <c r="AY148" i="3"/>
  <c r="AY128" i="3"/>
  <c r="AY119" i="3"/>
  <c r="AY273" i="3"/>
  <c r="AY241" i="3"/>
  <c r="AY224" i="3"/>
  <c r="AY391" i="3"/>
  <c r="AY367" i="3"/>
  <c r="AY323" i="3"/>
  <c r="AY306" i="3"/>
  <c r="AY459" i="3"/>
  <c r="AY416" i="3"/>
  <c r="AY429" i="3"/>
  <c r="BD6" i="3"/>
  <c r="BC6" i="3"/>
  <c r="AY511" i="3"/>
  <c r="AY58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549" i="3"/>
  <c r="AY544" i="3"/>
  <c r="AY533" i="3"/>
  <c r="BE6" i="3"/>
  <c r="AY97" i="3"/>
  <c r="AY92" i="3"/>
  <c r="AY61" i="3"/>
  <c r="AY76" i="3"/>
  <c r="AY44" i="3"/>
  <c r="AY33" i="3"/>
  <c r="AY185" i="3"/>
  <c r="AY154" i="3"/>
  <c r="AY133" i="3"/>
  <c r="AY283" i="3"/>
  <c r="AY247" i="3"/>
  <c r="AY219" i="3"/>
  <c r="AY360" i="3"/>
  <c r="AY109" i="3"/>
  <c r="AY202" i="3"/>
  <c r="AY295" i="3"/>
  <c r="AY242" i="3"/>
  <c r="AY353" i="3"/>
  <c r="AY348" i="3"/>
  <c r="AY475" i="3"/>
  <c r="AY462" i="3"/>
  <c r="AY411" i="3"/>
  <c r="AY585" i="3"/>
  <c r="AY571" i="3"/>
  <c r="AY501" i="3"/>
  <c r="AY582" i="3"/>
  <c r="AY65" i="3"/>
  <c r="AY158" i="3"/>
  <c r="AY287" i="3"/>
  <c r="AY380" i="3"/>
  <c r="AY329" i="3"/>
  <c r="AY312" i="3"/>
  <c r="AY458" i="3"/>
  <c r="AY407" i="3"/>
  <c r="AY14" i="3"/>
  <c r="AY542" i="3"/>
  <c r="AY578" i="3"/>
  <c r="AY63" i="3"/>
  <c r="AY192" i="3"/>
  <c r="AY127" i="3"/>
  <c r="AY280" i="3"/>
  <c r="AY264" i="3"/>
  <c r="AY378" i="3"/>
  <c r="AY362" i="3"/>
  <c r="AY346" i="3"/>
  <c r="AY466" i="3"/>
  <c r="AY424" i="3"/>
  <c r="AY405" i="3"/>
  <c r="AY560" i="3"/>
  <c r="BL6" i="3"/>
  <c r="AY91" i="3"/>
  <c r="AY70" i="3"/>
  <c r="AY27" i="3"/>
  <c r="AY179" i="3"/>
  <c r="AY159" i="3"/>
  <c r="AY277" i="3"/>
  <c r="AY256" i="3"/>
  <c r="AY213" i="3"/>
  <c r="AY354" i="3"/>
  <c r="AY338" i="3"/>
  <c r="AY490" i="3"/>
  <c r="AY448" i="3"/>
  <c r="AY550" i="3"/>
  <c r="AY504" i="3"/>
  <c r="AY498" i="3"/>
  <c r="D3" i="34"/>
  <c r="D3" i="33"/>
  <c r="D19" i="11"/>
  <c r="C19" i="11" s="1"/>
  <c r="C20" i="11" s="1"/>
  <c r="L18" i="9"/>
  <c r="D3" i="37"/>
  <c r="E6" i="6"/>
  <c r="D37" i="11"/>
  <c r="C37" i="11" s="1"/>
  <c r="M18" i="9"/>
  <c r="B118" i="9" s="1"/>
  <c r="B14" i="74" s="1"/>
  <c r="B1" i="74" s="1"/>
  <c r="D3" i="21"/>
  <c r="C17" i="4"/>
  <c r="B4" i="52" s="1"/>
  <c r="B43" i="72" s="1"/>
  <c r="E27" i="6"/>
  <c r="E62" i="39"/>
  <c r="E66" i="39" s="1"/>
  <c r="E57" i="40"/>
  <c r="D12" i="6"/>
  <c r="D22" i="43"/>
  <c r="AC6" i="3"/>
  <c r="H6" i="3"/>
  <c r="O16" i="1"/>
  <c r="C47" i="11"/>
  <c r="D45" i="11" s="1"/>
  <c r="C34" i="11"/>
  <c r="P16" i="1"/>
  <c r="I109" i="43"/>
  <c r="I102" i="43"/>
  <c r="I106" i="43"/>
  <c r="I103" i="43"/>
  <c r="I104" i="43"/>
  <c r="I107" i="43"/>
  <c r="I105" i="43"/>
  <c r="D109" i="43"/>
  <c r="D103" i="43"/>
  <c r="D104" i="43"/>
  <c r="D107" i="43"/>
  <c r="D105" i="43"/>
  <c r="D106" i="43"/>
  <c r="D102" i="43"/>
  <c r="F104" i="43"/>
  <c r="F102" i="43"/>
  <c r="F105" i="43"/>
  <c r="F109" i="43"/>
  <c r="F107" i="43"/>
  <c r="F106" i="43"/>
  <c r="F103" i="43"/>
  <c r="H107" i="43"/>
  <c r="H106" i="43"/>
  <c r="H105" i="43"/>
  <c r="H102" i="43"/>
  <c r="H103" i="43"/>
  <c r="H104"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E104" i="43"/>
  <c r="E107" i="43"/>
  <c r="E105" i="43"/>
  <c r="E109" i="43"/>
  <c r="E102" i="43"/>
  <c r="E106" i="43"/>
  <c r="E103" i="43"/>
  <c r="M109" i="43"/>
  <c r="M104" i="43"/>
  <c r="M107" i="43"/>
  <c r="M105" i="43"/>
  <c r="M102" i="43"/>
  <c r="M106" i="43"/>
  <c r="M103" i="43"/>
  <c r="N102" i="43"/>
  <c r="N105" i="43"/>
  <c r="N104" i="43"/>
  <c r="N109" i="43"/>
  <c r="N103" i="43"/>
  <c r="N106" i="43"/>
  <c r="N107" i="43"/>
  <c r="K103" i="43"/>
  <c r="K102" i="43"/>
  <c r="K105" i="43"/>
  <c r="K109" i="43"/>
  <c r="K107" i="43"/>
  <c r="K104" i="43"/>
  <c r="K106" i="43"/>
  <c r="L102" i="43"/>
  <c r="L105" i="43"/>
  <c r="L104" i="43"/>
  <c r="L109" i="43"/>
  <c r="L106" i="43"/>
  <c r="L107" i="43"/>
  <c r="L103" i="43"/>
  <c r="J107" i="43"/>
  <c r="J102" i="43"/>
  <c r="J109" i="43"/>
  <c r="J104" i="43"/>
  <c r="J105" i="43"/>
  <c r="J103" i="43"/>
  <c r="J106" i="43"/>
  <c r="G107" i="43"/>
  <c r="G104" i="43"/>
  <c r="G106" i="43"/>
  <c r="G105" i="43"/>
  <c r="G102" i="43"/>
  <c r="G103" i="43"/>
  <c r="G109" i="43"/>
  <c r="H10" i="39"/>
  <c r="U10" i="39" s="1"/>
  <c r="J10" i="39"/>
  <c r="AC10" i="39" s="1"/>
  <c r="F10" i="39"/>
  <c r="S10" i="39" s="1"/>
  <c r="F10" i="40"/>
  <c r="S10" i="40" s="1"/>
  <c r="J10" i="40"/>
  <c r="AC10" i="40" s="1"/>
  <c r="AB7" i="33"/>
  <c r="T48" i="33" s="1"/>
  <c r="G48" i="33" s="1"/>
  <c r="U7" i="33"/>
  <c r="AC7" i="21"/>
  <c r="V48" i="21" s="1"/>
  <c r="I48" i="21" s="1"/>
  <c r="W7" i="21"/>
  <c r="S7" i="21"/>
  <c r="AA7" i="21"/>
  <c r="R48" i="21" s="1"/>
  <c r="U7" i="34"/>
  <c r="AB7" i="34"/>
  <c r="T49" i="34" s="1"/>
  <c r="G49" i="34" s="1"/>
  <c r="U10" i="40"/>
  <c r="AB10" i="40"/>
  <c r="W7" i="33"/>
  <c r="AC7" i="33"/>
  <c r="V48" i="33" s="1"/>
  <c r="I48" i="33" s="1"/>
  <c r="U7" i="35"/>
  <c r="AB7" i="35"/>
  <c r="T38" i="35" s="1"/>
  <c r="G38" i="35" s="1"/>
  <c r="W7" i="35"/>
  <c r="AC7" i="35"/>
  <c r="V38" i="35" s="1"/>
  <c r="I38" i="35" s="1"/>
  <c r="F7" i="36"/>
  <c r="H7" i="37"/>
  <c r="U7" i="36"/>
  <c r="AB7" i="36"/>
  <c r="T36" i="36" s="1"/>
  <c r="G36" i="36" s="1"/>
  <c r="AB7" i="21"/>
  <c r="T48" i="21" s="1"/>
  <c r="G48" i="21" s="1"/>
  <c r="U7" i="21"/>
  <c r="S7" i="34"/>
  <c r="AA7" i="34"/>
  <c r="R49" i="34" s="1"/>
  <c r="W7" i="34"/>
  <c r="AC7" i="34"/>
  <c r="V49" i="34" s="1"/>
  <c r="I49" i="34" s="1"/>
  <c r="D70" i="39"/>
  <c r="E68" i="39"/>
  <c r="S7" i="33"/>
  <c r="AA7" i="33"/>
  <c r="R48" i="33" s="1"/>
  <c r="AA7" i="35"/>
  <c r="R38" i="35" s="1"/>
  <c r="S7" i="35"/>
  <c r="J7" i="36"/>
  <c r="J7" i="37"/>
  <c r="F7" i="37"/>
  <c r="C5" i="71"/>
  <c r="D6" i="71"/>
  <c r="P25" i="43"/>
  <c r="C49" i="67"/>
  <c r="C49" i="15"/>
  <c r="B40" i="1"/>
  <c r="C18" i="67"/>
  <c r="C15" i="67"/>
  <c r="M11" i="15"/>
  <c r="J10" i="15" s="1"/>
  <c r="J5" i="15" s="1"/>
  <c r="F11" i="67"/>
  <c r="F11" i="15"/>
  <c r="M11" i="67"/>
  <c r="J10" i="67" s="1"/>
  <c r="J5" i="67" s="1"/>
  <c r="Q73" i="67"/>
  <c r="Q60" i="67"/>
  <c r="P17" i="43"/>
  <c r="M17" i="43"/>
  <c r="N17" i="43"/>
  <c r="G20" i="43" s="1"/>
  <c r="O17" i="43"/>
  <c r="Q60" i="15"/>
  <c r="Q73" i="15"/>
  <c r="Q74" i="15"/>
  <c r="Q61" i="15"/>
  <c r="Q61" i="67"/>
  <c r="Q74" i="67"/>
  <c r="F27" i="68"/>
  <c r="C34" i="68"/>
  <c r="M28" i="79"/>
  <c r="F13" i="79"/>
  <c r="M26" i="79"/>
  <c r="F6" i="79"/>
  <c r="F16" i="79"/>
  <c r="M29" i="79"/>
  <c r="L48" i="79"/>
  <c r="M6" i="79"/>
  <c r="J15" i="79"/>
  <c r="F36" i="79"/>
  <c r="F7" i="79"/>
  <c r="M27" i="79"/>
  <c r="F43" i="79"/>
  <c r="C13" i="81"/>
  <c r="F28" i="81"/>
  <c r="D19" i="81"/>
  <c r="F7" i="80"/>
  <c r="M23" i="80"/>
  <c r="F37" i="80"/>
  <c r="F8" i="80"/>
  <c r="M22" i="80"/>
  <c r="F36" i="80"/>
  <c r="C76" i="80"/>
  <c r="M8" i="80"/>
  <c r="F26" i="80"/>
  <c r="F40" i="80"/>
  <c r="F9" i="80"/>
  <c r="M24" i="80"/>
  <c r="F38" i="80"/>
  <c r="F43" i="80"/>
  <c r="F28" i="82"/>
  <c r="AE6" i="1"/>
  <c r="F41" i="15"/>
  <c r="M9" i="79"/>
  <c r="F8" i="79"/>
  <c r="M22" i="79"/>
  <c r="F42" i="79"/>
  <c r="M8" i="79"/>
  <c r="F26" i="79"/>
  <c r="F40" i="79"/>
  <c r="F38" i="79"/>
  <c r="F9" i="79"/>
  <c r="M24" i="79"/>
  <c r="C76" i="79"/>
  <c r="M23" i="79"/>
  <c r="F37" i="79"/>
  <c r="L47" i="79"/>
  <c r="M9" i="80"/>
  <c r="M27" i="80"/>
  <c r="L48" i="80"/>
  <c r="F13" i="80"/>
  <c r="M26" i="80"/>
  <c r="F42" i="80"/>
  <c r="F6" i="80"/>
  <c r="F16" i="80"/>
  <c r="M29" i="80"/>
  <c r="M6" i="80"/>
  <c r="J15" i="80"/>
  <c r="M28" i="80"/>
  <c r="L47" i="80"/>
  <c r="D19" i="82"/>
  <c r="C13" i="82"/>
  <c r="C38" i="68" l="1"/>
  <c r="C29" i="68"/>
  <c r="D27" i="68" s="1"/>
  <c r="C19" i="82"/>
  <c r="N59" i="80"/>
  <c r="L58" i="80"/>
  <c r="M59" i="80"/>
  <c r="L59" i="80"/>
  <c r="C6" i="80"/>
  <c r="J57" i="80"/>
  <c r="J55" i="80" s="1"/>
  <c r="J58" i="80" s="1"/>
  <c r="Q50" i="80" s="1"/>
  <c r="I54" i="80"/>
  <c r="J53" i="80"/>
  <c r="M59" i="79"/>
  <c r="L59" i="79"/>
  <c r="N59" i="79"/>
  <c r="L58" i="79"/>
  <c r="F65" i="79"/>
  <c r="Q71" i="79"/>
  <c r="F66" i="79"/>
  <c r="F68" i="79"/>
  <c r="C27" i="79"/>
  <c r="F51" i="79"/>
  <c r="C29" i="82"/>
  <c r="D28" i="82" s="1"/>
  <c r="F71" i="80"/>
  <c r="F66" i="80"/>
  <c r="F68" i="80"/>
  <c r="C27" i="80"/>
  <c r="Q71" i="80"/>
  <c r="F64" i="80"/>
  <c r="F51" i="80"/>
  <c r="F65" i="80"/>
  <c r="F50" i="80"/>
  <c r="M7" i="80"/>
  <c r="J6" i="80" s="1"/>
  <c r="J10" i="80" s="1"/>
  <c r="J5" i="80" s="1"/>
  <c r="J24" i="80" s="1"/>
  <c r="C19" i="81"/>
  <c r="C29" i="81"/>
  <c r="D28" i="81" s="1"/>
  <c r="F71" i="79"/>
  <c r="M7" i="79"/>
  <c r="J6" i="79" s="1"/>
  <c r="J10" i="79" s="1"/>
  <c r="J5" i="79" s="1"/>
  <c r="F50" i="79"/>
  <c r="F64" i="79"/>
  <c r="J57" i="79"/>
  <c r="J55" i="79" s="1"/>
  <c r="J58" i="79" s="1"/>
  <c r="Q50" i="79" s="1"/>
  <c r="I54" i="79"/>
  <c r="J53" i="79"/>
  <c r="C6" i="79"/>
  <c r="F65" i="40"/>
  <c r="G63" i="40"/>
  <c r="D22" i="83"/>
  <c r="C21" i="83" s="1"/>
  <c r="J106" i="83"/>
  <c r="J104" i="83"/>
  <c r="J102" i="83"/>
  <c r="J107" i="83"/>
  <c r="J105" i="83"/>
  <c r="J103" i="83"/>
  <c r="J109" i="83"/>
  <c r="G106" i="83"/>
  <c r="G104" i="83"/>
  <c r="G102" i="83"/>
  <c r="G109" i="83"/>
  <c r="G107" i="83"/>
  <c r="G105" i="83"/>
  <c r="G103" i="83"/>
  <c r="M106" i="83"/>
  <c r="M104" i="83"/>
  <c r="M102" i="83"/>
  <c r="M109" i="83"/>
  <c r="M107" i="83"/>
  <c r="M105" i="83"/>
  <c r="M103" i="83"/>
  <c r="E106" i="83"/>
  <c r="E104" i="83"/>
  <c r="E102" i="83"/>
  <c r="E109" i="83"/>
  <c r="E107" i="83"/>
  <c r="E105" i="83"/>
  <c r="E103" i="83"/>
  <c r="H107" i="83"/>
  <c r="H105" i="83"/>
  <c r="H103" i="83"/>
  <c r="H109" i="83"/>
  <c r="H106" i="83"/>
  <c r="H104" i="83"/>
  <c r="H102" i="83"/>
  <c r="T21" i="71"/>
  <c r="D21" i="71"/>
  <c r="N106" i="83"/>
  <c r="N104" i="83"/>
  <c r="N102" i="83"/>
  <c r="N109" i="83"/>
  <c r="N107" i="83"/>
  <c r="N105" i="83"/>
  <c r="N103" i="83"/>
  <c r="F106" i="83"/>
  <c r="F104" i="83"/>
  <c r="F102" i="83"/>
  <c r="F109" i="83"/>
  <c r="F107" i="83"/>
  <c r="F105" i="83"/>
  <c r="F103" i="83"/>
  <c r="K106" i="83"/>
  <c r="K104" i="83"/>
  <c r="K102" i="83"/>
  <c r="K107" i="83"/>
  <c r="K105" i="83"/>
  <c r="K103" i="83"/>
  <c r="K109" i="83"/>
  <c r="C106" i="83"/>
  <c r="C104" i="83"/>
  <c r="C102" i="83"/>
  <c r="C107" i="83"/>
  <c r="C105" i="83"/>
  <c r="C103" i="83"/>
  <c r="C109" i="83"/>
  <c r="I106" i="83"/>
  <c r="I104" i="83"/>
  <c r="I102" i="83"/>
  <c r="I107" i="83"/>
  <c r="I105" i="83"/>
  <c r="I103" i="83"/>
  <c r="I109" i="83"/>
  <c r="L107" i="83"/>
  <c r="L105" i="83"/>
  <c r="L103" i="83"/>
  <c r="L106" i="83"/>
  <c r="L104" i="83"/>
  <c r="L102" i="83"/>
  <c r="L109" i="83"/>
  <c r="D107" i="83"/>
  <c r="D105" i="83"/>
  <c r="D103" i="83"/>
  <c r="D106" i="83"/>
  <c r="D104" i="83"/>
  <c r="D102" i="83"/>
  <c r="D109" i="83"/>
  <c r="B118" i="83"/>
  <c r="C118" i="83" s="1"/>
  <c r="B117" i="83"/>
  <c r="C117" i="83" s="1"/>
  <c r="B116" i="83"/>
  <c r="C116" i="83" s="1"/>
  <c r="B115" i="83"/>
  <c r="G118" i="83"/>
  <c r="H118" i="83" s="1"/>
  <c r="I116" i="83"/>
  <c r="J116" i="83" s="1"/>
  <c r="K116" i="83" s="1"/>
  <c r="L116" i="83" s="1"/>
  <c r="M116" i="83" s="1"/>
  <c r="D118" i="83"/>
  <c r="E118" i="83" s="1"/>
  <c r="F118" i="83" s="1"/>
  <c r="D117" i="83"/>
  <c r="E117" i="83" s="1"/>
  <c r="F117" i="83" s="1"/>
  <c r="G117" i="83" s="1"/>
  <c r="H117" i="83" s="1"/>
  <c r="D116" i="83"/>
  <c r="E116" i="83" s="1"/>
  <c r="F116" i="83" s="1"/>
  <c r="G116" i="83" s="1"/>
  <c r="H116" i="83" s="1"/>
  <c r="D115" i="83"/>
  <c r="E115" i="83" s="1"/>
  <c r="F115" i="83" s="1"/>
  <c r="G115" i="83" s="1"/>
  <c r="H115" i="83" s="1"/>
  <c r="I118" i="83"/>
  <c r="J118" i="83" s="1"/>
  <c r="K118" i="83" s="1"/>
  <c r="L118" i="83" s="1"/>
  <c r="M118" i="83" s="1"/>
  <c r="I117" i="83"/>
  <c r="J117" i="83" s="1"/>
  <c r="K117" i="83" s="1"/>
  <c r="L117" i="83" s="1"/>
  <c r="M117" i="83" s="1"/>
  <c r="I115" i="83"/>
  <c r="J115" i="83" s="1"/>
  <c r="K115" i="83" s="1"/>
  <c r="L115" i="83" s="1"/>
  <c r="M115" i="83" s="1"/>
  <c r="Q51" i="71"/>
  <c r="Q50" i="71"/>
  <c r="E41" i="83"/>
  <c r="C41" i="83" s="1"/>
  <c r="C20" i="83"/>
  <c r="F25" i="81"/>
  <c r="C26" i="81" s="1"/>
  <c r="D25" i="81" s="1"/>
  <c r="F25" i="82"/>
  <c r="C26" i="82" s="1"/>
  <c r="D25" i="82" s="1"/>
  <c r="F24" i="79"/>
  <c r="C24" i="79" s="1"/>
  <c r="F24" i="80"/>
  <c r="C53" i="80"/>
  <c r="C10" i="80"/>
  <c r="C5" i="80" s="1"/>
  <c r="C53" i="79"/>
  <c r="C10" i="79"/>
  <c r="C5" i="79" s="1"/>
  <c r="F69" i="15"/>
  <c r="C35" i="69"/>
  <c r="E41" i="43"/>
  <c r="C41" i="43" s="1"/>
  <c r="C20" i="43"/>
  <c r="C35" i="68"/>
  <c r="L16" i="1"/>
  <c r="AB10" i="39"/>
  <c r="AA10" i="39"/>
  <c r="W10" i="40"/>
  <c r="C47" i="68"/>
  <c r="D45" i="68" s="1"/>
  <c r="N16" i="1"/>
  <c r="F50" i="68" s="1"/>
  <c r="W10" i="39"/>
  <c r="AA10" i="40"/>
  <c r="E6" i="3"/>
  <c r="K26" i="6"/>
  <c r="M26" i="6" s="1"/>
  <c r="I26" i="6" s="1"/>
  <c r="S26" i="6" s="1"/>
  <c r="K19" i="6"/>
  <c r="S6" i="1" s="1"/>
  <c r="K25" i="6"/>
  <c r="M25" i="6" s="1"/>
  <c r="I25" i="6" s="1"/>
  <c r="S25" i="6" s="1"/>
  <c r="E31" i="6"/>
  <c r="K22" i="6"/>
  <c r="M22" i="6" s="1"/>
  <c r="I22" i="6" s="1"/>
  <c r="S22" i="6" s="1"/>
  <c r="K23" i="6"/>
  <c r="M23" i="6" s="1"/>
  <c r="I23" i="6" s="1"/>
  <c r="S23" i="6" s="1"/>
  <c r="K21" i="6"/>
  <c r="K20" i="6"/>
  <c r="K24" i="6"/>
  <c r="M24" i="6" s="1"/>
  <c r="I24" i="6" s="1"/>
  <c r="S24" i="6" s="1"/>
  <c r="C8" i="74"/>
  <c r="C7" i="74"/>
  <c r="D10" i="11"/>
  <c r="C10" i="11" s="1"/>
  <c r="D10" i="69"/>
  <c r="C28" i="11"/>
  <c r="C27" i="11" s="1"/>
  <c r="D19" i="6"/>
  <c r="D26" i="6"/>
  <c r="C18" i="4"/>
  <c r="D8" i="6"/>
  <c r="D23" i="6"/>
  <c r="D20" i="6"/>
  <c r="D5" i="6"/>
  <c r="D10" i="6"/>
  <c r="L19" i="9"/>
  <c r="D29" i="6"/>
  <c r="M19" i="9"/>
  <c r="C118" i="9" s="1"/>
  <c r="C14" i="74" s="1"/>
  <c r="B2" i="74" s="1"/>
  <c r="D22" i="6"/>
  <c r="D25" i="6"/>
  <c r="D15" i="6"/>
  <c r="D21" i="6"/>
  <c r="D24" i="6"/>
  <c r="D9" i="6"/>
  <c r="D13" i="6"/>
  <c r="D28" i="6"/>
  <c r="E61" i="40"/>
  <c r="D11" i="6"/>
  <c r="D6" i="6"/>
  <c r="H23" i="6"/>
  <c r="D14" i="6"/>
  <c r="C38" i="11"/>
  <c r="C35" i="11"/>
  <c r="C115" i="43"/>
  <c r="D113" i="43" s="1"/>
  <c r="S5" i="43"/>
  <c r="S3" i="43"/>
  <c r="S6" i="43"/>
  <c r="S7" i="43"/>
  <c r="S2" i="43"/>
  <c r="C23" i="43"/>
  <c r="C21" i="43" s="1"/>
  <c r="S4" i="43"/>
  <c r="AA7" i="37"/>
  <c r="R42" i="37" s="1"/>
  <c r="S7" i="37"/>
  <c r="AC7" i="36"/>
  <c r="V36" i="36" s="1"/>
  <c r="I36" i="36" s="1"/>
  <c r="W7" i="36"/>
  <c r="R39" i="35"/>
  <c r="E38" i="35"/>
  <c r="G52" i="21"/>
  <c r="H52" i="21" s="1"/>
  <c r="G53" i="21"/>
  <c r="H53" i="21" s="1"/>
  <c r="S7" i="36"/>
  <c r="AA7" i="36"/>
  <c r="R36" i="36" s="1"/>
  <c r="I42" i="35"/>
  <c r="J42" i="35" s="1"/>
  <c r="I43" i="35"/>
  <c r="J43" i="35" s="1"/>
  <c r="G42" i="35"/>
  <c r="H42" i="35" s="1"/>
  <c r="G43" i="35"/>
  <c r="H43" i="35" s="1"/>
  <c r="I52" i="33"/>
  <c r="J52" i="33" s="1"/>
  <c r="I52" i="21"/>
  <c r="J52" i="21" s="1"/>
  <c r="G52" i="33"/>
  <c r="H52" i="33" s="1"/>
  <c r="G53" i="33"/>
  <c r="H53" i="33" s="1"/>
  <c r="W7" i="37"/>
  <c r="AC7" i="37"/>
  <c r="V42" i="37" s="1"/>
  <c r="I42" i="37" s="1"/>
  <c r="E48" i="33"/>
  <c r="R49" i="33"/>
  <c r="F68" i="39"/>
  <c r="E70" i="39"/>
  <c r="I53" i="34"/>
  <c r="J53" i="34" s="1"/>
  <c r="E49" i="34"/>
  <c r="R50" i="34"/>
  <c r="G40" i="36"/>
  <c r="H40" i="36" s="1"/>
  <c r="G41" i="36"/>
  <c r="H41" i="36" s="1"/>
  <c r="AB7" i="37"/>
  <c r="T42" i="37" s="1"/>
  <c r="G42" i="37" s="1"/>
  <c r="U7" i="37"/>
  <c r="G53" i="34"/>
  <c r="H53" i="34" s="1"/>
  <c r="G54" i="34"/>
  <c r="H54" i="34" s="1"/>
  <c r="R49" i="21"/>
  <c r="E48" i="21"/>
  <c r="I53" i="21" s="1"/>
  <c r="J53" i="21" s="1"/>
  <c r="D5"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D10" i="68"/>
  <c r="C16" i="79"/>
  <c r="C16" i="80"/>
  <c r="D14" i="12"/>
  <c r="C17" i="15"/>
  <c r="D20" i="12"/>
  <c r="J18" i="80" l="1"/>
  <c r="J26" i="80"/>
  <c r="C14" i="12"/>
  <c r="D17" i="12"/>
  <c r="C17" i="12" s="1"/>
  <c r="J26" i="79"/>
  <c r="J18" i="79"/>
  <c r="J24" i="79"/>
  <c r="H24" i="6"/>
  <c r="E6" i="70"/>
  <c r="C115" i="83"/>
  <c r="D113" i="83"/>
  <c r="L56" i="79"/>
  <c r="Q52" i="79"/>
  <c r="F1" i="79"/>
  <c r="C49" i="79"/>
  <c r="Q73" i="79"/>
  <c r="Q60" i="79"/>
  <c r="Q74" i="79"/>
  <c r="Q61" i="79"/>
  <c r="L56" i="80"/>
  <c r="Q52" i="80"/>
  <c r="F1" i="80"/>
  <c r="C48" i="79"/>
  <c r="C66" i="79" s="1"/>
  <c r="G65" i="40"/>
  <c r="H63" i="40"/>
  <c r="M20" i="83"/>
  <c r="C49" i="80"/>
  <c r="C48" i="80" s="1"/>
  <c r="Q74" i="80"/>
  <c r="Q61" i="80"/>
  <c r="Q73" i="80"/>
  <c r="Q60" i="80"/>
  <c r="C39" i="83"/>
  <c r="C38" i="83"/>
  <c r="C37" i="83"/>
  <c r="C35" i="83"/>
  <c r="C33" i="83"/>
  <c r="C36" i="83"/>
  <c r="C34" i="83"/>
  <c r="T16" i="83"/>
  <c r="V16" i="83" s="1"/>
  <c r="T10" i="83"/>
  <c r="V10" i="83" s="1"/>
  <c r="T4" i="83"/>
  <c r="V4" i="83" s="1"/>
  <c r="T13" i="83"/>
  <c r="V13" i="83" s="1"/>
  <c r="T6" i="83"/>
  <c r="V6" i="83" s="1"/>
  <c r="C29" i="83"/>
  <c r="T11" i="83"/>
  <c r="V11" i="83" s="1"/>
  <c r="T7" i="83"/>
  <c r="V7" i="83" s="1"/>
  <c r="T2" i="83"/>
  <c r="V2" i="83" s="1"/>
  <c r="T14" i="83"/>
  <c r="V14" i="83" s="1"/>
  <c r="T12" i="83"/>
  <c r="V12" i="83" s="1"/>
  <c r="T8" i="83"/>
  <c r="V8" i="83" s="1"/>
  <c r="T5" i="83"/>
  <c r="V5" i="83" s="1"/>
  <c r="T15" i="83"/>
  <c r="V15" i="83" s="1"/>
  <c r="T9" i="83"/>
  <c r="V9" i="83" s="1"/>
  <c r="T3" i="83"/>
  <c r="V3" i="83" s="1"/>
  <c r="C38" i="80"/>
  <c r="C32" i="80"/>
  <c r="C24" i="80"/>
  <c r="C38" i="79"/>
  <c r="C32" i="79"/>
  <c r="F50" i="69"/>
  <c r="F50" i="11"/>
  <c r="C20" i="12"/>
  <c r="C18" i="12" s="1"/>
  <c r="M21" i="6"/>
  <c r="I21" i="6" s="1"/>
  <c r="S21" i="6" s="1"/>
  <c r="S8" i="1"/>
  <c r="M20" i="6"/>
  <c r="I20" i="6" s="1"/>
  <c r="S20" i="6" s="1"/>
  <c r="S7" i="1"/>
  <c r="AQ6" i="1"/>
  <c r="T6" i="1"/>
  <c r="AR6" i="1"/>
  <c r="H26" i="6"/>
  <c r="R26" i="6" s="1"/>
  <c r="H20" i="6"/>
  <c r="H22" i="6"/>
  <c r="R22" i="6" s="1"/>
  <c r="H21" i="6"/>
  <c r="R21" i="6" s="1"/>
  <c r="R8" i="1" s="1"/>
  <c r="H25" i="6"/>
  <c r="R25" i="6" s="1"/>
  <c r="R23" i="6"/>
  <c r="D8" i="74"/>
  <c r="D7" i="74"/>
  <c r="A7" i="51"/>
  <c r="B7" i="72" s="1"/>
  <c r="A10" i="51"/>
  <c r="B9" i="72" s="1"/>
  <c r="C4" i="52"/>
  <c r="B45" i="72" s="1"/>
  <c r="D27" i="6"/>
  <c r="R24" i="6"/>
  <c r="D30" i="6"/>
  <c r="C10" i="69"/>
  <c r="C8" i="69" s="1"/>
  <c r="C5" i="69" s="1"/>
  <c r="C23" i="69" s="1"/>
  <c r="D19" i="69"/>
  <c r="C10" i="68"/>
  <c r="C8" i="68" s="1"/>
  <c r="D19" i="68"/>
  <c r="M19" i="6"/>
  <c r="K27" i="6"/>
  <c r="R20" i="6"/>
  <c r="R7" i="1" s="1"/>
  <c r="D16" i="6"/>
  <c r="C33" i="11"/>
  <c r="C39" i="11" s="1"/>
  <c r="C46" i="11" s="1"/>
  <c r="C45" i="11" s="1"/>
  <c r="C48" i="21"/>
  <c r="C49" i="21"/>
  <c r="B2" i="21" s="1"/>
  <c r="B3" i="21" s="1"/>
  <c r="G47" i="37"/>
  <c r="H47" i="37" s="1"/>
  <c r="G46" i="37"/>
  <c r="H46" i="37" s="1"/>
  <c r="E54" i="34"/>
  <c r="F54" i="34" s="1"/>
  <c r="E53" i="34"/>
  <c r="F53" i="34" s="1"/>
  <c r="G68" i="39"/>
  <c r="F70" i="39"/>
  <c r="E53" i="33"/>
  <c r="F53" i="33" s="1"/>
  <c r="E52" i="33"/>
  <c r="F52" i="33" s="1"/>
  <c r="R37" i="36"/>
  <c r="E36" i="36"/>
  <c r="I41" i="36" s="1"/>
  <c r="J41" i="36" s="1"/>
  <c r="E43" i="35"/>
  <c r="F43" i="35" s="1"/>
  <c r="E42" i="35"/>
  <c r="F42" i="35" s="1"/>
  <c r="E52" i="21"/>
  <c r="F52" i="21" s="1"/>
  <c r="E53" i="21"/>
  <c r="F53" i="21" s="1"/>
  <c r="C49" i="34"/>
  <c r="C50" i="34"/>
  <c r="B2" i="34" s="1"/>
  <c r="C49" i="33"/>
  <c r="B2" i="33" s="1"/>
  <c r="C48" i="33"/>
  <c r="I46" i="37"/>
  <c r="J46" i="37" s="1"/>
  <c r="C39" i="35"/>
  <c r="B2" i="35" s="1"/>
  <c r="B3" i="35" s="1"/>
  <c r="C38" i="35"/>
  <c r="I40" i="36"/>
  <c r="J40" i="36" s="1"/>
  <c r="R43" i="37"/>
  <c r="E42" i="37"/>
  <c r="I53" i="33"/>
  <c r="J53" i="33" s="1"/>
  <c r="I54" i="34"/>
  <c r="J54" i="34" s="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6" i="69"/>
  <c r="D22" i="69" s="1"/>
  <c r="C38" i="67"/>
  <c r="C32" i="67"/>
  <c r="C17" i="80"/>
  <c r="D20" i="82"/>
  <c r="D14" i="82"/>
  <c r="C17" i="79"/>
  <c r="D14" i="81"/>
  <c r="D20" i="81"/>
  <c r="C14" i="15"/>
  <c r="AE7" i="1"/>
  <c r="F41" i="79" s="1"/>
  <c r="AE8" i="1"/>
  <c r="F41" i="80" s="1"/>
  <c r="C11" i="12"/>
  <c r="C60" i="79" l="1"/>
  <c r="C12" i="12"/>
  <c r="C15" i="12"/>
  <c r="C16" i="12"/>
  <c r="C21" i="12" s="1"/>
  <c r="C22" i="12" s="1"/>
  <c r="J29" i="80"/>
  <c r="F69" i="80"/>
  <c r="F69" i="79"/>
  <c r="C15" i="15"/>
  <c r="C18" i="15"/>
  <c r="C20" i="81"/>
  <c r="C18" i="81" s="1"/>
  <c r="C14" i="81"/>
  <c r="D17" i="81"/>
  <c r="C17" i="81" s="1"/>
  <c r="D17" i="82"/>
  <c r="C17" i="82" s="1"/>
  <c r="C14" i="82"/>
  <c r="C20" i="82"/>
  <c r="C18" i="82" s="1"/>
  <c r="C60" i="80"/>
  <c r="C66" i="80"/>
  <c r="S16" i="1"/>
  <c r="E7" i="70"/>
  <c r="E8" i="70"/>
  <c r="H65" i="40"/>
  <c r="I63" i="40"/>
  <c r="E2" i="70"/>
  <c r="J29" i="79"/>
  <c r="E29" i="83"/>
  <c r="C30" i="83"/>
  <c r="E30" i="83" s="1"/>
  <c r="G34" i="83"/>
  <c r="I34" i="83" s="1"/>
  <c r="E34" i="83"/>
  <c r="G33" i="83"/>
  <c r="I33" i="83" s="1"/>
  <c r="E33" i="83"/>
  <c r="G37" i="83"/>
  <c r="I37" i="83" s="1"/>
  <c r="E37" i="83"/>
  <c r="G39" i="83"/>
  <c r="I39" i="83" s="1"/>
  <c r="E39" i="83"/>
  <c r="G36" i="83"/>
  <c r="I36" i="83" s="1"/>
  <c r="E36" i="83"/>
  <c r="G35" i="83"/>
  <c r="I35" i="83" s="1"/>
  <c r="E35" i="83"/>
  <c r="G38" i="83"/>
  <c r="I38" i="83" s="1"/>
  <c r="E38" i="83"/>
  <c r="B3" i="33"/>
  <c r="B3" i="34"/>
  <c r="AR7" i="1"/>
  <c r="AQ7" i="1"/>
  <c r="T7" i="1"/>
  <c r="AR8" i="1"/>
  <c r="AQ8" i="1"/>
  <c r="T8" i="1"/>
  <c r="C43" i="11"/>
  <c r="C42" i="11"/>
  <c r="I19" i="6"/>
  <c r="M27" i="6"/>
  <c r="D31" i="6"/>
  <c r="C19" i="68"/>
  <c r="D37" i="68"/>
  <c r="C37" i="68" s="1"/>
  <c r="C33" i="68" s="1"/>
  <c r="C19" i="69"/>
  <c r="C24" i="69" s="1"/>
  <c r="D37" i="69"/>
  <c r="C37" i="69" s="1"/>
  <c r="C33" i="69" s="1"/>
  <c r="E47" i="37"/>
  <c r="F47" i="37" s="1"/>
  <c r="E46" i="37"/>
  <c r="F46" i="37" s="1"/>
  <c r="E40" i="36"/>
  <c r="F40" i="36" s="1"/>
  <c r="E41" i="36"/>
  <c r="F41" i="36" s="1"/>
  <c r="C43" i="37"/>
  <c r="B2" i="37" s="1"/>
  <c r="B3" i="37" s="1"/>
  <c r="C42" i="37"/>
  <c r="C37" i="36"/>
  <c r="B2" i="36" s="1"/>
  <c r="B3" i="36" s="1"/>
  <c r="C36" i="36"/>
  <c r="H68" i="39"/>
  <c r="G70" i="39"/>
  <c r="I47" i="37"/>
  <c r="J47" i="37"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59" i="15"/>
  <c r="J60" i="15" s="1"/>
  <c r="C22" i="11"/>
  <c r="C31" i="11" s="1"/>
  <c r="C33" i="67"/>
  <c r="C31" i="67" s="1"/>
  <c r="J14" i="67"/>
  <c r="C57" i="67"/>
  <c r="C13" i="67"/>
  <c r="J19" i="67"/>
  <c r="J17" i="67" s="1"/>
  <c r="Q49" i="67"/>
  <c r="C36" i="67"/>
  <c r="J59" i="67"/>
  <c r="J60" i="67" s="1"/>
  <c r="C11" i="82"/>
  <c r="C14" i="80"/>
  <c r="C11" i="81"/>
  <c r="C14" i="79"/>
  <c r="C19" i="15" l="1"/>
  <c r="C20" i="15" s="1"/>
  <c r="C26" i="15" s="1"/>
  <c r="C18" i="79"/>
  <c r="C15" i="79"/>
  <c r="C12" i="81"/>
  <c r="C15" i="81"/>
  <c r="C16" i="81"/>
  <c r="C21" i="81" s="1"/>
  <c r="C22" i="81" s="1"/>
  <c r="C18" i="80"/>
  <c r="C15" i="80"/>
  <c r="C12" i="82"/>
  <c r="C15" i="82"/>
  <c r="C16" i="82"/>
  <c r="C21" i="82" s="1"/>
  <c r="C22" i="82" s="1"/>
  <c r="I65" i="40"/>
  <c r="J63" i="40"/>
  <c r="C27" i="83"/>
  <c r="C26" i="83"/>
  <c r="C41" i="11"/>
  <c r="C49" i="11" s="1"/>
  <c r="C51" i="11" s="1"/>
  <c r="C52" i="11" s="1"/>
  <c r="B2" i="11" s="1"/>
  <c r="B3" i="11" s="1"/>
  <c r="T16" i="1"/>
  <c r="C24" i="68"/>
  <c r="I27" i="6"/>
  <c r="S19" i="6"/>
  <c r="S27" i="6" s="1"/>
  <c r="H19" i="6"/>
  <c r="C20" i="69"/>
  <c r="C39" i="69"/>
  <c r="C42" i="69"/>
  <c r="C39" i="68"/>
  <c r="C43" i="68" s="1"/>
  <c r="C42" i="68"/>
  <c r="I6" i="6"/>
  <c r="I5" i="6"/>
  <c r="H70" i="39"/>
  <c r="I68" i="39"/>
  <c r="C26" i="43"/>
  <c r="C27" i="43"/>
  <c r="Q48" i="67"/>
  <c r="L46" i="67"/>
  <c r="C75" i="67"/>
  <c r="C37" i="67"/>
  <c r="C30" i="67" s="1"/>
  <c r="C39" i="67" s="1"/>
  <c r="Q70" i="67"/>
  <c r="C56" i="67"/>
  <c r="C65" i="67" s="1"/>
  <c r="J13" i="67"/>
  <c r="J23" i="67" s="1"/>
  <c r="J22" i="67"/>
  <c r="Q48" i="15"/>
  <c r="C61" i="67"/>
  <c r="C59" i="67" s="1"/>
  <c r="C64" i="67"/>
  <c r="E8" i="76"/>
  <c r="E7" i="76"/>
  <c r="E9" i="76"/>
  <c r="E6" i="76"/>
  <c r="C19" i="80" l="1"/>
  <c r="C20" i="80" s="1"/>
  <c r="C26" i="80" s="1"/>
  <c r="C19" i="79"/>
  <c r="C20" i="79" s="1"/>
  <c r="C26" i="79" s="1"/>
  <c r="C23" i="15"/>
  <c r="C29" i="15" s="1"/>
  <c r="J19" i="15" s="1"/>
  <c r="J65" i="40"/>
  <c r="K63" i="40"/>
  <c r="B2" i="83"/>
  <c r="B2" i="43"/>
  <c r="B3" i="43" s="1"/>
  <c r="C41" i="68"/>
  <c r="C56" i="11"/>
  <c r="C57" i="11" s="1"/>
  <c r="C46" i="68"/>
  <c r="C45" i="68" s="1"/>
  <c r="C49" i="68" s="1"/>
  <c r="C51" i="68" s="1"/>
  <c r="C46" i="69"/>
  <c r="C45" i="69" s="1"/>
  <c r="C43" i="69"/>
  <c r="C41" i="69" s="1"/>
  <c r="C28" i="69"/>
  <c r="C27" i="69" s="1"/>
  <c r="C25" i="69"/>
  <c r="C22" i="69" s="1"/>
  <c r="H27" i="6"/>
  <c r="R19" i="6"/>
  <c r="J68" i="39"/>
  <c r="I70" i="39"/>
  <c r="E2" i="76"/>
  <c r="J16" i="67"/>
  <c r="J25" i="67" s="1"/>
  <c r="C40" i="67"/>
  <c r="Q69" i="67"/>
  <c r="Q68" i="67" s="1"/>
  <c r="C58" i="67"/>
  <c r="C67" i="67" s="1"/>
  <c r="C68" i="67" s="1"/>
  <c r="C80" i="67"/>
  <c r="C79" i="67" s="1"/>
  <c r="B6" i="76"/>
  <c r="L51" i="67"/>
  <c r="B7" i="76"/>
  <c r="B8" i="76"/>
  <c r="B9" i="76"/>
  <c r="C23" i="79" l="1"/>
  <c r="C29" i="79" s="1"/>
  <c r="C36" i="79" s="1"/>
  <c r="C13" i="15"/>
  <c r="C75" i="15" s="1"/>
  <c r="C36" i="15"/>
  <c r="C33" i="15"/>
  <c r="J14" i="15"/>
  <c r="J13" i="15" s="1"/>
  <c r="J23" i="15" s="1"/>
  <c r="Q49" i="15"/>
  <c r="C57" i="15"/>
  <c r="C61" i="15" s="1"/>
  <c r="J59" i="79"/>
  <c r="J60" i="79" s="1"/>
  <c r="Q48" i="79" s="1"/>
  <c r="C23" i="80"/>
  <c r="C29" i="80" s="1"/>
  <c r="L63" i="40"/>
  <c r="K65" i="40"/>
  <c r="B3" i="83"/>
  <c r="B2" i="76"/>
  <c r="C31" i="69"/>
  <c r="C49" i="69"/>
  <c r="C51" i="69" s="1"/>
  <c r="R27" i="6"/>
  <c r="R6" i="1"/>
  <c r="J70" i="39"/>
  <c r="K68" i="39"/>
  <c r="Q67" i="67"/>
  <c r="L57" i="67"/>
  <c r="L60" i="67" s="1"/>
  <c r="C71" i="67"/>
  <c r="C45" i="67"/>
  <c r="C46" i="67" s="1"/>
  <c r="Q56" i="67"/>
  <c r="Q47" i="67"/>
  <c r="Q53" i="67" s="1"/>
  <c r="Q65" i="67"/>
  <c r="C43" i="67"/>
  <c r="D2" i="67"/>
  <c r="C83" i="67"/>
  <c r="C82" i="67" s="1"/>
  <c r="F35" i="80"/>
  <c r="F35" i="15"/>
  <c r="M21" i="15"/>
  <c r="M21" i="79"/>
  <c r="F35" i="79"/>
  <c r="M21" i="80"/>
  <c r="Q70" i="15" l="1"/>
  <c r="C56" i="15"/>
  <c r="C65" i="15" s="1"/>
  <c r="Q49" i="79"/>
  <c r="C57" i="79"/>
  <c r="C64" i="79" s="1"/>
  <c r="J22" i="15"/>
  <c r="J14" i="79"/>
  <c r="J22" i="79" s="1"/>
  <c r="J19" i="79"/>
  <c r="C33" i="79"/>
  <c r="C13" i="79"/>
  <c r="Q70" i="79" s="1"/>
  <c r="C37" i="15"/>
  <c r="C64" i="15"/>
  <c r="L65" i="40"/>
  <c r="M63" i="40"/>
  <c r="J59" i="80"/>
  <c r="J60" i="80" s="1"/>
  <c r="Q48" i="80" s="1"/>
  <c r="C57" i="80"/>
  <c r="C36" i="80"/>
  <c r="J19" i="80"/>
  <c r="C13" i="80"/>
  <c r="Q49" i="80"/>
  <c r="C33" i="80"/>
  <c r="J14" i="80"/>
  <c r="J13" i="79"/>
  <c r="J23" i="79" s="1"/>
  <c r="B3" i="76"/>
  <c r="C6" i="68"/>
  <c r="C7" i="68" s="1"/>
  <c r="C5" i="68" s="1"/>
  <c r="J20" i="80"/>
  <c r="F63" i="80"/>
  <c r="C62" i="80" s="1"/>
  <c r="C34" i="80"/>
  <c r="J20" i="79"/>
  <c r="F63" i="79"/>
  <c r="C62" i="79" s="1"/>
  <c r="C34" i="79"/>
  <c r="J20" i="15"/>
  <c r="J17" i="15" s="1"/>
  <c r="C34" i="15"/>
  <c r="C31" i="15" s="1"/>
  <c r="F63" i="15"/>
  <c r="C62" i="15" s="1"/>
  <c r="C59" i="15" s="1"/>
  <c r="R16" i="1"/>
  <c r="C52" i="69"/>
  <c r="B2" i="69" s="1"/>
  <c r="B3" i="69" s="1"/>
  <c r="L68" i="39"/>
  <c r="K70" i="39"/>
  <c r="Q66" i="67"/>
  <c r="Q75" i="67" s="1"/>
  <c r="Q57" i="67"/>
  <c r="Q62" i="67" s="1"/>
  <c r="B2" i="67"/>
  <c r="B3" i="67"/>
  <c r="C31" i="80" l="1"/>
  <c r="C61" i="79"/>
  <c r="C59" i="79" s="1"/>
  <c r="J17" i="79"/>
  <c r="J16" i="79" s="1"/>
  <c r="J25" i="79" s="1"/>
  <c r="C56" i="79"/>
  <c r="C65" i="79" s="1"/>
  <c r="C37" i="79"/>
  <c r="J16" i="15"/>
  <c r="J25" i="15" s="1"/>
  <c r="C75" i="79"/>
  <c r="C31" i="79"/>
  <c r="C30" i="15"/>
  <c r="C39" i="15" s="1"/>
  <c r="Q69" i="15" s="1"/>
  <c r="Q68" i="15" s="1"/>
  <c r="C58" i="15"/>
  <c r="C67" i="15" s="1"/>
  <c r="C68" i="15" s="1"/>
  <c r="C71" i="15" s="1"/>
  <c r="J17" i="80"/>
  <c r="Q70" i="80"/>
  <c r="C37" i="80"/>
  <c r="C75" i="80"/>
  <c r="C56" i="80"/>
  <c r="C65" i="80" s="1"/>
  <c r="J13" i="80"/>
  <c r="J23" i="80" s="1"/>
  <c r="J22" i="80"/>
  <c r="C61" i="80"/>
  <c r="C59" i="80" s="1"/>
  <c r="C64" i="80"/>
  <c r="M65" i="40"/>
  <c r="N63" i="40"/>
  <c r="C23" i="68"/>
  <c r="C20" i="68"/>
  <c r="C25" i="68" s="1"/>
  <c r="L57" i="80"/>
  <c r="L60" i="80" s="1"/>
  <c r="L57" i="79"/>
  <c r="L60" i="79" s="1"/>
  <c r="L57" i="15"/>
  <c r="L60" i="15" s="1"/>
  <c r="C57" i="69"/>
  <c r="C56" i="69" s="1"/>
  <c r="L70" i="39"/>
  <c r="M68" i="39"/>
  <c r="L51" i="15"/>
  <c r="C30" i="80" l="1"/>
  <c r="C39" i="80" s="1"/>
  <c r="C40" i="80" s="1"/>
  <c r="C58" i="79"/>
  <c r="C67" i="79" s="1"/>
  <c r="C68" i="79" s="1"/>
  <c r="C71" i="79" s="1"/>
  <c r="C80" i="15"/>
  <c r="C79" i="15" s="1"/>
  <c r="C30" i="79"/>
  <c r="C39" i="79" s="1"/>
  <c r="C80" i="79" s="1"/>
  <c r="C79" i="79" s="1"/>
  <c r="Q67" i="15"/>
  <c r="C40" i="15"/>
  <c r="Q65" i="15" s="1"/>
  <c r="J16" i="80"/>
  <c r="J25" i="80" s="1"/>
  <c r="O63" i="40"/>
  <c r="O65" i="40" s="1"/>
  <c r="N65" i="40"/>
  <c r="J7" i="40" s="1"/>
  <c r="C58" i="80"/>
  <c r="C67" i="80" s="1"/>
  <c r="C68" i="80" s="1"/>
  <c r="C71" i="80" s="1"/>
  <c r="C28" i="68"/>
  <c r="C27" i="68" s="1"/>
  <c r="C22" i="68"/>
  <c r="Q66" i="80"/>
  <c r="Q57" i="80"/>
  <c r="L46" i="80"/>
  <c r="Q66" i="79"/>
  <c r="Q57" i="79"/>
  <c r="L46" i="79"/>
  <c r="L46" i="15"/>
  <c r="Q66" i="15"/>
  <c r="Q57" i="15"/>
  <c r="C83" i="15"/>
  <c r="C82" i="15" s="1"/>
  <c r="N68" i="39"/>
  <c r="M70" i="39"/>
  <c r="L51" i="79"/>
  <c r="L51" i="80"/>
  <c r="Q56" i="80" l="1"/>
  <c r="Q62" i="80" s="1"/>
  <c r="Q65" i="80"/>
  <c r="Q69" i="80"/>
  <c r="Q68" i="80" s="1"/>
  <c r="C80" i="80"/>
  <c r="C79" i="80" s="1"/>
  <c r="Q47" i="15"/>
  <c r="Q53" i="15" s="1"/>
  <c r="C83" i="80"/>
  <c r="C82" i="80" s="1"/>
  <c r="Q67" i="79"/>
  <c r="C40" i="79"/>
  <c r="B2" i="79" s="1"/>
  <c r="B3" i="79" s="1"/>
  <c r="Q47" i="80"/>
  <c r="Q53" i="80" s="1"/>
  <c r="Q69" i="79"/>
  <c r="Q68" i="79" s="1"/>
  <c r="C43" i="15"/>
  <c r="C6" i="12" s="1"/>
  <c r="C46" i="15"/>
  <c r="Q56" i="15"/>
  <c r="Q62" i="15" s="1"/>
  <c r="B2" i="15"/>
  <c r="B3" i="15" s="1"/>
  <c r="B2" i="80"/>
  <c r="B3" i="80" s="1"/>
  <c r="C43" i="80"/>
  <c r="C6" i="82" s="1"/>
  <c r="C8" i="82" s="1"/>
  <c r="C4" i="82" s="1"/>
  <c r="Q67" i="80"/>
  <c r="AC7" i="40"/>
  <c r="V42" i="40" s="1"/>
  <c r="I42" i="40" s="1"/>
  <c r="I46" i="40" s="1"/>
  <c r="J46" i="40" s="1"/>
  <c r="W7" i="40"/>
  <c r="C46" i="80"/>
  <c r="F7" i="40"/>
  <c r="H7" i="40"/>
  <c r="C31" i="68"/>
  <c r="C52" i="68" s="1"/>
  <c r="B2" i="68" s="1"/>
  <c r="Q75" i="80"/>
  <c r="Q75" i="15"/>
  <c r="N70" i="39"/>
  <c r="O68" i="39"/>
  <c r="O70" i="39" s="1"/>
  <c r="AO7" i="1"/>
  <c r="AO6" i="1"/>
  <c r="AO8" i="1"/>
  <c r="C19" i="9"/>
  <c r="B7" i="70" l="1"/>
  <c r="Q65" i="79"/>
  <c r="Q75" i="79" s="1"/>
  <c r="Q56" i="79"/>
  <c r="Q62" i="79" s="1"/>
  <c r="C43" i="79"/>
  <c r="C6" i="81" s="1"/>
  <c r="C8" i="81" s="1"/>
  <c r="C4" i="81" s="1"/>
  <c r="C46" i="79"/>
  <c r="Q47" i="79"/>
  <c r="Q53" i="79" s="1"/>
  <c r="C83" i="79"/>
  <c r="C82" i="79" s="1"/>
  <c r="B6" i="70"/>
  <c r="B8" i="70"/>
  <c r="C23" i="82"/>
  <c r="C27" i="82" s="1"/>
  <c r="C25" i="82" s="1"/>
  <c r="C31" i="82"/>
  <c r="AB7" i="40"/>
  <c r="T42" i="40" s="1"/>
  <c r="G42" i="40" s="1"/>
  <c r="U7" i="40"/>
  <c r="AA7" i="40"/>
  <c r="R42" i="40" s="1"/>
  <c r="S7" i="40"/>
  <c r="C57" i="68"/>
  <c r="C56" i="68" s="1"/>
  <c r="C21" i="9"/>
  <c r="C102" i="9"/>
  <c r="C8" i="12"/>
  <c r="C4" i="12" s="1"/>
  <c r="F7" i="39"/>
  <c r="H7" i="39"/>
  <c r="J7" i="39"/>
  <c r="B3" i="68"/>
  <c r="C20" i="9"/>
  <c r="B2" i="70" l="1"/>
  <c r="B3" i="70" s="1"/>
  <c r="C30" i="82"/>
  <c r="C28" i="82" s="1"/>
  <c r="E42" i="40"/>
  <c r="R43" i="40"/>
  <c r="G46" i="40"/>
  <c r="H46" i="40" s="1"/>
  <c r="G47" i="40"/>
  <c r="H47" i="40" s="1"/>
  <c r="C103" i="9"/>
  <c r="C32" i="82"/>
  <c r="B2" i="82" s="1"/>
  <c r="C31" i="81"/>
  <c r="C23" i="81"/>
  <c r="C31" i="12"/>
  <c r="C23" i="12"/>
  <c r="AC7" i="39"/>
  <c r="V47" i="39" s="1"/>
  <c r="I47" i="39" s="1"/>
  <c r="W7" i="39"/>
  <c r="S7" i="39"/>
  <c r="AA7" i="39"/>
  <c r="R47" i="39" s="1"/>
  <c r="AB7" i="39"/>
  <c r="T47" i="39" s="1"/>
  <c r="G47" i="39" s="1"/>
  <c r="U7" i="39"/>
  <c r="B3" i="82"/>
  <c r="I47" i="40" l="1"/>
  <c r="J47" i="40" s="1"/>
  <c r="E47" i="40"/>
  <c r="F47" i="40" s="1"/>
  <c r="E46" i="40"/>
  <c r="F46" i="40" s="1"/>
  <c r="C43" i="40"/>
  <c r="C42" i="40"/>
  <c r="C27" i="81"/>
  <c r="C25" i="81" s="1"/>
  <c r="C30" i="81"/>
  <c r="C28" i="81" s="1"/>
  <c r="C30" i="12"/>
  <c r="C28" i="12" s="1"/>
  <c r="C27" i="12"/>
  <c r="C25" i="12" s="1"/>
  <c r="G52" i="39"/>
  <c r="H52" i="39" s="1"/>
  <c r="G51" i="39"/>
  <c r="H51" i="39" s="1"/>
  <c r="I51" i="39"/>
  <c r="J51" i="39" s="1"/>
  <c r="E47" i="39"/>
  <c r="I52" i="39" s="1"/>
  <c r="J52" i="39" s="1"/>
  <c r="R48" i="39"/>
  <c r="B53" i="40" l="1"/>
  <c r="F53" i="40" s="1"/>
  <c r="B58" i="40"/>
  <c r="F58" i="40" s="1"/>
  <c r="B51" i="40"/>
  <c r="F51" i="40" s="1"/>
  <c r="B60" i="40"/>
  <c r="F60" i="40" s="1"/>
  <c r="B59" i="40"/>
  <c r="F59" i="40" s="1"/>
  <c r="B54" i="40"/>
  <c r="F54" i="40" s="1"/>
  <c r="B52" i="40"/>
  <c r="F52" i="40" s="1"/>
  <c r="B55" i="40"/>
  <c r="F55" i="40" s="1"/>
  <c r="B57" i="40"/>
  <c r="F57" i="40" s="1"/>
  <c r="B56" i="40"/>
  <c r="F56" i="40" s="1"/>
  <c r="F61" i="40"/>
  <c r="B2" i="40" s="1"/>
  <c r="B3" i="40" s="1"/>
  <c r="C32" i="81"/>
  <c r="B2" i="81" s="1"/>
  <c r="C32" i="12"/>
  <c r="B2" i="12" s="1"/>
  <c r="E51" i="39"/>
  <c r="F51" i="39" s="1"/>
  <c r="E52" i="39"/>
  <c r="F52" i="39" s="1"/>
  <c r="C48" i="39"/>
  <c r="C47" i="39"/>
  <c r="D19" i="9"/>
  <c r="B3" i="81"/>
  <c r="B3" i="12"/>
  <c r="D102" i="9" l="1"/>
  <c r="D22" i="9"/>
  <c r="G19" i="9"/>
  <c r="D21" i="9"/>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20" i="9"/>
  <c r="D103" i="9" l="1"/>
  <c r="G20" i="9"/>
  <c r="C32" i="9"/>
  <c r="G21" i="9"/>
  <c r="H118" i="9" l="1"/>
  <c r="C35" i="9"/>
  <c r="F118" i="9" s="1"/>
  <c r="D14" i="74" l="1"/>
  <c r="H119" i="9"/>
  <c r="H5" i="52" s="1"/>
  <c r="C104" i="9"/>
  <c r="H101" i="9"/>
  <c r="H4" i="52"/>
  <c r="I118" i="9"/>
  <c r="C34" i="9"/>
  <c r="D118" i="9" s="1"/>
  <c r="F4" i="52"/>
  <c r="B51" i="72" s="1"/>
  <c r="G118" i="9"/>
  <c r="G4" i="52" s="1"/>
  <c r="B52" i="72" s="1"/>
  <c r="F119" i="9"/>
  <c r="F5" i="52" s="1"/>
  <c r="B53" i="72" s="1"/>
  <c r="C105" i="9" l="1"/>
  <c r="H102" i="9"/>
  <c r="D7" i="53" s="1"/>
  <c r="B21" i="72" s="1"/>
  <c r="I4" i="52"/>
  <c r="E118" i="9"/>
  <c r="E4" i="52" s="1"/>
  <c r="B48" i="72" s="1"/>
  <c r="H107" i="9"/>
  <c r="D5" i="53"/>
  <c r="D45" i="9"/>
  <c r="M48" i="9"/>
  <c r="D119" i="9"/>
  <c r="D5" i="52" s="1"/>
  <c r="B49" i="72" s="1"/>
  <c r="D4" i="52"/>
  <c r="B47" i="72" s="1"/>
  <c r="E14" i="74"/>
  <c r="F14" i="74"/>
  <c r="B5" i="74"/>
  <c r="D5" i="74" l="1"/>
  <c r="C5" i="74"/>
  <c r="D55" i="9"/>
  <c r="M53" i="9" s="1"/>
  <c r="C93" i="9"/>
  <c r="C86" i="9" s="1"/>
  <c r="C78" i="9"/>
  <c r="C73" i="9" s="1"/>
  <c r="D53" i="9"/>
  <c r="C64" i="9"/>
  <c r="C63" i="9" s="1"/>
  <c r="C67" i="9" s="1"/>
  <c r="C68" i="9" s="1"/>
  <c r="D54" i="9" s="1"/>
  <c r="D52" i="9"/>
  <c r="C85" i="9"/>
  <c r="C72" i="9"/>
  <c r="H108" i="9"/>
  <c r="D15" i="53" s="1"/>
  <c r="B31" i="72" s="1"/>
  <c r="D122" i="9"/>
  <c r="D13" i="53"/>
  <c r="B20" i="72"/>
  <c r="D6" i="53"/>
  <c r="B22" i="72" s="1"/>
  <c r="C79" i="9" l="1"/>
  <c r="C80" i="9" s="1"/>
  <c r="E80" i="9" s="1"/>
  <c r="E81" i="9" s="1"/>
  <c r="D14" i="53"/>
  <c r="B32" i="72" s="1"/>
  <c r="B30" i="72"/>
  <c r="C95" i="9"/>
  <c r="D123" i="9"/>
  <c r="D9" i="52" s="1"/>
  <c r="G14" i="74"/>
  <c r="B6" i="74" s="1"/>
  <c r="D8" i="52"/>
  <c r="C81" i="9" l="1"/>
  <c r="D6" i="74"/>
  <c r="C6" i="74"/>
  <c r="C96" i="9"/>
  <c r="E96" i="9" s="1"/>
  <c r="E97" i="9" s="1"/>
  <c r="C97" i="9" l="1"/>
  <c r="D58" i="9" s="1"/>
  <c r="D56" i="9" s="1"/>
  <c r="M54" i="9" s="1"/>
  <c r="N57" i="9" s="1"/>
  <c r="N59" i="9" s="1"/>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<sst xmlns="http://schemas.openxmlformats.org/spreadsheetml/2006/main" count="8622" uniqueCount="3101">
  <si>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</si>
  <si>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</si>
  <si>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</si>
  <si>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</si>
  <si>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</si>
  <si>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</si>
  <si>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</si>
  <si>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</si>
  <si>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</si>
  <si>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</si>
  <si>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</si>
  <si>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</si>
  <si>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</si>
  <si>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</si>
  <si>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</si>
  <si>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</si>
  <si>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</si>
  <si>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</si>
  <si>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</si>
  <si>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</si>
  <si>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</si>
  <si>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</si>
  <si>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</si>
  <si>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</si>
  <si>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</si>
  <si>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</si>
  <si>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</si>
  <si>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</si>
  <si>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</si>
  <si>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</si>
  <si>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</si>
  <si>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</si>
  <si>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</si>
  <si>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</si>
  <si>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</si>
  <si>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</si>
  <si>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</si>
  <si>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</si>
  <si>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</si>
  <si>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</si>
  <si>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</si>
  <si>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</si>
  <si>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</si>
  <si>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</si>
  <si>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</si>
  <si>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</si>
  <si>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</si>
  <si>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</si>
  <si>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</si>
  <si>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</si>
  <si>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</si>
  <si>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</si>
  <si>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</si>
  <si>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</si>
  <si>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</si>
  <si>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</si>
  <si>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</si>
  <si>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</si>
  <si>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</si>
  <si>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</si>
  <si>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</si>
  <si>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</si>
  <si>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</si>
  <si>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</si>
  <si>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</si>
  <si>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</si>
  <si>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</si>
  <si>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</si>
  <si>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</si>
  <si>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</si>
  <si>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</si>
  <si>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</si>
  <si>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</si>
  <si>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</si>
  <si>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</si>
  <si>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</si>
  <si>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</si>
  <si>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</si>
  <si>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</si>
  <si>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</si>
  <si>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</si>
  <si>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</si>
  <si>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</si>
  <si>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</si>
  <si>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</si>
  <si>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</si>
  <si>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</si>
  <si>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</si>
  <si>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</si>
  <si>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</si>
  <si>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</si>
  <si>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</si>
  <si>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</si>
  <si>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</si>
  <si>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</si>
  <si>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</si>
  <si>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</si>
  <si>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</si>
  <si>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</si>
  <si>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</si>
  <si>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</si>
  <si>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</si>
  <si>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</si>
  <si>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</si>
  <si>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</si>
  <si>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</si>
  <si>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</si>
  <si>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</si>
  <si>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</si>
  <si>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</si>
  <si>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</si>
  <si>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</si>
  <si>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</si>
  <si>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</si>
  <si>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</si>
  <si>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</si>
  <si>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</si>
  <si>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</si>
  <si>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</si>
  <si>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</si>
  <si>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</si>
  <si>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</si>
  <si>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</si>
  <si>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</si>
  <si>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</si>
  <si>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</si>
  <si>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</si>
  <si>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</si>
  <si>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</si>
  <si>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</si>
  <si>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</si>
  <si>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</si>
  <si>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</si>
  <si>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</si>
  <si>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</si>
  <si>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</si>
  <si>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</si>
  <si>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</si>
  <si>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</si>
  <si>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</si>
  <si>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</si>
  <si>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</si>
  <si>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</si>
  <si>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</si>
  <si>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</si>
  <si>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</si>
  <si>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</si>
  <si>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</si>
  <si>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</si>
  <si>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</si>
  <si>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</si>
  <si>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</si>
  <si>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</si>
  <si>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</si>
  <si>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</si>
  <si>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</si>
  <si>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</si>
  <si>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</si>
  <si>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</si>
  <si>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</si>
  <si>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</si>
  <si>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</si>
  <si>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</si>
  <si>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</si>
  <si>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</si>
  <si>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</si>
  <si>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</si>
  <si>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</si>
  <si>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</si>
  <si>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</si>
  <si>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</si>
  <si>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</si>
  <si>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</si>
  <si>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</si>
  <si>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</si>
  <si>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</si>
  <si>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</si>
  <si>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</si>
  <si>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</si>
  <si>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</si>
  <si>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</si>
  <si>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</si>
  <si>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</si>
  <si>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</si>
  <si>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</si>
  <si>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</si>
  <si>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</si>
  <si>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</si>
  <si>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</si>
  <si>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</si>
  <si>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</si>
  <si>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</si>
  <si>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</si>
  <si>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</si>
  <si>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</si>
  <si>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</si>
  <si>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</si>
  <si>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</si>
  <si>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</si>
  <si>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</si>
  <si>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</si>
  <si>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</si>
  <si>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</si>
  <si>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</si>
  <si>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</si>
  <si>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</si>
  <si>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</si>
  <si>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</si>
  <si>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</si>
  <si>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</si>
  <si>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</si>
  <si>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</si>
  <si>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</si>
  <si>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</si>
  <si>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</si>
  <si>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</si>
  <si>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</si>
  <si>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</si>
  <si>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</si>
  <si>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</si>
  <si>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</si>
  <si>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</si>
  <si>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</si>
  <si>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</si>
  <si>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</si>
  <si>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</si>
  <si>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</si>
  <si>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</si>
  <si>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</si>
  <si>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</si>
  <si>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</si>
  <si>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</si>
  <si>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</si>
  <si>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</si>
  <si>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</si>
  <si>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</si>
  <si>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</si>
  <si>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</si>
  <si>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</si>
  <si>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</si>
  <si>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</si>
  <si>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</si>
  <si>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</si>
  <si>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</si>
  <si>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</si>
  <si>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</si>
  <si>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</si>
  <si>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</si>
  <si>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</si>
  <si>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</si>
  <si>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</si>
  <si>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</si>
  <si>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</si>
  <si>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</si>
  <si>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</si>
  <si>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</si>
  <si>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</si>
  <si>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</si>
  <si>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</si>
  <si>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</si>
  <si>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</si>
  <si>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</si>
  <si>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</si>
  <si>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</si>
  <si>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</si>
  <si>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</si>
  <si>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</si>
  <si>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</si>
  <si>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</si>
  <si>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</si>
  <si>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</si>
  <si>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</si>
  <si>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</si>
  <si>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</si>
  <si>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</si>
  <si>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</si>
  <si>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</si>
  <si>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</si>
  <si>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</si>
  <si>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</si>
  <si>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</si>
  <si>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</si>
  <si>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</si>
  <si>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</si>
  <si>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</si>
  <si>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</si>
  <si>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</si>
  <si>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</si>
  <si>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</si>
  <si>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</si>
  <si>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</si>
  <si>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</si>
  <si>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</si>
  <si>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</si>
  <si>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</si>
  <si>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</si>
  <si>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</si>
  <si>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</si>
  <si>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</si>
  <si>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</si>
  <si>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</si>
  <si>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</si>
  <si>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</si>
  <si>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</si>
  <si>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</si>
  <si>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</si>
  <si>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</si>
  <si>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</si>
  <si>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</si>
  <si>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</si>
  <si>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</si>
  <si>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</si>
  <si>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</si>
  <si>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</si>
  <si>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</si>
  <si>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</si>
  <si>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</si>
  <si>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</si>
  <si>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</si>
  <si>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</si>
  <si>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</si>
  <si>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</si>
  <si>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</si>
  <si>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</si>
  <si>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</si>
  <si>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</si>
  <si>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</si>
  <si>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</si>
  <si>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</si>
  <si>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</si>
  <si>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</si>
  <si>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</si>
  <si>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</si>
  <si>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</si>
  <si>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</si>
  <si>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</si>
  <si>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</si>
  <si>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</si>
  <si>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</si>
  <si>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</si>
  <si>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</si>
  <si>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</si>
  <si>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</si>
  <si>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</si>
  <si>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</si>
  <si>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</si>
  <si>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</si>
  <si>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</si>
  <si>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</si>
  <si>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</si>
  <si>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</si>
  <si>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</si>
  <si>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</si>
  <si>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</si>
  <si>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</si>
  <si>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</si>
  <si>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</si>
  <si>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</si>
  <si>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</si>
  <si>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</si>
  <si>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</si>
  <si>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</si>
  <si>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</si>
  <si>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</si>
  <si>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</si>
  <si>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</si>
  <si>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</si>
  <si>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</si>
  <si>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</si>
  <si>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</si>
  <si>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</si>
  <si>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</si>
  <si>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</si>
  <si>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</si>
  <si>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</si>
  <si>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</si>
  <si>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</si>
  <si>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</si>
  <si>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</si>
  <si>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</si>
  <si>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</si>
  <si>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</si>
  <si>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</si>
  <si>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</si>
  <si>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</si>
  <si>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</si>
  <si>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</si>
  <si>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</si>
  <si>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</si>
  <si>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</si>
  <si>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</si>
  <si>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</si>
  <si>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</si>
  <si>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</si>
  <si>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</si>
  <si>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</si>
  <si>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</si>
  <si>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</si>
  <si>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</si>
  <si>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</si>
  <si>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</si>
  <si>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</si>
  <si>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</si>
  <si>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</si>
  <si>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</si>
  <si>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</si>
  <si>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</si>
  <si>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</si>
  <si>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</si>
  <si>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</si>
  <si>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</si>
  <si>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</si>
  <si>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</si>
  <si>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</si>
  <si>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</si>
  <si>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</si>
  <si>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</si>
  <si>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</si>
  <si>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</si>
  <si>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</si>
  <si>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</si>
  <si>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</si>
  <si>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</si>
  <si>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</si>
  <si>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</si>
  <si>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</si>
  <si>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</si>
  <si>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</si>
  <si>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</si>
  <si>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</si>
  <si>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</si>
  <si>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</si>
  <si>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</si>
  <si>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</si>
  <si>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</si>
  <si>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</si>
  <si>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</si>
  <si>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</si>
  <si>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</si>
  <si>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</si>
  <si>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</si>
  <si>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</si>
  <si>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</si>
  <si>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</si>
  <si>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</si>
  <si>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</si>
  <si>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</si>
  <si>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</si>
  <si>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</si>
  <si>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</si>
  <si>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</si>
  <si>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</si>
  <si>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</si>
  <si>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</si>
  <si>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</si>
  <si>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</si>
  <si>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</si>
  <si>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</si>
  <si>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</si>
  <si>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</si>
  <si>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</si>
  <si>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</si>
  <si>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</si>
  <si>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</si>
  <si>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</si>
  <si>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</si>
  <si>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</si>
  <si>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</si>
  <si>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</si>
  <si>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</si>
  <si>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</si>
  <si>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</si>
  <si>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</si>
  <si>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</si>
  <si>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</si>
  <si>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</si>
  <si>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</si>
  <si>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</si>
  <si>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</si>
  <si>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</si>
  <si>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</si>
  <si>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</si>
  <si>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</si>
  <si>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</si>
  <si>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</si>
  <si>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</si>
  <si>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</si>
  <si>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</si>
  <si>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</si>
  <si>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</si>
  <si>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</si>
  <si>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</si>
  <si>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</si>
  <si>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</si>
  <si>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</si>
  <si>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</si>
  <si>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</si>
  <si>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</si>
  <si>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</si>
  <si>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</si>
  <si>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</si>
  <si>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</si>
  <si>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</si>
  <si>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</si>
  <si>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</si>
  <si>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</si>
  <si>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</si>
  <si>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</si>
  <si>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</si>
  <si>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</si>
  <si>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</si>
  <si>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</si>
  <si>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</si>
  <si>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</si>
  <si>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</si>
  <si>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</si>
  <si>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</si>
  <si>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</si>
  <si>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</si>
  <si>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</si>
  <si>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</si>
  <si>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</si>
  <si>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</si>
  <si>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</si>
  <si>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</si>
  <si>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</si>
  <si>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</si>
  <si>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</si>
  <si>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</si>
  <si>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</si>
  <si>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</si>
  <si>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</si>
  <si>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</si>
  <si>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</si>
  <si>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</si>
  <si>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</si>
  <si>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</si>
  <si>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</si>
  <si>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</si>
  <si>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</si>
  <si>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</si>
  <si>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</si>
  <si>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</si>
  <si>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</si>
  <si>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</si>
  <si>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</si>
  <si>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</si>
  <si>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</si>
  <si>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</si>
  <si>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</si>
  <si>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</si>
  <si>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</si>
  <si>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</si>
  <si>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</si>
  <si>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</si>
  <si>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</si>
  <si>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</si>
  <si>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</si>
  <si>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</si>
  <si>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</si>
  <si>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</si>
  <si>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</si>
  <si>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</si>
  <si>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</si>
  <si>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</si>
  <si>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</si>
  <si>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</si>
  <si>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</si>
  <si>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</si>
  <si>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</si>
  <si>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</si>
  <si>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</si>
  <si>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</si>
  <si>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</si>
  <si>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</si>
  <si>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</si>
  <si>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</si>
  <si>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</si>
  <si>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</si>
  <si>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</si>
  <si>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</si>
  <si>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</si>
  <si>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</si>
  <si>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</si>
  <si>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</si>
  <si>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</si>
  <si>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</si>
  <si>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</si>
  <si>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</si>
  <si>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</si>
  <si>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</si>
  <si>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</si>
  <si>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</si>
  <si>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</si>
  <si>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</si>
  <si>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</si>
  <si>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</si>
  <si>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</si>
  <si>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</si>
  <si>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</si>
  <si>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</si>
  <si>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</si>
  <si>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</si>
  <si>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</si>
  <si>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</si>
  <si>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</si>
  <si>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</si>
  <si>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</si>
  <si>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</si>
  <si>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</si>
  <si>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</si>
  <si>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</si>
  <si>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</si>
  <si>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</si>
  <si>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</si>
  <si>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</si>
  <si>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</si>
  <si>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</si>
  <si>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</si>
  <si>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</si>
  <si>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</si>
  <si>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</si>
  <si>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</si>
  <si>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</si>
  <si>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</si>
  <si>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</si>
  <si>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</si>
  <si>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</si>
  <si>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</si>
  <si>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</si>
  <si>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</si>
  <si>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</si>
  <si>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</si>
  <si>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</si>
  <si>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</si>
  <si>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</si>
  <si>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</si>
  <si>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</si>
  <si>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</si>
  <si>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</si>
  <si>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</si>
  <si>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</si>
  <si>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</si>
  <si>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</si>
  <si>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</si>
  <si>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</si>
  <si>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</si>
  <si>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</si>
  <si>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</si>
  <si>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</si>
  <si>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</si>
  <si>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</si>
  <si>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</si>
  <si>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</si>
  <si>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</si>
  <si>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</si>
  <si>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</si>
  <si>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</si>
  <si>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</si>
  <si>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</si>
  <si>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</si>
  <si>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</si>
  <si>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</si>
  <si>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</si>
  <si>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</si>
  <si>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</si>
  <si>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</si>
  <si>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</si>
  <si>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</si>
  <si>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</si>
  <si>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</si>
  <si>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</si>
  <si>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</si>
  <si>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</si>
  <si>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</si>
  <si>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</si>
  <si>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</si>
  <si>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</si>
  <si>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</si>
  <si>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</si>
  <si>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</si>
  <si>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</si>
  <si>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</si>
  <si>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</si>
  <si>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</si>
  <si>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</si>
  <si>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</si>
  <si>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</si>
  <si>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</si>
  <si>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</si>
  <si>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</si>
  <si>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</si>
  <si>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</si>
  <si>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</si>
  <si>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</si>
  <si>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</si>
  <si>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</si>
  <si>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</si>
  <si>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</si>
  <si>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</si>
  <si>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</si>
  <si>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</si>
  <si>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</si>
  <si>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</si>
  <si>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</si>
  <si>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</si>
  <si>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</si>
  <si>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</si>
  <si>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</si>
  <si>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</si>
  <si>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</si>
  <si>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</si>
  <si>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</si>
  <si>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</si>
  <si>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</si>
  <si>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</si>
  <si>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</si>
  <si>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</si>
  <si>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</si>
  <si>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</si>
  <si>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</si>
  <si>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</si>
  <si>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</si>
  <si>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</si>
  <si>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</si>
  <si>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</si>
  <si>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</si>
  <si>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</si>
  <si>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</si>
  <si>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</si>
  <si>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</si>
  <si>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</si>
  <si>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</si>
  <si>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</si>
  <si>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</si>
  <si>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</si>
  <si>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</si>
  <si>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</si>
  <si>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</si>
  <si>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</si>
  <si>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</si>
  <si>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</si>
  <si>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</si>
  <si>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</si>
  <si>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</si>
  <si>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</si>
  <si>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</si>
  <si>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</si>
  <si>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</si>
  <si>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</si>
  <si>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</si>
  <si>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</si>
  <si>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</si>
  <si>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</si>
  <si>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</si>
  <si>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</si>
  <si>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</si>
  <si>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</si>
  <si>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</si>
  <si>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</si>
  <si>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</si>
  <si>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</si>
  <si>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</si>
  <si>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</si>
  <si>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</si>
  <si>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</si>
  <si>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</si>
  <si>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</si>
  <si>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</si>
  <si>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</si>
  <si>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</si>
  <si>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</si>
  <si>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</si>
  <si>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</si>
  <si>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</si>
  <si>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</si>
  <si>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</si>
  <si>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</si>
  <si>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</si>
  <si>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</si>
  <si>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</si>
  <si>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</si>
  <si>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</si>
  <si>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</si>
  <si>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</si>
  <si>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</si>
  <si>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</si>
  <si>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</si>
  <si>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</si>
  <si>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</si>
  <si>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</si>
  <si>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</si>
  <si>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</si>
  <si>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</si>
  <si>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</si>
  <si>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</si>
  <si>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</si>
  <si>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</si>
  <si>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</si>
  <si>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</si>
  <si>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</si>
  <si>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</si>
  <si>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</si>
  <si>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</si>
  <si>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</si>
  <si>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</si>
  <si>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</si>
  <si>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</si>
  <si>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</si>
  <si>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</si>
  <si>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</si>
  <si>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</si>
  <si>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</si>
  <si>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</si>
  <si>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</si>
  <si>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</si>
  <si>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</si>
  <si>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</si>
  <si>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</si>
  <si>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</si>
  <si>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</si>
  <si>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</si>
  <si>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</si>
  <si>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</si>
  <si>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</si>
  <si>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</si>
  <si>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</si>
  <si>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</si>
  <si>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</si>
  <si>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</si>
  <si>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</si>
  <si>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</si>
  <si>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</si>
  <si>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</si>
  <si>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</si>
  <si>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</si>
  <si>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</si>
  <si>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</si>
  <si>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</si>
  <si>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</si>
  <si>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</si>
  <si>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</si>
  <si>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</si>
  <si>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</si>
  <si>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</si>
  <si>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</si>
  <si>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</si>
  <si>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</si>
  <si>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</si>
  <si>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</si>
  <si>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</si>
  <si>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</si>
  <si>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</si>
  <si>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</si>
  <si>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</si>
  <si>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</si>
  <si>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</si>
  <si>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</si>
  <si>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</si>
  <si>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</si>
  <si>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</si>
  <si>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</si>
  <si>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</si>
  <si>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</si>
  <si>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</si>
  <si>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</si>
  <si>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</si>
  <si>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</si>
  <si>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</si>
  <si>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</si>
  <si>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</si>
  <si>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</si>
  <si>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</si>
  <si>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</si>
  <si>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</si>
  <si>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</si>
  <si>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</si>
  <si>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</si>
  <si>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</si>
  <si>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</si>
  <si>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</si>
  <si>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</si>
  <si>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</si>
  <si>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</si>
  <si>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</si>
  <si>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</si>
  <si>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</si>
  <si>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</si>
  <si>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</si>
  <si>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</si>
  <si>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</si>
  <si>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</si>
  <si>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</si>
  <si>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</si>
  <si>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</si>
  <si>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</si>
  <si>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</si>
  <si>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</si>
  <si>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</si>
  <si>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</si>
  <si>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</si>
  <si>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</si>
  <si>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</si>
  <si>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</si>
  <si>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</si>
  <si>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</si>
  <si>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</si>
  <si>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</si>
  <si>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</si>
  <si>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</si>
  <si>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</si>
  <si>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</si>
  <si>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</si>
  <si>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</si>
  <si>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</si>
  <si>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</si>
  <si>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</si>
  <si>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</si>
  <si>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</si>
  <si>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</si>
  <si>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</si>
  <si>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</si>
  <si>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</si>
  <si>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</si>
  <si>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</si>
  <si>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</si>
  <si>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</si>
  <si>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</si>
  <si>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</si>
  <si>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</si>
  <si>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</si>
  <si>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</si>
  <si>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</si>
  <si>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</si>
  <si>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</si>
  <si>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</si>
  <si>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</si>
  <si>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</si>
  <si>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</si>
  <si>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</si>
  <si>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</si>
  <si>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</si>
  <si>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</si>
  <si>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</si>
  <si>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</si>
  <si>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</si>
  <si>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</si>
  <si>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</si>
  <si>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</si>
  <si>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</si>
  <si>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</si>
  <si>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</si>
  <si>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</si>
  <si>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</si>
  <si>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</si>
  <si>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</si>
  <si>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</si>
  <si>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</si>
  <si>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</si>
  <si>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</si>
  <si>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</si>
  <si>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</si>
  <si>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</si>
  <si>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</si>
  <si>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</si>
  <si>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</si>
  <si>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</si>
  <si>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</si>
  <si>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</si>
  <si>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</si>
  <si>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</si>
  <si>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</si>
  <si>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</si>
  <si>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</si>
  <si>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</si>
  <si>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</si>
  <si>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</si>
  <si>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</si>
  <si>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</si>
  <si>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</si>
  <si>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</si>
  <si>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</si>
  <si>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</si>
  <si>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</si>
  <si>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</si>
  <si>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</si>
  <si>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</si>
  <si>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</si>
  <si>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</si>
  <si>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</si>
  <si>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</si>
  <si>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</si>
  <si>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</si>
  <si>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</si>
  <si>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</si>
  <si>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</si>
  <si>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</si>
  <si>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</si>
  <si>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</si>
  <si>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</si>
  <si>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</si>
  <si>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</si>
  <si>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</si>
  <si>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</si>
  <si>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</si>
  <si>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</si>
  <si>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</si>
  <si>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</si>
  <si>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</si>
  <si>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</si>
  <si>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</si>
  <si>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</si>
  <si>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</si>
  <si>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</si>
  <si>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</si>
  <si>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</si>
  <si>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</si>
  <si>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</si>
  <si>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</si>
  <si>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</si>
  <si>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</si>
  <si>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</si>
  <si>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</si>
  <si>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</si>
  <si>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</si>
  <si>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</si>
  <si>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</si>
  <si>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</si>
  <si>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</si>
  <si>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</si>
  <si>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</si>
  <si>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</si>
  <si>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</si>
  <si>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</si>
  <si>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</si>
  <si>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</si>
  <si>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</si>
  <si>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</si>
  <si>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</si>
  <si>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</si>
  <si>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</si>
  <si>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</si>
  <si>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</si>
  <si>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</si>
  <si>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</si>
  <si>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</si>
  <si>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</si>
  <si>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</si>
  <si>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</si>
  <si>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</si>
  <si>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</si>
  <si>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</si>
  <si>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</si>
  <si>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</si>
  <si>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</si>
  <si>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</si>
  <si>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</si>
  <si>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</si>
  <si>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</si>
  <si>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</si>
  <si>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</si>
  <si>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</si>
  <si>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</si>
  <si>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</si>
  <si>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</si>
  <si>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</si>
  <si>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</si>
  <si>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</si>
  <si>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</si>
  <si>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</si>
  <si>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</si>
  <si>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</si>
  <si>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</si>
  <si>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</si>
  <si>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</si>
  <si>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</si>
  <si>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</si>
  <si>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</si>
  <si>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</si>
  <si>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</si>
  <si>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</si>
  <si>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</si>
  <si>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</si>
  <si>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</si>
  <si>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</si>
  <si>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</si>
  <si>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</si>
  <si>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</si>
  <si>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</si>
  <si>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</si>
  <si>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</si>
  <si>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</si>
  <si>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</si>
  <si>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</si>
  <si>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</si>
  <si>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</si>
  <si>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</si>
  <si>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</si>
  <si>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</si>
  <si>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</si>
  <si>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</si>
  <si>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</si>
  <si>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</si>
  <si>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</si>
  <si>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</si>
  <si>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</si>
  <si>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</si>
  <si>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</si>
  <si>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</si>
  <si>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</si>
  <si>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</si>
  <si>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</si>
  <si>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</si>
  <si>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</si>
  <si>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</si>
  <si>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</si>
  <si>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</si>
  <si>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</si>
  <si>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</si>
  <si>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</si>
  <si>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</si>
  <si>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</si>
  <si>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</si>
  <si>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</si>
  <si>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</si>
  <si>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</si>
  <si>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</si>
  <si>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</si>
  <si>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</si>
  <si>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</si>
  <si>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</si>
  <si>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</si>
  <si>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</si>
  <si>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</si>
  <si>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</si>
  <si>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</si>
  <si>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</si>
  <si>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</si>
  <si>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</si>
  <si>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</si>
  <si>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</si>
  <si>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</si>
  <si>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</si>
  <si>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</si>
  <si>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</si>
  <si>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</si>
  <si>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</si>
  <si>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</si>
  <si>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</si>
  <si>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</si>
  <si>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</si>
  <si>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</si>
  <si>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</si>
  <si>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</si>
  <si>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</si>
  <si>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</si>
  <si>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</si>
  <si>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</si>
  <si>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</si>
  <si>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</si>
  <si>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</si>
  <si>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</si>
  <si>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</si>
  <si>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</si>
  <si>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</si>
  <si>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</si>
  <si>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</si>
  <si>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</si>
  <si>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</si>
  <si>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</si>
  <si>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</si>
  <si>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</si>
  <si>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</si>
  <si>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</si>
  <si>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</si>
  <si>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</si>
  <si>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</si>
  <si>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</si>
  <si>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</si>
  <si>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</si>
  <si>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</si>
  <si>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</si>
  <si>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</si>
  <si>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</si>
  <si>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</si>
  <si>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</si>
  <si>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</si>
  <si>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</si>
  <si>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</si>
  <si>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</si>
  <si>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</si>
  <si>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</si>
  <si>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</si>
  <si>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</si>
  <si>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</si>
  <si>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</si>
  <si>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</si>
  <si>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</si>
  <si>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</si>
  <si>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</si>
  <si>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</si>
  <si>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</si>
  <si>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</si>
  <si>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</si>
  <si>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</si>
  <si>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</si>
  <si>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</si>
  <si>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</si>
  <si>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</si>
  <si>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</si>
  <si>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</si>
  <si>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</si>
  <si>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</si>
  <si>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</si>
  <si>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</si>
  <si>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</si>
  <si>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</si>
  <si>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</si>
  <si>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</si>
  <si>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</si>
  <si>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</si>
  <si>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</si>
  <si>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</si>
  <si>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</si>
  <si>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</si>
  <si>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</si>
  <si>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</si>
  <si>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</si>
  <si>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</si>
  <si>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</si>
  <si>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</si>
  <si>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</si>
  <si>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</si>
  <si>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</si>
  <si>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</si>
  <si>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</si>
  <si>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</si>
  <si>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</si>
  <si>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</si>
  <si>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</si>
  <si>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</si>
  <si>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</si>
  <si>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</si>
  <si>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</si>
  <si>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</si>
  <si>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</si>
  <si>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</si>
  <si>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</si>
  <si>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</si>
  <si>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</si>
  <si>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</si>
  <si>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</si>
  <si>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</si>
  <si>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</si>
  <si>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</si>
  <si>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</si>
  <si>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</si>
  <si>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</si>
  <si>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</si>
  <si>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</si>
  <si>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</si>
  <si>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</si>
  <si>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</si>
  <si>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</si>
  <si>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</si>
  <si>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</si>
  <si>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</si>
  <si>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</si>
  <si>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</si>
  <si>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</si>
  <si>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</si>
  <si>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</si>
  <si>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</si>
  <si>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</si>
  <si>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</si>
  <si>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</si>
  <si>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</si>
  <si>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</si>
  <si>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</si>
  <si>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</si>
  <si>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</si>
  <si>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</si>
  <si>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</si>
  <si>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</si>
  <si>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</si>
  <si>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</si>
  <si>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</si>
  <si>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</si>
  <si>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</si>
  <si>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</si>
  <si>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</si>
  <si>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</si>
  <si>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</si>
  <si>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</si>
  <si>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</si>
  <si>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</si>
  <si>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</si>
  <si>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</si>
  <si>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</si>
  <si>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</si>
  <si>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</si>
  <si>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</si>
  <si>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</si>
  <si>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</si>
  <si>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</si>
  <si>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</si>
  <si>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</si>
  <si>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</si>
  <si>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</si>
  <si>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</si>
  <si>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</si>
  <si>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</si>
  <si>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</si>
  <si>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</si>
  <si>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</si>
  <si>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</si>
  <si>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</si>
  <si>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</si>
  <si>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</si>
  <si>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</si>
  <si>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</si>
  <si>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</si>
  <si>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</si>
  <si>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</si>
  <si>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</si>
  <si>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</si>
  <si>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</si>
  <si>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</si>
  <si>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</si>
  <si>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</si>
  <si>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</si>
  <si>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</si>
  <si>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</si>
  <si>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</si>
  <si>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</si>
  <si>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</si>
  <si>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</si>
  <si>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</si>
  <si>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</si>
  <si>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</si>
  <si>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</si>
  <si>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</si>
  <si>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</si>
  <si>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</si>
  <si>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</si>
  <si>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</si>
  <si>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</si>
  <si>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</si>
  <si>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</si>
  <si>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</si>
  <si>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</si>
  <si>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</si>
  <si>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</si>
  <si>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</si>
  <si>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</si>
  <si>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</si>
  <si>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</si>
  <si>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</si>
  <si>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</si>
  <si>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</si>
  <si>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</si>
  <si>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</si>
  <si>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</si>
  <si>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</si>
  <si>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</si>
  <si>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</si>
  <si>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</si>
  <si>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</si>
  <si>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</si>
  <si>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</si>
  <si>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</si>
  <si>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</si>
  <si>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</si>
  <si>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</si>
  <si>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</si>
  <si>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</si>
  <si>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</si>
  <si>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</si>
  <si>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</si>
  <si>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</si>
  <si>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</si>
  <si>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</si>
  <si>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</si>
  <si>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</si>
  <si>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</si>
  <si>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</si>
  <si>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</si>
  <si>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</si>
  <si>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</si>
  <si>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</si>
  <si>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</si>
  <si>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</si>
  <si>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</si>
  <si>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</si>
  <si>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</si>
  <si>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</si>
  <si>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</si>
  <si>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</si>
  <si>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</si>
  <si>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</si>
  <si>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</si>
  <si>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</si>
  <si>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</si>
  <si>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</si>
  <si>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</si>
  <si>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</si>
  <si>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</si>
  <si>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</si>
  <si>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</si>
  <si>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</si>
  <si>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</si>
  <si>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</si>
  <si>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</si>
  <si>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</si>
  <si>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</si>
  <si>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</si>
  <si>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</si>
  <si>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</si>
  <si>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</si>
  <si>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</si>
  <si>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</si>
  <si>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</si>
  <si>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</si>
  <si>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</si>
  <si>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</si>
  <si>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</si>
  <si>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</si>
  <si>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</si>
  <si>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</si>
  <si>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</si>
  <si>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</si>
  <si>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</si>
  <si>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</si>
  <si>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</si>
  <si>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</si>
  <si>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</si>
  <si>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</si>
  <si>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</si>
  <si>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</si>
  <si>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</si>
  <si>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</si>
  <si>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</si>
  <si>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</si>
  <si>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</si>
  <si>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</si>
  <si>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</si>
  <si>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</si>
  <si>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</si>
  <si>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</si>
  <si>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</si>
  <si>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</si>
  <si>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</si>
  <si>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</si>
  <si>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</si>
  <si>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</si>
  <si>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</si>
  <si>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</si>
  <si>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</si>
  <si>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</si>
  <si>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</si>
  <si>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</si>
  <si>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</si>
  <si>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</si>
  <si>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</si>
  <si>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</si>
  <si>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</si>
  <si>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</si>
  <si>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</si>
  <si>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</si>
  <si>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</si>
  <si>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</si>
  <si>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</si>
  <si>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</si>
  <si>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</si>
  <si>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</si>
  <si>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</si>
  <si>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</si>
  <si>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</si>
  <si>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</si>
  <si>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</si>
  <si>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</si>
  <si>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</si>
  <si>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</si>
  <si>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</si>
  <si>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</si>
  <si>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</si>
  <si>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</si>
  <si>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</si>
  <si>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</si>
  <si>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</si>
  <si>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</si>
  <si>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</si>
  <si>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</si>
  <si>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</si>
  <si>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</si>
  <si>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</si>
  <si>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</si>
  <si>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</si>
  <si>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</si>
  <si>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</si>
  <si>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</si>
  <si>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</si>
  <si>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</si>
  <si>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</si>
  <si>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</si>
  <si>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</si>
  <si>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</si>
  <si>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</si>
  <si>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</si>
  <si>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</si>
  <si>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</si>
  <si>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</si>
  <si>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</si>
  <si>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</si>
  <si>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</si>
  <si>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</si>
  <si>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</si>
  <si>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</si>
  <si>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</si>
  <si>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</si>
  <si>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</si>
  <si>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</si>
  <si>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</si>
  <si>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</si>
  <si>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</si>
  <si>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</si>
  <si>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</si>
  <si>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</si>
  <si>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</si>
  <si>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</si>
  <si>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</si>
  <si>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</si>
  <si>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</si>
  <si>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</si>
  <si>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</si>
  <si>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</si>
  <si>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</si>
  <si>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</si>
  <si>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</si>
  <si>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</si>
  <si>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</si>
  <si>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</si>
  <si>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</si>
  <si>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</si>
  <si>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</si>
  <si>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</si>
  <si>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</si>
  <si>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</si>
  <si>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</si>
  <si>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</si>
  <si>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</si>
  <si>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</si>
  <si>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</si>
  <si>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</si>
  <si>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</si>
  <si>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</si>
  <si>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</si>
  <si>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</si>
  <si>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</si>
  <si>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</si>
  <si>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</si>
  <si>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</si>
  <si>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</si>
  <si>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</si>
  <si>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</si>
  <si>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</si>
  <si>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</si>
  <si>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</si>
  <si>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</si>
  <si>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</si>
  <si>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</si>
  <si>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</si>
  <si>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</si>
  <si>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</si>
  <si>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</si>
  <si>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</si>
  <si>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</si>
  <si>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</si>
  <si>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</si>
  <si>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</si>
  <si>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</si>
  <si>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</si>
  <si>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</si>
  <si>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</si>
  <si>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</si>
  <si>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</si>
  <si>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</si>
  <si>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</si>
  <si>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</si>
  <si>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</si>
  <si>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</si>
  <si>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</si>
  <si>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</si>
  <si>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</si>
  <si>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</si>
  <si>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</si>
  <si>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</si>
  <si>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</si>
  <si>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</si>
  <si>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</si>
  <si>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</si>
  <si>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</si>
  <si>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</si>
  <si>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</si>
  <si>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</si>
  <si>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</si>
  <si>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</si>
  <si>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</si>
  <si>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</si>
  <si>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</si>
  <si>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</si>
  <si>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</si>
  <si>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</si>
  <si>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</si>
  <si>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</si>
  <si>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</si>
  <si>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</si>
  <si>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</si>
  <si>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</si>
  <si>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</si>
  <si>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</si>
  <si>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</si>
  <si>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</si>
  <si>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</si>
  <si>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</si>
  <si>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</si>
  <si>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</si>
  <si>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</si>
  <si>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</si>
  <si>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</si>
  <si>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</si>
  <si>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</si>
  <si>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</si>
  <si>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</si>
  <si>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</si>
  <si>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</si>
  <si>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</si>
  <si>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</si>
  <si>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</si>
  <si>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</si>
  <si>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</si>
  <si>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</si>
  <si>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</si>
  <si>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</si>
  <si>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</si>
  <si>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</si>
  <si>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</si>
  <si>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</si>
  <si>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</si>
  <si>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</si>
  <si>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</si>
  <si>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</si>
  <si>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</si>
  <si>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</si>
  <si>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</si>
  <si>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</si>
  <si>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</si>
  <si>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</si>
  <si>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</si>
  <si>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</si>
  <si>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</si>
  <si>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</si>
  <si>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</si>
  <si>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</si>
  <si>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</si>
  <si>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</si>
  <si>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</si>
  <si>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</si>
  <si>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</si>
  <si>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</si>
  <si>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</si>
  <si>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</si>
  <si>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</si>
  <si>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</si>
  <si>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</si>
  <si>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</si>
  <si>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</si>
  <si>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</si>
  <si>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</si>
  <si>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</si>
  <si>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</si>
  <si>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</si>
  <si>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</si>
  <si>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</si>
  <si>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</si>
  <si>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</si>
  <si>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</si>
  <si>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</si>
  <si>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</si>
  <si>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</si>
  <si>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</si>
  <si>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</si>
  <si>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</si>
  <si>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</si>
  <si>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</si>
  <si>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</si>
  <si>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</si>
  <si>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</si>
  <si>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</si>
  <si>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</si>
  <si>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</si>
  <si>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</si>
  <si>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</si>
  <si>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</si>
  <si>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</si>
  <si>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</si>
  <si>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</si>
  <si>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</si>
  <si>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</si>
  <si>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</si>
  <si>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</si>
  <si>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</si>
  <si>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</si>
  <si>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</si>
  <si>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</si>
  <si>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</si>
  <si>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</si>
  <si>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</si>
  <si>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</si>
  <si>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</si>
  <si>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</si>
  <si>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</si>
  <si>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</si>
  <si>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</si>
  <si>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</si>
  <si>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</si>
  <si>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</si>
  <si>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</si>
  <si>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</si>
  <si>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</si>
  <si>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</si>
  <si>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</si>
  <si>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</si>
  <si>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</si>
  <si>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</si>
  <si>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</si>
  <si>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</si>
  <si>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</si>
  <si>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</si>
  <si>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</si>
  <si>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</si>
  <si>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</si>
  <si>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</si>
  <si>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</si>
  <si>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</si>
  <si>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</si>
  <si>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</si>
  <si>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</si>
  <si>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</si>
  <si>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</si>
  <si>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</si>
  <si>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</si>
  <si>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</si>
  <si>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</si>
  <si>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</si>
  <si>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</si>
  <si>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</si>
  <si>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</si>
  <si>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</si>
  <si>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</si>
  <si>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</si>
  <si>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</si>
  <si>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</si>
  <si>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</si>
  <si>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</si>
  <si>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</si>
  <si>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</si>
  <si>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</si>
  <si>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</si>
  <si>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</si>
  <si>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</si>
  <si>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</si>
  <si>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</si>
  <si>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</si>
  <si>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</si>
  <si>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</si>
  <si>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</si>
  <si>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</si>
  <si>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</si>
  <si>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</si>
  <si>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</si>
  <si>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</si>
  <si>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</si>
  <si>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</si>
  <si>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</si>
  <si>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</si>
  <si>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</si>
  <si>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</si>
  <si>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</si>
  <si>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</si>
  <si>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</si>
  <si>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</si>
  <si>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</si>
  <si>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</si>
  <si>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</si>
  <si>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</si>
  <si>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</si>
  <si>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</si>
  <si>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</si>
  <si>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</si>
  <si>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</si>
  <si>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</si>
  <si>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</si>
  <si>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</si>
  <si>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</si>
  <si>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</si>
  <si>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</si>
  <si>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</si>
  <si>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</si>
  <si>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</si>
  <si>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</si>
  <si>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</si>
  <si>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</si>
  <si>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</si>
  <si>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</si>
  <si>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</si>
  <si>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</si>
  <si>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</si>
  <si>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</si>
  <si>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</si>
  <si>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</si>
  <si>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</si>
  <si>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</si>
  <si>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</si>
  <si>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</si>
  <si>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</si>
  <si>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</si>
  <si>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</si>
  <si>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</si>
  <si>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</si>
  <si>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</si>
  <si>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</si>
  <si>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</si>
  <si>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</si>
  <si>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</si>
  <si>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</si>
  <si>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</si>
  <si>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</si>
  <si>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</si>
  <si>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</si>
  <si>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</si>
  <si>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</si>
  <si>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</si>
  <si>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</si>
  <si>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</si>
  <si>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</si>
  <si>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</si>
  <si>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</si>
  <si>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</si>
  <si>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</si>
  <si>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</si>
  <si>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</si>
  <si>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</si>
  <si>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</si>
  <si>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</si>
  <si>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</si>
  <si>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</si>
  <si>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</si>
  <si>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</si>
  <si>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</si>
  <si>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</si>
  <si>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</si>
  <si>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</si>
  <si>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</si>
  <si>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</si>
  <si>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</si>
  <si>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</si>
  <si>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</si>
  <si>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</si>
  <si>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</si>
  <si>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</si>
  <si>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</si>
  <si>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</si>
  <si>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</si>
  <si>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</si>
  <si>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</si>
  <si>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</si>
  <si>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</si>
  <si>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</si>
  <si>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</si>
  <si>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</si>
  <si>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</si>
  <si>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</si>
  <si>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</si>
  <si>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</si>
  <si>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</si>
  <si>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</si>
  <si>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</si>
  <si>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</si>
  <si>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</si>
  <si>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</si>
  <si>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</si>
  <si>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</si>
  <si>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</si>
  <si>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</si>
  <si>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</si>
  <si>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</si>
  <si>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</si>
  <si>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</si>
  <si>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</si>
  <si>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</si>
  <si>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</si>
  <si>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</si>
  <si>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</si>
  <si>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</si>
  <si>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</si>
  <si>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</si>
  <si>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</si>
  <si>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</si>
  <si>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</si>
  <si>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</si>
  <si>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</si>
  <si>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</si>
  <si>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</si>
  <si>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</si>
  <si>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</si>
  <si>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</si>
  <si>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</si>
  <si>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</si>
  <si>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</si>
  <si>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</si>
  <si>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</si>
  <si>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</si>
  <si>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</si>
  <si>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</si>
  <si>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</si>
  <si>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</si>
  <si>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</si>
  <si>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</si>
  <si>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</si>
  <si>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</si>
  <si>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</si>
  <si>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</si>
  <si>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</si>
  <si>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</si>
  <si>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</si>
  <si>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</si>
  <si>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</si>
  <si>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</si>
  <si>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</si>
  <si>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</si>
  <si>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</si>
  <si>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</si>
  <si>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</si>
  <si>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</si>
  <si>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</si>
  <si>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</si>
  <si>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</si>
  <si>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</si>
  <si>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</si>
  <si>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</si>
  <si>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</si>
  <si>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</si>
  <si>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</si>
  <si>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</si>
  <si>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</si>
  <si>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</si>
  <si>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</si>
  <si>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</si>
  <si>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</si>
  <si>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</si>
  <si>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</si>
  <si>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</si>
  <si>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</si>
  <si>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</si>
  <si>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</si>
  <si>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</si>
  <si>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</si>
  <si>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</si>
  <si>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</si>
  <si>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</si>
  <si>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</si>
  <si>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</si>
  <si>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</si>
  <si>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</si>
  <si>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</si>
  <si>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</si>
  <si>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</si>
  <si>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</si>
  <si>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</si>
  <si>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</si>
  <si>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</si>
  <si>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</si>
  <si>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</si>
  <si>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</si>
  <si>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</si>
  <si>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</si>
  <si>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</si>
  <si>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</si>
  <si>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</si>
  <si>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</si>
  <si>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</si>
  <si>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</si>
  <si>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</si>
  <si>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</si>
  <si>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</si>
  <si>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</si>
  <si>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</si>
  <si>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</si>
  <si>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</si>
  <si>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</si>
  <si>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</si>
  <si>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</si>
  <si>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</si>
  <si>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</si>
  <si>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</si>
  <si>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</si>
  <si>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</si>
  <si>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</si>
  <si>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</si>
  <si>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</si>
  <si>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</si>
  <si>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</si>
  <si>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</si>
  <si>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</si>
  <si>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</si>
  <si>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</si>
  <si>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</si>
  <si>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</si>
  <si>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</si>
  <si>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</si>
  <si>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</si>
  <si>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</si>
  <si>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</si>
  <si>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</si>
  <si>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</si>
  <si>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</si>
  <si>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</si>
  <si>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</si>
  <si>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</si>
  <si>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</si>
  <si>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</si>
  <si>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</si>
  <si>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</si>
  <si>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</si>
  <si>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</si>
  <si>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</si>
  <si>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</si>
  <si>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</si>
  <si>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</si>
  <si>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</si>
  <si>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</si>
  <si>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</si>
  <si>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</si>
  <si>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</si>
  <si>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</si>
  <si>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</si>
  <si>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</si>
  <si>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</si>
  <si>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</si>
  <si>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</si>
  <si>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</si>
  <si>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</si>
  <si>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</si>
  <si>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</si>
  <si>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</si>
  <si>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</si>
  <si>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</si>
  <si>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</si>
  <si>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</si>
  <si>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</si>
  <si>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</si>
  <si>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</si>
  <si>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</si>
  <si>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</si>
  <si>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</si>
  <si>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</si>
  <si>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</si>
  <si>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</si>
  <si>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</si>
  <si>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</si>
  <si>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</si>
  <si>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</si>
  <si>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</si>
  <si>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</si>
  <si>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</si>
  <si>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</si>
  <si>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</si>
  <si>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</si>
  <si>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</si>
  <si>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</si>
  <si>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</si>
  <si>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</si>
  <si>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</si>
  <si>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</si>
  <si>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</si>
  <si>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</si>
  <si>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</si>
  <si>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</si>
  <si>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</si>
  <si>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</si>
  <si>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</si>
  <si>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</si>
  <si>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</si>
  <si>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</si>
  <si>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</si>
  <si>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</si>
  <si>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</si>
  <si>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</si>
  <si>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</si>
  <si>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</si>
  <si>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</si>
  <si>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</si>
  <si>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</si>
  <si>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</si>
  <si>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</si>
  <si>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</si>
  <si>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</si>
  <si>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</si>
  <si>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</si>
  <si>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</si>
  <si>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</si>
  <si>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</si>
  <si>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</si>
  <si>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</si>
  <si>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</si>
  <si>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</si>
  <si>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</si>
  <si>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</si>
  <si>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</si>
  <si>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</si>
  <si>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</si>
  <si>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</si>
  <si>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</si>
  <si>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</si>
  <si>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</si>
  <si>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</si>
  <si>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</si>
  <si>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</si>
  <si>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</si>
  <si>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</si>
  <si>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</si>
  <si>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</si>
  <si>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</si>
  <si>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</si>
  <si>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</si>
  <si>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</si>
  <si>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</si>
  <si>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</si>
  <si>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</si>
  <si>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</si>
  <si>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</si>
  <si>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</si>
  <si>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</si>
  <si>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</si>
  <si>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</si>
  <si>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</si>
  <si>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</si>
  <si>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</si>
  <si>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</si>
  <si>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</si>
  <si>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</si>
  <si>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</si>
  <si>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</si>
  <si>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</si>
  <si>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</si>
  <si>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</si>
  <si>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</si>
  <si>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</si>
  <si>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</si>
  <si>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</si>
  <si>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</si>
  <si>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</si>
  <si>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</si>
  <si>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</si>
  <si>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</si>
  <si>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</si>
  <si>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</si>
  <si>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</si>
  <si>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</si>
  <si>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</si>
  <si>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</si>
  <si>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</si>
  <si>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</si>
  <si>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</si>
  <si>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</si>
  <si>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</si>
  <si>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</si>
  <si>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</si>
  <si>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</si>
  <si>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</si>
  <si>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</si>
  <si>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</si>
  <si>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</si>
  <si>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</si>
  <si>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</si>
  <si>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</si>
  <si>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</si>
  <si>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</si>
  <si>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</si>
  <si>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</si>
  <si>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</si>
  <si>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</si>
  <si>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</si>
  <si>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</si>
  <si>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</si>
  <si>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</si>
  <si>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</si>
  <si>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</si>
  <si>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</si>
  <si>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</si>
  <si>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</si>
  <si>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</si>
  <si>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</si>
  <si>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</si>
  <si>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</si>
  <si>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</si>
  <si>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</si>
  <si>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</si>
  <si>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</si>
  <si>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</si>
  <si>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</si>
  <si>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</si>
  <si>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</si>
  <si>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</si>
  <si>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</si>
  <si>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</si>
  <si>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</si>
  <si>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</si>
  <si>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</si>
  <si>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</si>
  <si>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</si>
  <si>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</si>
  <si>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</si>
  <si>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</si>
  <si>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</si>
  <si>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</si>
  <si>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</si>
  <si>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</si>
  <si>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</si>
  <si>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</si>
  <si>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</si>
  <si>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</si>
  <si>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</si>
  <si>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</si>
  <si>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</si>
  <si>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</si>
  <si>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</si>
  <si>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</si>
  <si>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</si>
  <si>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</si>
  <si>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</si>
  <si>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</si>
  <si>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</si>
  <si>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</si>
  <si>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</si>
  <si>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</si>
  <si>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</si>
  <si>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</si>
  <si>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</si>
  <si>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</si>
  <si>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</si>
  <si>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</si>
  <si>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</si>
  <si>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</si>
  <si>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</si>
  <si>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</si>
  <si>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</si>
  <si>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</si>
  <si>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</si>
  <si>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</si>
  <si>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</si>
  <si>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</si>
  <si>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</si>
  <si>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</si>
  <si>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</si>
  <si>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</si>
  <si>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</si>
  <si>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</si>
  <si>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</si>
  <si>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</si>
  <si>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</si>
  <si>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</si>
  <si>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</si>
  <si>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</si>
  <si>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</si>
  <si>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</si>
  <si>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</si>
  <si>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</si>
  <si>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</si>
  <si>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</si>
  <si>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</si>
  <si>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</si>
  <si>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</si>
  <si>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</si>
  <si>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</si>
  <si>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</si>
  <si>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</si>
  <si>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</si>
  <si>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</si>
  <si>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</si>
  <si>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</si>
  <si>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</si>
  <si>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</si>
  <si>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</si>
  <si>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</si>
  <si>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</si>
  <si>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</si>
  <si>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</si>
  <si>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</si>
  <si>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</si>
  <si>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</si>
  <si>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</si>
  <si>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</si>
  <si>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</si>
  <si>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</si>
  <si>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</si>
  <si>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</si>
  <si>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</si>
  <si>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</si>
  <si>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</si>
  <si>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</si>
  <si>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</si>
  <si>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</si>
  <si>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</si>
  <si>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</si>
  <si>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</si>
  <si>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</si>
  <si>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</si>
  <si>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</si>
  <si>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</si>
  <si>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</si>
  <si>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</si>
  <si>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</si>
  <si>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</si>
  <si>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</si>
  <si>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</si>
  <si>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</si>
  <si>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</si>
  <si>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</si>
  <si>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</si>
  <si>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</si>
  <si>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</si>
  <si>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</si>
  <si>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</si>
  <si>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</si>
  <si>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</si>
  <si>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</si>
  <si>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</si>
  <si>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</si>
  <si>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</si>
  <si>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</si>
  <si>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</si>
  <si>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</si>
  <si>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</si>
  <si>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</si>
  <si>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</si>
  <si>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</si>
  <si>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</si>
  <si>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</si>
  <si>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</si>
  <si>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</si>
  <si>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</si>
  <si>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</si>
  <si>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</si>
  <si>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</si>
  <si>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</si>
  <si>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</si>
  <si>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</si>
  <si>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</si>
  <si>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</si>
  <si>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</si>
  <si>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</si>
  <si>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</si>
  <si>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</si>
  <si>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</si>
  <si>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</si>
  <si>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</si>
  <si>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</si>
  <si>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</si>
  <si>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</si>
  <si>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</si>
  <si>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</si>
  <si>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</si>
  <si>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</si>
  <si>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</si>
  <si>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</si>
  <si>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</si>
  <si>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</si>
  <si>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</si>
  <si>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</si>
  <si>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</si>
  <si>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</si>
  <si>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</si>
  <si>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</si>
  <si>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</si>
  <si>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</si>
  <si>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</si>
  <si>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</si>
  <si>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</si>
  <si>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</si>
  <si>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</si>
  <si>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</si>
  <si>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</si>
  <si>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</si>
  <si>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</si>
  <si>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</si>
  <si>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</si>
  <si>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</si>
  <si>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</si>
  <si>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</si>
  <si>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</si>
  <si>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</si>
  <si>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</si>
  <si>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</si>
  <si>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</si>
  <si>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</si>
  <si>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</si>
  <si>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</si>
  <si>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</si>
  <si>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</si>
  <si>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</si>
  <si>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</si>
  <si>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</si>
  <si>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</si>
  <si>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</si>
  <si>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</si>
  <si>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</si>
  <si>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</si>
  <si>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</si>
  <si>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</si>
  <si>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</si>
  <si>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</si>
  <si>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</si>
  <si>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</si>
  <si>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</si>
  <si>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</si>
  <si>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</si>
  <si>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</si>
  <si>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</si>
  <si>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</si>
  <si>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</si>
  <si>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</si>
  <si>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</si>
  <si>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</si>
  <si>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</si>
  <si>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</si>
  <si>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</si>
  <si>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</si>
  <si>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</si>
  <si>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</si>
  <si>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</si>
  <si>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</si>
  <si>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</si>
  <si>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</si>
  <si>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</si>
  <si>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</si>
  <si>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</si>
  <si>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</si>
  <si>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</si>
  <si>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</si>
  <si>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</si>
  <si>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</si>
  <si>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</si>
  <si>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</si>
  <si>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</si>
  <si>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</si>
  <si>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</si>
  <si>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</si>
  <si>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</si>
  <si>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</si>
  <si>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</si>
  <si>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</si>
  <si>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</si>
  <si>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</si>
  <si>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</si>
  <si>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</si>
  <si>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</si>
  <si>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</si>
  <si>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</si>
  <si>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</si>
  <si>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</si>
  <si>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</si>
  <si>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</si>
  <si>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</si>
  <si>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</si>
  <si>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</si>
  <si>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</si>
  <si>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</si>
  <si>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</si>
  <si>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</si>
  <si>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</si>
  <si>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</si>
  <si>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</si>
  <si>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</si>
  <si>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</si>
  <si>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</si>
  <si>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</si>
  <si>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</si>
  <si>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</si>
  <si>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</si>
  <si>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</si>
  <si>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</si>
  <si>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</si>
  <si>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</si>
  <si>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</si>
  <si>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</si>
  <si>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</si>
  <si>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</si>
  <si>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</si>
  <si>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</si>
  <si>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</si>
  <si>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</si>
  <si>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</si>
  <si>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</si>
  <si>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</si>
  <si>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</si>
  <si>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</si>
  <si>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</si>
  <si>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</si>
  <si>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</si>
  <si>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</si>
  <si>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</si>
  <si>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</si>
  <si>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</si>
  <si>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</si>
  <si>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</si>
  <si>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</si>
  <si>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</si>
  <si>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</si>
  <si>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</si>
  <si>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</si>
  <si>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</si>
  <si>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</si>
  <si>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</si>
  <si>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</si>
  <si>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</si>
  <si>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</si>
  <si>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</si>
  <si>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</si>
  <si>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</si>
  <si>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</si>
  <si>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</si>
  <si>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</si>
  <si>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</si>
  <si>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</si>
  <si>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</si>
  <si>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</si>
  <si>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</si>
  <si>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</si>
  <si>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</si>
  <si>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</si>
  <si>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</si>
  <si>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</si>
  <si>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</si>
  <si>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</si>
  <si>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</si>
  <si>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</si>
  <si>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</si>
  <si>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</si>
  <si>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</si>
  <si>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</si>
  <si>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</si>
  <si>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</si>
  <si>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</si>
  <si>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</si>
  <si>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</si>
  <si>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</si>
  <si>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</si>
  <si>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</si>
  <si>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</si>
  <si>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</si>
  <si>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</si>
  <si>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</si>
  <si>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</si>
  <si>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</si>
  <si>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</si>
  <si>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</si>
  <si>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</si>
  <si>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</si>
  <si>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</si>
  <si>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</si>
  <si>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</si>
  <si>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</si>
  <si>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</si>
  <si>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</si>
  <si>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</si>
  <si>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</si>
  <si>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</si>
  <si>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</si>
  <si>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</si>
  <si>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</si>
  <si>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</si>
  <si>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</si>
  <si>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</si>
  <si>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</si>
  <si>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</si>
  <si>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</si>
  <si>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</si>
  <si>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</si>
  <si>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</si>
  <si>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</si>
  <si>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</si>
  <si>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</si>
  <si>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</si>
  <si>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</si>
  <si>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</si>
  <si>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</si>
  <si>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</si>
  <si>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</si>
  <si>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</si>
  <si>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</si>
  <si>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</si>
  <si>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</si>
  <si>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</si>
  <si>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</si>
  <si>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</si>
  <si>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</si>
  <si>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</si>
  <si>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</si>
  <si>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</si>
  <si>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</si>
  <si>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</si>
  <si>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</si>
  <si>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</si>
  <si>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</si>
  <si>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</si>
  <si>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</si>
  <si>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</si>
  <si>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</si>
  <si>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</si>
  <si>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</si>
  <si>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</si>
  <si>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</si>
  <si>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</si>
  <si>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</si>
  <si>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</si>
  <si>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</si>
  <si>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</si>
  <si>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</si>
  <si>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</si>
  <si>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</si>
  <si>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</si>
  <si>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</si>
  <si>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</si>
  <si>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</si>
  <si>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</si>
  <si>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</si>
  <si>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</si>
  <si>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</si>
  <si>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</si>
  <si>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</si>
  <si>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</si>
  <si>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</si>
  <si>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</si>
  <si>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</si>
  <si>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</si>
  <si>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</si>
  <si>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</si>
  <si>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</si>
  <si>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</si>
  <si>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</si>
  <si>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</si>
  <si>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</si>
  <si>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</si>
  <si>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</si>
  <si>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</si>
  <si>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</si>
  <si>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</si>
  <si>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</si>
  <si>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</si>
  <si>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</si>
  <si>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</si>
  <si>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</si>
  <si>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</si>
  <si>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</si>
  <si>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</si>
  <si>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</si>
  <si>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</si>
  <si>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</si>
  <si>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</si>
  <si>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</si>
  <si>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</si>
  <si>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</si>
  <si>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</si>
  <si>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</si>
  <si>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</si>
  <si>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</si>
  <si>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</si>
  <si>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</si>
  <si>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</si>
  <si>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</si>
  <si>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</si>
  <si>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</si>
  <si>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</si>
  <si>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</si>
  <si>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</si>
  <si>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</si>
  <si>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</si>
  <si>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</si>
  <si>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</si>
  <si>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</si>
  <si>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</si>
  <si>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</si>
  <si>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</si>
  <si>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</si>
  <si>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</si>
  <si>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</si>
  <si>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</si>
  <si>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</si>
  <si>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</si>
  <si>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</si>
  <si>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</si>
  <si>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</si>
  <si>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</si>
  <si>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</si>
  <si>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</si>
  <si>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</si>
  <si>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</si>
  <si>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</si>
  <si>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</si>
  <si>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</si>
  <si>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</si>
  <si>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</si>
  <si>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</si>
  <si>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</si>
  <si>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</si>
  <si>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</si>
  <si>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</si>
  <si>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</si>
  <si>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</si>
  <si>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</si>
  <si>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</si>
  <si>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</si>
  <si>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</si>
  <si>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</si>
  <si>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</si>
  <si>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</si>
  <si>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</si>
  <si>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</si>
  <si>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</si>
  <si>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</si>
  <si>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</si>
  <si>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</si>
  <si>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</si>
  <si>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</si>
  <si>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</si>
  <si>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</si>
  <si>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</si>
  <si>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</si>
  <si>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</si>
  <si>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</si>
  <si>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</si>
  <si>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</si>
  <si>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</si>
  <si>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</si>
  <si>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</si>
  <si>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</si>
  <si>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</si>
  <si>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</si>
  <si>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</si>
  <si>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</si>
  <si>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</si>
  <si>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</si>
  <si>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</si>
  <si>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</si>
  <si>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</si>
  <si>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</si>
  <si>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</si>
  <si>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</si>
  <si>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</si>
  <si>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</si>
  <si>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</si>
  <si>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</si>
  <si>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</si>
  <si>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</si>
  <si>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</si>
  <si>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</si>
  <si>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</si>
  <si>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</si>
  <si>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</si>
  <si>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</si>
  <si>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</si>
  <si>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</si>
  <si>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</si>
  <si>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</si>
  <si>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</si>
  <si>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</si>
  <si>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</si>
  <si>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</si>
  <si>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</si>
  <si>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</si>
  <si>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</si>
  <si>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</si>
  <si>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</si>
  <si>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</si>
  <si>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</si>
  <si>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</si>
  <si>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</si>
  <si>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</si>
  <si>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</si>
  <si>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</si>
  <si>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</si>
  <si>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</si>
  <si>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</si>
  <si>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</si>
  <si>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</si>
  <si>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</si>
  <si>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</si>
  <si>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</si>
  <si>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</si>
  <si>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</si>
  <si>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</si>
  <si>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</si>
  <si>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</si>
  <si>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</si>
  <si>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</si>
  <si>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</si>
  <si>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</si>
  <si>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</si>
  <si>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</si>
  <si>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</si>
  <si>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</si>
  <si>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</si>
  <si>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</si>
  <si>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</si>
  <si>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</si>
  <si>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</si>
  <si>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</si>
  <si>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</si>
  <si>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</si>
  <si>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</si>
  <si>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</si>
  <si>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</si>
  <si>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</si>
  <si>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</si>
  <si>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</si>
  <si>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</si>
  <si>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</si>
  <si>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</si>
  <si>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</si>
  <si>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</si>
  <si>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</si>
  <si>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</si>
  <si>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</si>
  <si>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</si>
  <si>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</si>
  <si>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</si>
  <si>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</si>
  <si>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</si>
  <si>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</si>
  <si>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</si>
  <si>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</si>
  <si>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</si>
  <si>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</si>
  <si>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</si>
  <si>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</si>
  <si>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</si>
  <si>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</si>
  <si>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</si>
  <si>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</si>
  <si>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</si>
  <si>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</si>
  <si>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</si>
  <si>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</si>
  <si>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</si>
  <si>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</si>
  <si>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</si>
  <si>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</si>
  <si>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</si>
  <si>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</si>
  <si>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</si>
  <si>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</si>
  <si>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</si>
  <si>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</si>
  <si>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</si>
  <si>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</si>
  <si>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</si>
  <si>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</si>
  <si>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</si>
  <si>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</si>
  <si>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</si>
  <si>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</si>
  <si>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</si>
  <si>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</si>
  <si>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</si>
  <si>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</si>
  <si>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</si>
  <si>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</si>
  <si>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</si>
  <si>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</si>
  <si>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</si>
  <si>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</si>
  <si>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</si>
  <si>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</si>
  <si>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</si>
  <si>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</si>
  <si>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</si>
  <si>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</si>
  <si>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</si>
  <si>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</si>
  <si>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</si>
  <si>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</si>
  <si>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</si>
  <si>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</si>
  <si>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</si>
  <si>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</si>
  <si>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</si>
  <si>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</si>
  <si>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</si>
  <si>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</si>
  <si>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</si>
  <si>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</si>
  <si>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</si>
  <si>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</si>
  <si>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</si>
  <si>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</si>
  <si>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</si>
  <si>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</si>
  <si>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</si>
  <si>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</si>
  <si>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</si>
  <si>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</si>
  <si>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</si>
  <si>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</si>
  <si>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</si>
  <si>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</si>
  <si>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</si>
  <si>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</si>
  <si>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</si>
  <si>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</si>
  <si>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</si>
  <si>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</si>
  <si>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</si>
  <si>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</si>
  <si>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</si>
  <si>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</si>
  <si>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</si>
  <si>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</si>
  <si>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</si>
  <si>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</si>
  <si>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</si>
  <si>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</si>
  <si>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</si>
  <si>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</si>
  <si>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</si>
  <si>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</si>
  <si>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</si>
  <si>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</si>
  <si>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</si>
  <si>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</si>
  <si>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</si>
  <si>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</si>
  <si>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</si>
  <si>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</si>
  <si>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</si>
  <si>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</si>
  <si>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</si>
  <si>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</si>
  <si>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</si>
  <si>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</si>
  <si>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</si>
  <si>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</si>
  <si>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</si>
  <si>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</si>
  <si>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</si>
  <si>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</si>
  <si>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</si>
  <si>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</si>
  <si>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</si>
  <si>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</si>
  <si>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</si>
  <si>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</si>
  <si>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</si>
  <si>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</si>
  <si>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</si>
  <si>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</si>
  <si>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</si>
  <si>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</si>
  <si>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</si>
  <si>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</si>
  <si>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</si>
  <si>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</si>
  <si>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</si>
  <si>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</si>
  <si>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</si>
  <si>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</si>
  <si>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</si>
  <si>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</si>
  <si>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</si>
  <si>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</si>
  <si>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</si>
  <si>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</si>
  <si>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</si>
  <si>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</si>
  <si>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</si>
  <si>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</si>
  <si>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</si>
  <si>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</si>
  <si>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</si>
  <si>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</si>
  <si>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</si>
  <si>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</si>
  <si>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</si>
  <si>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</si>
  <si>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</si>
  <si>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</si>
  <si>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</si>
  <si>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</si>
  <si>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</si>
  <si>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</si>
  <si>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</si>
  <si>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</si>
  <si>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</si>
  <si>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</si>
  <si>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</si>
  <si>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</si>
  <si>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</si>
  <si>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</si>
  <si>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</si>
  <si>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</si>
  <si>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</si>
  <si>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</si>
  <si>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</si>
  <si>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</si>
  <si>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</si>
  <si>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</si>
  <si>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</si>
  <si>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</si>
  <si>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</si>
  <si>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</si>
  <si>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</si>
  <si>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</si>
  <si>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</si>
  <si>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</si>
  <si>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</si>
  <si>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</si>
  <si>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</si>
  <si>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</si>
  <si>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</si>
  <si>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</si>
  <si>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</si>
  <si>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</si>
  <si>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</si>
  <si>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</si>
  <si>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</si>
  <si>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</si>
  <si>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</si>
  <si>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</si>
  <si>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</si>
  <si>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</si>
  <si>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</si>
  <si>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</si>
  <si>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</si>
  <si>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</si>
  <si>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</si>
  <si>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</si>
  <si>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</si>
  <si>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</si>
  <si>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</si>
  <si>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房地产市场价值</t>
  </si>
  <si>
    <t>核定资产</t>
  </si>
  <si>
    <t>北京市</t>
  </si>
  <si>
    <t>企业</t>
  </si>
  <si>
    <t>出让</t>
  </si>
  <si>
    <t>地上</t>
  </si>
  <si>
    <t>是</t>
  </si>
  <si>
    <t>办公</t>
    <phoneticPr fontId="3" type="noConversion"/>
  </si>
  <si>
    <t>商业</t>
    <phoneticPr fontId="3" type="noConversion"/>
  </si>
  <si>
    <t>地下</t>
  </si>
  <si>
    <t>仓储</t>
  </si>
  <si>
    <t>地下仓储</t>
  </si>
  <si>
    <t>地下仓储</t>
    <phoneticPr fontId="3" type="noConversion"/>
  </si>
  <si>
    <t>办公</t>
    <phoneticPr fontId="7" type="noConversion"/>
  </si>
  <si>
    <t>商业</t>
    <phoneticPr fontId="7" type="noConversion"/>
  </si>
  <si>
    <t>地下仓储</t>
    <phoneticPr fontId="7" type="noConversion"/>
  </si>
  <si>
    <t>成新度</t>
  </si>
  <si>
    <t>商务金融用地（办公类）</t>
  </si>
  <si>
    <t>按公示增长率计算</t>
  </si>
  <si>
    <t>容积率修正</t>
  </si>
  <si>
    <t>收益法-办公</t>
  </si>
  <si>
    <t>收益法-办公</t>
    <phoneticPr fontId="16" type="noConversion"/>
  </si>
  <si>
    <t>收益法-商业</t>
  </si>
  <si>
    <t>收益法-商业</t>
    <phoneticPr fontId="16" type="noConversion"/>
  </si>
  <si>
    <t>收益法-仓储</t>
  </si>
  <si>
    <t>收益法-仓储</t>
    <phoneticPr fontId="16" type="noConversion"/>
  </si>
  <si>
    <t>钢混</t>
  </si>
  <si>
    <t>非生产用房</t>
  </si>
  <si>
    <t>假设开发法-办公</t>
    <phoneticPr fontId="16" type="noConversion"/>
  </si>
  <si>
    <t>假设开发法-商业</t>
    <phoneticPr fontId="16" type="noConversion"/>
  </si>
  <si>
    <t>假设开发法-仓储</t>
    <phoneticPr fontId="16" type="noConversion"/>
  </si>
  <si>
    <t>现房</t>
  </si>
  <si>
    <t>基准地价修正-办公</t>
  </si>
  <si>
    <t>基准地价修正-办公</t>
    <phoneticPr fontId="16" type="noConversion"/>
  </si>
  <si>
    <t>基准地价修正-商业</t>
  </si>
  <si>
    <t>基准地价修正-商业</t>
    <phoneticPr fontId="16" type="noConversion"/>
  </si>
  <si>
    <t>六通一平</t>
  </si>
  <si>
    <t>缺少</t>
  </si>
  <si>
    <t>通热</t>
  </si>
  <si>
    <t>较好</t>
  </si>
  <si>
    <t>成本法</t>
  </si>
  <si>
    <t>未包含在土地购买价格中</t>
  </si>
  <si>
    <t>已包含在土地取得成本中</t>
  </si>
  <si>
    <t>全部缴纳</t>
  </si>
  <si>
    <t>收益法（汇总）</t>
  </si>
  <si>
    <t>项目全部</t>
  </si>
  <si>
    <t>一般</t>
  </si>
  <si>
    <t>较差</t>
  </si>
  <si>
    <t>押一</t>
  </si>
  <si>
    <t>楼层修正</t>
  </si>
  <si>
    <t>按租金收入计税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</si>
</sst>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3">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638175</xdr:colOff>
      <xdr:row>19</xdr:row>
      <xdr:rowOff>144387</xdr:rowOff>
    </xdr:to>
    <xdr:pic>
      <xdr:nvPicPr>
        <xdr:cNvPr id="11264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867775" cy="3401937"/>
        </a:xfrm>
        <a:prstGeom prst="rect">
          <a:avLst/>
        </a:prstGeom>
        <a:noFill/>
        <a:ln w="1">
          <a:noFill/>
          <a:miter lim="800000"/>
          <a:headEnd/>
          <a:tailEnd type="none" w="med" len="med"/>
        </a:ln>
        <a:effectLst/>
      </xdr:spPr>
    </xdr:pic>
    <xdr:clientData/>
  </xdr:twoCellAnchor>
  <xdr:twoCellAnchor editAs="oneCell">
    <xdr:from>
      <xdr:col>0</xdr:col>
      <xdr:colOff>161925</xdr:colOff>
      <xdr:row>20</xdr:row>
      <xdr:rowOff>0</xdr:rowOff>
    </xdr:from>
    <xdr:to>
      <xdr:col>11</xdr:col>
      <xdr:colOff>666750</xdr:colOff>
      <xdr:row>42</xdr:row>
      <xdr:rowOff>49931</xdr:rowOff>
    </xdr:to>
    <xdr:pic>
      <xdr:nvPicPr>
        <xdr:cNvPr id="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61925" y="3429000"/>
          <a:ext cx="8048625" cy="3821831"/>
        </a:xfrm>
        <a:prstGeom prst="rect">
          <a:avLst/>
        </a:prstGeom>
        <a:noFill/>
        <a:ln w="1">
          <a:noFill/>
          <a:miter lim="800000"/>
          <a:headEnd/>
          <a:tailEnd type="none" w="med" len="med"/>
        </a:ln>
        <a:effectLst/>
      </xdr:spPr>
    </xdr:pic>
    <xdr:clientData/>
  </xdr:twoCellAnchor>
  <xdr:twoCellAnchor editAs="oneCell">
    <xdr:from>
      <xdr:col>12</xdr:col>
      <xdr:colOff>152399</xdr:colOff>
      <xdr:row>0</xdr:row>
      <xdr:rowOff>145685</xdr:rowOff>
    </xdr:from>
    <xdr:to>
      <xdr:col>23</xdr:col>
      <xdr:colOff>542924</xdr:colOff>
      <xdr:row>19</xdr:row>
      <xdr:rowOff>123825</xdr:rowOff>
    </xdr:to>
    <xdr:pic>
      <xdr:nvPicPr>
        <xdr:cNvPr id="112643"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8381999" y="145685"/>
          <a:ext cx="7934325" cy="3235690"/>
        </a:xfrm>
        <a:prstGeom prst="rect">
          <a:avLst/>
        </a:prstGeom>
        <a:noFill/>
        <a:ln w="1">
          <a:noFill/>
          <a:miter lim="800000"/>
          <a:headEnd/>
          <a:tailEnd type="none" w="med" len="med"/>
        </a:ln>
        <a:effectLst/>
      </xdr:spPr>
    </xdr:pic>
    <xdr:clientData/>
  </xdr:twoCellAnchor>
  <xdr:twoCellAnchor editAs="oneCell">
    <xdr:from>
      <xdr:col>11</xdr:col>
      <xdr:colOff>600075</xdr:colOff>
      <xdr:row>18</xdr:row>
      <xdr:rowOff>112530</xdr:rowOff>
    </xdr:from>
    <xdr:to>
      <xdr:col>23</xdr:col>
      <xdr:colOff>276225</xdr:colOff>
      <xdr:row>37</xdr:row>
      <xdr:rowOff>0</xdr:rowOff>
    </xdr:to>
    <xdr:pic>
      <xdr:nvPicPr>
        <xdr:cNvPr id="112644"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8143875" y="3198630"/>
          <a:ext cx="7905750" cy="314502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633138</xdr:colOff>
      <xdr:row>0</xdr:row>
      <xdr:rowOff>38101</xdr:rowOff>
    </xdr:from>
    <xdr:to>
      <xdr:col>18</xdr:col>
      <xdr:colOff>581025</xdr:colOff>
      <xdr:row>14</xdr:row>
      <xdr:rowOff>95251</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119538" y="38101"/>
          <a:ext cx="6805887" cy="2457450"/>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9</xdr:col>
      <xdr:colOff>153927</xdr:colOff>
      <xdr:row>34</xdr:row>
      <xdr:rowOff>19050</xdr:rowOff>
    </xdr:to>
    <xdr:pic>
      <xdr:nvPicPr>
        <xdr:cNvPr id="12185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326127" cy="58483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北京市房地产市场价值预评估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受贵公司委托，我公司对北京市房地产市场价值进行了预评估。</v>
      </c>
    </row>
    <row r="7" spans="1:2" s="1593" customFormat="1">
      <c r="A7" s="1591" t="s">
        <v>1260</v>
      </c>
      <c r="B7" s="1592" t="str">
        <f>'预评函-1'!A7</f>
        <v>估价对象为北京市房地产，为所有。根据《国有土地使用证》[]，估价对象（分摊）出让国有建设用地使用权面积为7100平方米，建筑面积为26356.14平方米。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估价对象为北京市房地产,为开发建设的，该项目尚在开发建设中。根据《国有土地使用证》[]，估价对象（分摊）出让国有建设用地使用权面积为7100平方米，规划建筑面积为26356.14平方米。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为估价委托人了解估价对象房地产市场价值提供参考依据。</v>
      </c>
    </row>
    <row r="12" spans="1:2" s="1593" customFormat="1">
      <c r="A12" s="1591" t="s">
        <v>1222</v>
      </c>
      <c r="B12" s="1592" t="str">
        <f>'预评函-1'!A15</f>
        <v>2019年3月14日</v>
      </c>
    </row>
    <row r="13" spans="1:2" s="1593" customFormat="1">
      <c r="A13" s="1591" t="s">
        <v>1223</v>
      </c>
      <c r="B13" s="1592" t="str">
        <f>'预评函-1'!A18</f>
        <v>本次估价的“房地产价值”是指在正常市场情况下，在价值时点2019年3月14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v>
      </c>
    </row>
    <row r="16" spans="1:2" s="1593" customFormat="1">
      <c r="A16" s="1591" t="s">
        <v>1226</v>
      </c>
      <c r="B16" s="1592" t="str">
        <f>'预评函-1'!A21</f>
        <v>——</v>
      </c>
    </row>
    <row r="17" spans="1:2" s="1593" customFormat="1">
      <c r="A17" s="1591" t="s">
        <v>1227</v>
      </c>
      <c r="B17" s="1592" t="str">
        <f>'预评函-1'!A22</f>
        <v>——</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1230</v>
      </c>
      <c r="B20" s="1592">
        <f ca="1">'预评函-2'!D5</f>
        <v>36668</v>
      </c>
    </row>
    <row r="21" spans="1:2" s="1593" customFormat="1">
      <c r="A21" s="1591" t="s">
        <v>1231</v>
      </c>
      <c r="B21" s="1592">
        <f ca="1">'预评函-2'!D7</f>
        <v>13913</v>
      </c>
    </row>
    <row r="22" spans="1:2" s="1593" customFormat="1">
      <c r="A22" s="1591" t="s">
        <v>1232</v>
      </c>
      <c r="B22" s="1592" t="str">
        <f ca="1">'预评函-2'!D6</f>
        <v>叁亿陆仟陆佰陆拾捌万元整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36668</v>
      </c>
    </row>
    <row r="31" spans="1:2" s="1593" customFormat="1">
      <c r="A31" s="1591" t="s">
        <v>1270</v>
      </c>
      <c r="B31" s="1592">
        <f ca="1">'预评函-2'!D15</f>
        <v>13913</v>
      </c>
    </row>
    <row r="32" spans="1:2" s="1593" customFormat="1">
      <c r="A32" s="1591" t="s">
        <v>1237</v>
      </c>
      <c r="B32" s="1592" t="str">
        <f ca="1">'预评函-2'!D14</f>
        <v>叁亿陆仟陆佰陆拾捌万元整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北京市房地产</v>
      </c>
    </row>
    <row r="42" spans="1:2" s="1593" customFormat="1">
      <c r="A42" s="1591" t="s">
        <v>1284</v>
      </c>
      <c r="B42" s="1592" t="str">
        <f>'预评函-3'!B2</f>
        <v>建筑面积</v>
      </c>
    </row>
    <row r="43" spans="1:2" s="1593" customFormat="1">
      <c r="A43" s="1591" t="s">
        <v>1285</v>
      </c>
      <c r="B43" s="1592">
        <f>'预评函-3'!B4</f>
        <v>26356.14</v>
      </c>
    </row>
    <row r="44" spans="1:2" s="1593" customFormat="1">
      <c r="A44" s="1591" t="s">
        <v>1269</v>
      </c>
      <c r="B44" s="1592" t="str">
        <f>'预评函-3'!C2</f>
        <v>(分摊)土地面积</v>
      </c>
    </row>
    <row r="45" spans="1:2" s="1593" customFormat="1">
      <c r="A45" s="1591" t="s">
        <v>1241</v>
      </c>
      <c r="B45" s="1592">
        <f>'预评函-3'!C4</f>
        <v>7100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
      </c>
    </row>
    <row r="58" spans="1:2" s="1590" customFormat="1" ht="15" thickTop="1">
      <c r="A58" s="1588" t="s">
        <v>1247</v>
      </c>
      <c r="B58" s="1589" t="str">
        <f>'预评函-4'!A12</f>
        <v>2.本次评估设定估价对象房地产权属无争议，未被查封或者以其他形式限制其房地产权利，未设定抵押权等他项权利，不涉及第三方权利义务。</v>
      </c>
    </row>
    <row r="59" spans="1:2" s="1593" customFormat="1">
      <c r="A59" s="1591" t="s">
        <v>1248</v>
      </c>
      <c r="B59" s="1592" t="str">
        <f>'预评函-4'!A13</f>
        <v>——</v>
      </c>
    </row>
    <row r="60" spans="1:2" s="1593" customFormat="1">
      <c r="A60" s="1591" t="s">
        <v>1249</v>
      </c>
      <c r="B60" s="1592" t="str">
        <f>'预评函-4'!A14</f>
        <v>——</v>
      </c>
    </row>
    <row r="61" spans="1:2" s="1593" customFormat="1">
      <c r="A61" s="1591" t="s">
        <v>1250</v>
      </c>
      <c r="B61" s="1592" t="str">
        <f>'预评函-4'!A15</f>
        <v>——</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v>
      </c>
    </row>
    <row r="65" spans="1:2" s="1593" customFormat="1">
      <c r="A65" s="1591" t="s">
        <v>1253</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7" t="str">
        <f>项目基本情况!B1</f>
        <v>北京市房地产市场价值预评估</v>
      </c>
      <c r="C37" s="2967"/>
      <c r="D37" s="2967"/>
      <c r="E37" s="2967"/>
      <c r="F37" s="2967"/>
      <c r="G37" s="2967"/>
      <c r="H37" s="2967"/>
      <c r="I37" s="2967"/>
    </row>
    <row r="38" spans="1:9">
      <c r="A38" s="1016"/>
      <c r="B38" s="1016"/>
    </row>
    <row r="39" spans="1:9">
      <c r="A39" s="1014" t="s">
        <v>818</v>
      </c>
      <c r="B39" s="1014" t="s">
        <v>820</v>
      </c>
    </row>
    <row r="40" spans="1:9">
      <c r="A40" s="1014"/>
      <c r="B40" s="1942">
        <f>项目基本情况!B5</f>
        <v>0</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项目基本情况!K4</f>
        <v>（注册号：0)、（注册号：0)</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v>
      </c>
    </row>
    <row r="4" spans="1:1" ht="18">
      <c r="A4" s="1948" t="str">
        <f>"受贵公司委托，我公司对"&amp;项目基本情况!S1&amp;"进行了预评估。"</f>
        <v>受贵公司委托，我公司对北京市房地产市场价值进行了预评估。</v>
      </c>
    </row>
    <row r="5" spans="1:1" ht="18.75">
      <c r="A5" s="1949" t="s">
        <v>1608</v>
      </c>
    </row>
    <row r="6" spans="1:1" ht="18.75">
      <c r="A6" s="1950" t="s">
        <v>1609</v>
      </c>
    </row>
    <row r="7" spans="1:1" ht="5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估价对象为北京市房地产，为所有。根据《国有土地使用证》[]，估价对象（分摊）出让国有建设用地使用权面积为7100平方米，建筑面积为26356.14平方米。</v>
      </c>
    </row>
    <row r="8" spans="1:1" ht="57.75">
      <c r="A8" s="1951" t="s">
        <v>1610</v>
      </c>
    </row>
    <row r="9" spans="1:1" ht="18.75">
      <c r="A9" s="1950" t="s">
        <v>1611</v>
      </c>
    </row>
    <row r="10" spans="1:1" ht="54">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估价对象为北京市房地产,为开发建设的，该项目尚在开发建设中。根据《国有土地使用证》[]，估价对象（分摊）出让国有建设用地使用权面积为7100平方米，规划建筑面积为26356.14平方米。</v>
      </c>
    </row>
    <row r="11" spans="1:1" ht="76.5">
      <c r="A11" s="1951" t="s">
        <v>1612</v>
      </c>
    </row>
    <row r="12" spans="1:1" ht="18.75">
      <c r="A12" s="1949" t="s">
        <v>1613</v>
      </c>
    </row>
    <row r="13" spans="1:1" ht="38.25" customHeight="1">
      <c r="A13" s="1952" t="str">
        <f>IF(项目基本情况!B8="抵押",IF(项目基本情况!B5=项目基本情况!B6,定义!C51,定义!B51),定义!D51)</f>
        <v>为估价委托人了解估价对象房地产市场价值提供参考依据。</v>
      </c>
    </row>
    <row r="14" spans="1:1" ht="18.75">
      <c r="A14" s="1953" t="s">
        <v>1614</v>
      </c>
    </row>
    <row r="15" spans="1:1" ht="18">
      <c r="A15" s="1954" t="str">
        <f>TEXT(项目基本情况!D3,"yyyy年m月d日;;")&amp;IF(项目基本情况!D3=项目基本情况!B3,"（评估专业人员实地查勘之日）","")</f>
        <v>2019年3月14日</v>
      </c>
    </row>
    <row r="16" spans="1:1" ht="18.75">
      <c r="A16" s="1953" t="s">
        <v>1615</v>
      </c>
    </row>
    <row r="17" spans="1:1" ht="75">
      <c r="A17" s="1948" t="s">
        <v>1616</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14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8" t="str">
        <f>IF(项目基本情况!B9="房地产市场价值","——",IF(项目基本情况!E8="房地产抵押价值",定义!C54,IF(项目基本情况!E8="已注销",定义!C55,定义!C56)))</f>
        <v>——</v>
      </c>
    </row>
    <row r="21" spans="1:1" ht="18">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8" t="str">
        <f>IF(项目基本情况!B9="房地产市场价值","——",IF(项目基本情况!E9="——","",定义!C57))</f>
        <v>——</v>
      </c>
    </row>
    <row r="23" spans="1:1" ht="18.75">
      <c r="A23" s="1953" t="s">
        <v>1605</v>
      </c>
    </row>
    <row r="24" spans="1:1" ht="18">
      <c r="A24" s="1955" t="str">
        <f>"本次评估采用的主估价方法为"&amp;结果表!K4&amp;"和"&amp;结果表!L4&amp;"。"</f>
        <v>本次评估采用的主估价方法为成本法和收益法。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2"/>
      <c r="C2" s="2972"/>
      <c r="D2" s="2972"/>
      <c r="E2" s="2972"/>
    </row>
    <row r="3" spans="1:5" ht="18">
      <c r="A3" s="2973" t="str">
        <f>IF(项目基本情况!B9="房地产市场价值","估价结果一览表（市场价值不需“结果表-1”）","估价结果一览表")</f>
        <v>估价结果一览表（市场价值不需“结果表-1”）</v>
      </c>
      <c r="B3" s="2973"/>
      <c r="C3" s="2973"/>
      <c r="D3" s="2973"/>
      <c r="E3" s="2973"/>
    </row>
    <row r="4" spans="1:5" ht="19.5" thickBot="1">
      <c r="A4" s="1961"/>
      <c r="B4" s="2971" t="s">
        <v>1626</v>
      </c>
      <c r="C4" s="2971"/>
      <c r="D4" s="2971"/>
      <c r="E4" s="1961"/>
    </row>
    <row r="5" spans="1:5" ht="16.5" thickTop="1">
      <c r="A5" s="1959"/>
      <c r="B5" s="2969" t="s">
        <v>1618</v>
      </c>
      <c r="C5" s="1962" t="s">
        <v>1619</v>
      </c>
      <c r="D5" s="1040">
        <f ca="1">结果表!H101</f>
        <v>36668</v>
      </c>
      <c r="E5" s="1959"/>
    </row>
    <row r="6" spans="1:5" ht="15.75">
      <c r="A6" s="1959"/>
      <c r="B6" s="2969"/>
      <c r="C6" s="1962" t="s">
        <v>1620</v>
      </c>
      <c r="D6" s="1040" t="str">
        <f ca="1">NUMBERSTRING(INT(D5*10000),2)&amp;"元整"</f>
        <v>叁亿陆仟陆佰陆拾捌万元整</v>
      </c>
      <c r="E6" s="1959"/>
    </row>
    <row r="7" spans="1:5" ht="15.75">
      <c r="A7" s="1959"/>
      <c r="B7" s="2974"/>
      <c r="C7" s="1963" t="s">
        <v>1621</v>
      </c>
      <c r="D7" s="1041">
        <f ca="1">结果表!H102</f>
        <v>13913</v>
      </c>
      <c r="E7" s="1959"/>
    </row>
    <row r="8" spans="1:5" ht="15.75">
      <c r="A8" s="1959"/>
      <c r="B8" s="2975" t="str">
        <f>结果表!E103</f>
        <v>2.估价师知悉的法定优先受偿款</v>
      </c>
      <c r="C8" s="1964" t="s">
        <v>1622</v>
      </c>
      <c r="D8" s="1041">
        <f>结果表!H103</f>
        <v>0</v>
      </c>
      <c r="E8" s="1959"/>
    </row>
    <row r="9" spans="1:5" ht="15.75">
      <c r="A9" s="1959"/>
      <c r="B9" s="2977"/>
      <c r="C9" s="1962" t="s">
        <v>1620</v>
      </c>
      <c r="D9" s="1040" t="str">
        <f>NUMBERSTRING(INT(D8*10000),2)&amp;"元整"</f>
        <v>零元整</v>
      </c>
      <c r="E9" s="1959"/>
    </row>
    <row r="10" spans="1:5" ht="15">
      <c r="A10" s="1959"/>
      <c r="B10" s="1965" t="s">
        <v>1625</v>
      </c>
      <c r="C10" s="1966" t="s">
        <v>1623</v>
      </c>
      <c r="D10" s="1042">
        <f>结果表!H104</f>
        <v>0</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2968" t="str">
        <f>结果表!E107</f>
        <v>3.房地产抵押价值</v>
      </c>
      <c r="C13" s="1967" t="s">
        <v>1619</v>
      </c>
      <c r="D13" s="1043">
        <f ca="1">结果表!H107</f>
        <v>36668</v>
      </c>
      <c r="E13" s="1959"/>
    </row>
    <row r="14" spans="1:5" ht="15.75">
      <c r="A14" s="1959"/>
      <c r="B14" s="2969"/>
      <c r="C14" s="1962" t="s">
        <v>1620</v>
      </c>
      <c r="D14" s="1040" t="str">
        <f ca="1">NUMBERSTRING(INT(D13*10000),2)&amp;"元整"</f>
        <v>叁亿陆仟陆佰陆拾捌万元整</v>
      </c>
      <c r="E14" s="1959"/>
    </row>
    <row r="15" spans="1:5" ht="15">
      <c r="A15" s="1959"/>
      <c r="B15" s="2974"/>
      <c r="C15" s="1963" t="s">
        <v>1630</v>
      </c>
      <c r="D15" s="1052">
        <f ca="1">结果表!H108</f>
        <v>13913</v>
      </c>
      <c r="E15" s="1959"/>
    </row>
    <row r="16" spans="1:5" ht="15">
      <c r="A16" s="1959"/>
      <c r="B16" s="2975" t="str">
        <f>结果表!E109</f>
        <v>——</v>
      </c>
      <c r="C16" s="1967" t="s">
        <v>1631</v>
      </c>
      <c r="D16" s="1968" t="str">
        <f>结果表!H109</f>
        <v>——</v>
      </c>
      <c r="E16" s="1959"/>
    </row>
    <row r="17" spans="1:5" ht="15.75">
      <c r="A17" s="1959"/>
      <c r="B17" s="2976"/>
      <c r="C17" s="1962" t="s">
        <v>1632</v>
      </c>
      <c r="D17" s="1040" t="e">
        <f>NUMBERSTRING(INT(D16*10000),2)&amp;"元整"</f>
        <v>#VALUE!</v>
      </c>
      <c r="E17" s="1959"/>
    </row>
    <row r="18" spans="1:5" ht="15">
      <c r="A18" s="1959"/>
      <c r="B18" s="2977"/>
      <c r="C18" s="1963" t="s">
        <v>1621</v>
      </c>
      <c r="D18" s="1052" t="str">
        <f>结果表!H110</f>
        <v>——</v>
      </c>
      <c r="E18" s="1959"/>
    </row>
    <row r="19" spans="1:5" ht="15.75">
      <c r="A19" s="1959"/>
      <c r="B19" s="2968" t="str">
        <f>结果表!E111</f>
        <v>——</v>
      </c>
      <c r="C19" s="1967" t="s">
        <v>1619</v>
      </c>
      <c r="D19" s="1041" t="str">
        <f>结果表!H111</f>
        <v>——</v>
      </c>
      <c r="E19" s="1959"/>
    </row>
    <row r="20" spans="1:5" ht="15.75">
      <c r="A20" s="1959"/>
      <c r="B20" s="2969"/>
      <c r="C20" s="1962" t="s">
        <v>1632</v>
      </c>
      <c r="D20" s="1040" t="e">
        <f>NUMBERSTRING(INT(D19*10000),2)&amp;"元整"</f>
        <v>#VALUE!</v>
      </c>
      <c r="E20" s="1959"/>
    </row>
    <row r="21" spans="1:5" ht="15.75" thickBot="1">
      <c r="A21" s="1959"/>
      <c r="B21" s="2970"/>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2987" t="str">
        <f>IF(项目基本情况!B9="房地产市场价值","估价结果一览表","结果表-2")</f>
        <v>估价结果一览表</v>
      </c>
      <c r="B1" s="2987"/>
      <c r="C1" s="2987"/>
      <c r="D1" s="2987"/>
      <c r="E1" s="2987"/>
      <c r="F1" s="2987"/>
      <c r="G1" s="2987"/>
      <c r="H1" s="2987"/>
      <c r="I1" s="2987"/>
    </row>
    <row r="2" spans="1:9" ht="30" customHeight="1" thickTop="1">
      <c r="A2" s="2988" t="s">
        <v>1637</v>
      </c>
      <c r="B2" s="2988" t="s">
        <v>1638</v>
      </c>
      <c r="C2" s="2988" t="s">
        <v>1639</v>
      </c>
      <c r="D2" s="2988" t="str">
        <f>结果表!D116</f>
        <v>出让国有建设用地使用权价值</v>
      </c>
      <c r="E2" s="2988"/>
      <c r="F2" s="2988" t="str">
        <f>结果表!F116</f>
        <v>在建建筑物价值</v>
      </c>
      <c r="G2" s="2988"/>
      <c r="H2" s="2988" t="str">
        <f>IF(项目基本情况!B9="房地产市场价值","房地产市场价值","房地产价值")</f>
        <v>房地产市场价值</v>
      </c>
      <c r="I2" s="2988"/>
    </row>
    <row r="3" spans="1:9" ht="15">
      <c r="A3" s="2982"/>
      <c r="B3" s="2982"/>
      <c r="C3" s="2982"/>
      <c r="D3" s="1044" t="s">
        <v>1634</v>
      </c>
      <c r="E3" s="1044" t="s">
        <v>1640</v>
      </c>
      <c r="F3" s="1044" t="s">
        <v>1634</v>
      </c>
      <c r="G3" s="1044" t="s">
        <v>1635</v>
      </c>
      <c r="H3" s="1044" t="s">
        <v>1634</v>
      </c>
      <c r="I3" s="1044" t="s">
        <v>1635</v>
      </c>
    </row>
    <row r="4" spans="1:9" ht="15">
      <c r="A4" s="1973" t="str">
        <f>项目基本情况!S2</f>
        <v>北京市房地产</v>
      </c>
      <c r="B4" s="1044">
        <f>项目基本情况!C17</f>
        <v>26356.14</v>
      </c>
      <c r="C4" s="1044">
        <f>项目基本情况!C18</f>
        <v>7100</v>
      </c>
      <c r="D4" s="1044" t="e">
        <f ca="1">结果表!D118</f>
        <v>#REF!</v>
      </c>
      <c r="E4" s="1044" t="e">
        <f ca="1">结果表!E118</f>
        <v>#REF!</v>
      </c>
      <c r="F4" s="1044" t="e">
        <f ca="1">结果表!F118</f>
        <v>#REF!</v>
      </c>
      <c r="G4" s="1044" t="e">
        <f ca="1">结果表!G118</f>
        <v>#REF!</v>
      </c>
      <c r="H4" s="1044">
        <f ca="1">结果表!H118</f>
        <v>36668</v>
      </c>
      <c r="I4" s="1044">
        <f ca="1">结果表!I118</f>
        <v>13913</v>
      </c>
    </row>
    <row r="5" spans="1:9" ht="30" customHeight="1">
      <c r="A5" s="2982" t="s">
        <v>1636</v>
      </c>
      <c r="B5" s="2982"/>
      <c r="C5" s="2982"/>
      <c r="D5" s="2983" t="e">
        <f ca="1">结果表!D119</f>
        <v>#REF!</v>
      </c>
      <c r="E5" s="2983"/>
      <c r="F5" s="2983" t="e">
        <f ca="1">结果表!F119</f>
        <v>#REF!</v>
      </c>
      <c r="G5" s="2983"/>
      <c r="H5" s="2983" t="str">
        <f ca="1">结果表!H119</f>
        <v>叁亿陆仟陆佰陆拾捌万元整</v>
      </c>
      <c r="I5" s="2983"/>
    </row>
    <row r="6" spans="1:9" ht="15.75">
      <c r="A6" s="2981" t="str">
        <f>结果表!A120</f>
        <v/>
      </c>
      <c r="B6" s="2981"/>
      <c r="C6" s="2981"/>
      <c r="D6" s="2981">
        <f>结果表!D120</f>
        <v>0</v>
      </c>
      <c r="E6" s="2981"/>
      <c r="F6" s="2981"/>
      <c r="G6" s="2981"/>
      <c r="H6" s="2981"/>
      <c r="I6" s="2981"/>
    </row>
    <row r="7" spans="1:9" ht="15">
      <c r="A7" s="2982" t="s">
        <v>1636</v>
      </c>
      <c r="B7" s="2982"/>
      <c r="C7" s="2982"/>
      <c r="D7" s="2984" t="str">
        <f>结果表!D121</f>
        <v>零元整</v>
      </c>
      <c r="E7" s="2985"/>
      <c r="F7" s="2985"/>
      <c r="G7" s="2985"/>
      <c r="H7" s="2985"/>
      <c r="I7" s="2986"/>
    </row>
    <row r="8" spans="1:9" ht="15.75">
      <c r="A8" s="2981" t="str">
        <f>结果表!A122</f>
        <v/>
      </c>
      <c r="B8" s="2981"/>
      <c r="C8" s="2981"/>
      <c r="D8" s="2981">
        <f ca="1">结果表!D122</f>
        <v>36668</v>
      </c>
      <c r="E8" s="2981"/>
      <c r="F8" s="2981"/>
      <c r="G8" s="2981"/>
      <c r="H8" s="2981"/>
      <c r="I8" s="2981"/>
    </row>
    <row r="9" spans="1:9" ht="15">
      <c r="A9" s="2982" t="s">
        <v>1636</v>
      </c>
      <c r="B9" s="2982"/>
      <c r="C9" s="2982"/>
      <c r="D9" s="2983" t="str">
        <f ca="1">结果表!D123</f>
        <v>叁亿陆仟陆佰陆拾捌万元整</v>
      </c>
      <c r="E9" s="2983"/>
      <c r="F9" s="2983"/>
      <c r="G9" s="2983"/>
      <c r="H9" s="2983"/>
      <c r="I9" s="2983"/>
    </row>
    <row r="10" spans="1:9" ht="15.75">
      <c r="A10" s="2981" t="str">
        <f>结果表!A124</f>
        <v/>
      </c>
      <c r="B10" s="2981"/>
      <c r="C10" s="2981"/>
      <c r="D10" s="2981" t="str">
        <f>结果表!D124</f>
        <v>——</v>
      </c>
      <c r="E10" s="2981"/>
      <c r="F10" s="2981"/>
      <c r="G10" s="2981"/>
      <c r="H10" s="2981"/>
      <c r="I10" s="2981"/>
    </row>
    <row r="11" spans="1:9" ht="15">
      <c r="A11" s="2982" t="s">
        <v>1636</v>
      </c>
      <c r="B11" s="2982"/>
      <c r="C11" s="2982"/>
      <c r="D11" s="2983" t="e">
        <f>结果表!D125</f>
        <v>#VALUE!</v>
      </c>
      <c r="E11" s="2983"/>
      <c r="F11" s="2983"/>
      <c r="G11" s="2983"/>
      <c r="H11" s="2983"/>
      <c r="I11" s="2983"/>
    </row>
    <row r="12" spans="1:9" ht="15.75">
      <c r="A12" s="2981" t="str">
        <f>结果表!A126</f>
        <v/>
      </c>
      <c r="B12" s="2981"/>
      <c r="C12" s="2981"/>
      <c r="D12" s="2981" t="str">
        <f>结果表!D126</f>
        <v>——</v>
      </c>
      <c r="E12" s="2981"/>
      <c r="F12" s="2981"/>
      <c r="G12" s="2981"/>
      <c r="H12" s="2981"/>
      <c r="I12" s="2981"/>
    </row>
    <row r="13" spans="1:9" ht="15.75" thickBot="1">
      <c r="A13" s="2978" t="s">
        <v>1636</v>
      </c>
      <c r="B13" s="2978"/>
      <c r="C13" s="2978"/>
      <c r="D13" s="2979" t="e">
        <f>结果表!D127</f>
        <v>#VALUE!</v>
      </c>
      <c r="E13" s="2979"/>
      <c r="F13" s="2979"/>
      <c r="G13" s="2979"/>
      <c r="H13" s="2979"/>
      <c r="I13" s="2979"/>
    </row>
    <row r="14" spans="1:9" ht="15" thickTop="1">
      <c r="A14" s="2980" t="s">
        <v>1641</v>
      </c>
      <c r="B14" s="2980"/>
      <c r="C14" s="2980"/>
      <c r="D14" s="2980"/>
      <c r="E14" s="2980"/>
      <c r="F14" s="2980"/>
      <c r="G14" s="2980"/>
      <c r="H14" s="2980"/>
      <c r="I14" s="2980"/>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2995" t="s">
        <v>1658</v>
      </c>
      <c r="B1" s="2995"/>
      <c r="C1" s="2995"/>
      <c r="D1" s="2995"/>
    </row>
    <row r="2" spans="1:4" ht="18">
      <c r="A2" s="2996" t="s">
        <v>1642</v>
      </c>
      <c r="B2" s="2996"/>
      <c r="C2" s="2996"/>
      <c r="D2" s="2996"/>
    </row>
    <row r="3" spans="1:4" ht="18.75">
      <c r="A3" s="1977" t="s">
        <v>1643</v>
      </c>
      <c r="B3" s="1977" t="s">
        <v>1644</v>
      </c>
      <c r="C3" s="1977" t="s">
        <v>1645</v>
      </c>
      <c r="D3" s="1977" t="s">
        <v>1646</v>
      </c>
    </row>
    <row r="4" spans="1:4" ht="56.25" customHeight="1">
      <c r="A4" s="1978">
        <f>项目基本情况!B4</f>
        <v>0</v>
      </c>
      <c r="B4" s="1979">
        <f>项目基本情况!C4</f>
        <v>0</v>
      </c>
      <c r="C4" s="1980"/>
      <c r="D4" s="1981" t="s">
        <v>1647</v>
      </c>
    </row>
    <row r="5" spans="1:4" ht="56.25" customHeight="1">
      <c r="A5" s="1978">
        <f>项目基本情况!D4</f>
        <v>0</v>
      </c>
      <c r="B5" s="1979">
        <f>项目基本情况!E4</f>
        <v>0</v>
      </c>
      <c r="C5" s="1982"/>
      <c r="D5" s="1981" t="s">
        <v>1647</v>
      </c>
    </row>
    <row r="6" spans="1:4" ht="18">
      <c r="A6" s="2996" t="s">
        <v>1648</v>
      </c>
      <c r="B6" s="2996"/>
      <c r="C6" s="2996"/>
      <c r="D6" s="2996"/>
    </row>
    <row r="7" spans="1:4" ht="18.75">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8.75">
      <c r="A10" s="1984" t="s">
        <v>1650</v>
      </c>
      <c r="B10" s="728"/>
      <c r="C10" s="728"/>
      <c r="D10" s="728"/>
    </row>
    <row r="11" spans="1:4" ht="30" customHeight="1">
      <c r="A11" s="2997" t="s">
        <v>1651</v>
      </c>
      <c r="B11" s="2989"/>
      <c r="C11" s="2989"/>
      <c r="D11" s="2989"/>
    </row>
    <row r="12" spans="1:4" ht="15.75">
      <c r="A12" s="29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4"/>
      <c r="C12" s="2994"/>
      <c r="D12" s="2994"/>
    </row>
    <row r="13" spans="1:4" ht="30" customHeight="1">
      <c r="A13" s="2989" t="str">
        <f>IF(项目基本情况!B8="抵押","3.抵押双方在办理抵押登记手续时，应使用本公司出具的正式《房地产评估报告》，特提醒报告使用者注意。","——")</f>
        <v>——</v>
      </c>
      <c r="B13" s="2994"/>
      <c r="C13" s="2994"/>
      <c r="D13" s="2994"/>
    </row>
    <row r="14" spans="1:4" ht="15.75" customHeight="1">
      <c r="A14" s="2989" t="str">
        <f>IF(项目基本情况!B8="抵押","4.本次评估估价师所知悉的法定优先受偿款情况说明如下：","——")</f>
        <v>——</v>
      </c>
      <c r="B14" s="2994"/>
      <c r="C14" s="2994"/>
      <c r="D14" s="2994"/>
    </row>
    <row r="15" spans="1:4" ht="42" customHeight="1">
      <c r="A15" s="2989" t="str">
        <f>IF(项目基本情况!B8="抵押","（1）"&amp;CONCATENATE(项目基本情况!L20,项目基本情况!L21,项目基本情况!L22),"——")</f>
        <v>——</v>
      </c>
      <c r="B15" s="2989"/>
      <c r="C15" s="2989"/>
      <c r="D15" s="2989"/>
    </row>
    <row r="16" spans="1:4" ht="30" customHeight="1">
      <c r="A16" s="2991" t="s">
        <v>1652</v>
      </c>
      <c r="B16" s="2991"/>
      <c r="C16" s="2991"/>
      <c r="D16" s="2991"/>
    </row>
    <row r="17" spans="1:4" ht="144" customHeight="1">
      <c r="A17" s="2991" t="s">
        <v>1653</v>
      </c>
      <c r="B17" s="2991"/>
      <c r="C17" s="2991"/>
      <c r="D17" s="2991"/>
    </row>
    <row r="18" spans="1:4" ht="15.75" customHeight="1">
      <c r="A18" s="2989" t="str">
        <f>IF(项目基本情况!B8="抵押",结果表!K120,"——")</f>
        <v>——</v>
      </c>
      <c r="B18" s="2989"/>
      <c r="C18" s="2989"/>
      <c r="D18" s="2989"/>
    </row>
    <row r="19" spans="1:4" ht="46.5" customHeight="1">
      <c r="A19" s="29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9"/>
      <c r="C19" s="2989"/>
      <c r="D19" s="2989"/>
    </row>
    <row r="20" spans="1:4" ht="57.75" customHeight="1">
      <c r="A20" s="29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9"/>
      <c r="C20" s="2989"/>
      <c r="D20" s="2989"/>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2"/>
      <c r="C21" s="2992"/>
      <c r="D21" s="2992"/>
    </row>
    <row r="22" spans="1:4" ht="18.75" customHeight="1">
      <c r="A22" s="2993" t="s">
        <v>1654</v>
      </c>
      <c r="B22" s="2993"/>
      <c r="C22" s="2993"/>
      <c r="D22" s="2993"/>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2990">
        <v>42551</v>
      </c>
      <c r="D31" s="29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3003" t="s">
        <v>1665</v>
      </c>
      <c r="B15" s="2998" t="s">
        <v>136</v>
      </c>
      <c r="C15" s="2999"/>
    </row>
    <row r="16" spans="1:7" ht="13.5">
      <c r="A16" s="3004"/>
      <c r="B16" s="2998" t="s">
        <v>69</v>
      </c>
      <c r="C16" s="2999"/>
    </row>
    <row r="17" spans="1:3" ht="13.5">
      <c r="A17" s="3004"/>
      <c r="B17" s="3001" t="s">
        <v>1666</v>
      </c>
      <c r="C17" s="2000" t="s">
        <v>1665</v>
      </c>
    </row>
    <row r="18" spans="1:3" ht="13.5">
      <c r="A18" s="3004"/>
      <c r="B18" s="3001"/>
      <c r="C18" s="2000" t="s">
        <v>1667</v>
      </c>
    </row>
    <row r="19" spans="1:3" ht="13.5">
      <c r="A19" s="3004"/>
      <c r="B19" s="3001"/>
      <c r="C19" s="2000" t="s">
        <v>1668</v>
      </c>
    </row>
    <row r="20" spans="1:3" ht="13.5">
      <c r="A20" s="3005"/>
      <c r="B20" s="3000" t="s">
        <v>1669</v>
      </c>
      <c r="C20" s="2999"/>
    </row>
    <row r="21" spans="1:3" ht="13.5">
      <c r="A21" s="2001" t="s">
        <v>1670</v>
      </c>
      <c r="B21" s="2002"/>
      <c r="C21" s="2003"/>
    </row>
    <row r="22" spans="1:3" ht="13.5">
      <c r="A22" s="3002" t="s">
        <v>1671</v>
      </c>
      <c r="B22" s="3000" t="s">
        <v>1672</v>
      </c>
      <c r="C22" s="2999"/>
    </row>
    <row r="23" spans="1:3" ht="13.5">
      <c r="A23" s="3002"/>
      <c r="B23" s="3000" t="s">
        <v>1673</v>
      </c>
      <c r="C23" s="2999"/>
    </row>
    <row r="24" spans="1:3" ht="13.5">
      <c r="A24" s="3002"/>
      <c r="B24" s="3000" t="s">
        <v>1674</v>
      </c>
      <c r="C24" s="2999"/>
    </row>
    <row r="25" spans="1:3" ht="13.5">
      <c r="A25" s="3002"/>
      <c r="B25" s="3001" t="s">
        <v>1675</v>
      </c>
      <c r="C25" s="2000" t="s">
        <v>1676</v>
      </c>
    </row>
    <row r="26" spans="1:3" ht="13.5">
      <c r="A26" s="3002"/>
      <c r="B26" s="3001"/>
      <c r="C26" s="2000" t="s">
        <v>1677</v>
      </c>
    </row>
    <row r="27" spans="1:3" ht="13.5">
      <c r="A27" s="3002"/>
      <c r="B27" s="3001"/>
      <c r="C27" s="2000" t="s">
        <v>1678</v>
      </c>
    </row>
    <row r="28" spans="1:3" ht="13.5">
      <c r="A28" s="3002"/>
      <c r="B28" s="3001"/>
      <c r="C28" s="2000" t="s">
        <v>1679</v>
      </c>
    </row>
    <row r="29" spans="1:3" ht="13.5">
      <c r="A29" s="3002"/>
      <c r="B29" s="3001"/>
      <c r="C29" s="2000" t="s">
        <v>1680</v>
      </c>
    </row>
    <row r="30" spans="1:3" ht="13.5">
      <c r="A30" s="3002"/>
      <c r="B30" s="3001"/>
      <c r="C30" s="2000" t="s">
        <v>1681</v>
      </c>
    </row>
    <row r="31" spans="1:3" ht="13.5">
      <c r="A31" s="3002"/>
      <c r="B31" s="3001"/>
      <c r="C31" s="2000" t="s">
        <v>1682</v>
      </c>
    </row>
    <row r="32" spans="1:3" ht="13.5">
      <c r="A32" s="3002"/>
      <c r="B32" s="3001"/>
      <c r="C32" s="2000" t="s">
        <v>1683</v>
      </c>
    </row>
    <row r="33" spans="1:3" ht="13.5">
      <c r="A33" s="3002"/>
      <c r="B33" s="3001"/>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43538</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t="str">
        <f ca="1">IF(C10&lt;B2,"已过期",1120060040)</f>
        <v>已过期</v>
      </c>
      <c r="C10" s="2348">
        <v>43483</v>
      </c>
      <c r="D10" s="2351" t="s">
        <v>838</v>
      </c>
      <c r="E10" s="1022">
        <f ca="1">IF(F10&lt;B2,"已过期",2004110096)</f>
        <v>2004110096</v>
      </c>
      <c r="F10" s="1030">
        <v>47118</v>
      </c>
    </row>
    <row r="11" spans="1:6" ht="24" customHeight="1">
      <c r="A11" s="1702" t="s">
        <v>839</v>
      </c>
      <c r="B11" s="1022">
        <f ca="1">IF(C11&lt;B2,"已过期",1120100036)</f>
        <v>1120100036</v>
      </c>
      <c r="C11" s="2348">
        <v>43622</v>
      </c>
      <c r="D11" s="2351" t="s">
        <v>839</v>
      </c>
      <c r="E11" s="1022">
        <f ca="1">IF(F11&lt;B2,"已过期",2010110070)</f>
        <v>2010110070</v>
      </c>
      <c r="F11" s="1030">
        <v>47907</v>
      </c>
    </row>
    <row r="12" spans="1:6" ht="24" customHeight="1">
      <c r="A12" s="1702"/>
      <c r="B12" s="1022"/>
      <c r="C12" s="2939"/>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3043</v>
      </c>
      <c r="B14" s="1022">
        <f ca="1">IF(C14&lt;B2,"已过期",1120040230)</f>
        <v>1120040230</v>
      </c>
      <c r="C14" s="2348">
        <v>43835</v>
      </c>
      <c r="D14" s="2351" t="s">
        <v>3043</v>
      </c>
      <c r="E14" s="1022">
        <f ca="1">IF(F14&lt;B2,"已过期",98030020)</f>
        <v>98030020</v>
      </c>
      <c r="F14" s="1030">
        <v>47118</v>
      </c>
    </row>
    <row r="15" spans="1:6" ht="24" customHeight="1">
      <c r="A15" s="1703" t="s">
        <v>3044</v>
      </c>
      <c r="B15" s="1022">
        <f ca="1">IF(C15&lt;B2,"已过期",1120070085)</f>
        <v>1120070085</v>
      </c>
      <c r="C15" s="2348">
        <v>43814</v>
      </c>
      <c r="D15" s="2352" t="s">
        <v>3044</v>
      </c>
      <c r="E15" s="1022">
        <f ca="1">IF(F15&lt;B2,"已过期",2004110128)</f>
        <v>2004110128</v>
      </c>
      <c r="F15" s="1023">
        <v>47118</v>
      </c>
    </row>
    <row r="16" spans="1:6" ht="24" customHeight="1">
      <c r="A16" s="1702" t="s">
        <v>3045</v>
      </c>
      <c r="B16" s="1022">
        <f ca="1">IF(C16&lt;B2,"已过期",1120140022)</f>
        <v>1120140022</v>
      </c>
      <c r="C16" s="2939">
        <v>44029</v>
      </c>
      <c r="D16" s="2351" t="s">
        <v>3045</v>
      </c>
      <c r="E16" s="1022">
        <f ca="1">IF(F16&lt;B2,"已过期",2008110059)</f>
        <v>2008110059</v>
      </c>
      <c r="F16" s="1030">
        <v>47177</v>
      </c>
    </row>
    <row r="17" spans="1:7" ht="24" customHeight="1">
      <c r="A17" s="1702"/>
      <c r="B17" s="1022"/>
      <c r="C17" s="2348"/>
      <c r="D17" s="2351" t="s">
        <v>3046</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9">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006" t="s">
        <v>843</v>
      </c>
      <c r="B25" s="3006"/>
      <c r="C25" s="3006"/>
      <c r="D25" s="3006"/>
      <c r="E25" s="3006"/>
      <c r="F25" s="3006"/>
      <c r="G25" s="3006"/>
    </row>
    <row r="26" spans="1:7" s="1025" customFormat="1" ht="24" customHeight="1">
      <c r="A26" s="3007" t="s">
        <v>844</v>
      </c>
      <c r="B26" s="3007"/>
      <c r="C26" s="3008"/>
      <c r="D26" s="3009" t="s">
        <v>845</v>
      </c>
      <c r="E26" s="3007"/>
      <c r="F26" s="3007"/>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7" sqref="C27"/>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3071</v>
      </c>
      <c r="C17" s="2015"/>
    </row>
    <row r="18" spans="1:3">
      <c r="A18" s="2014" t="s">
        <v>1763</v>
      </c>
      <c r="B18" s="2014" t="s">
        <v>3073</v>
      </c>
      <c r="C18" s="2015"/>
    </row>
    <row r="19" spans="1:3">
      <c r="A19" s="2014" t="s">
        <v>1764</v>
      </c>
      <c r="B19" s="2014" t="s">
        <v>3075</v>
      </c>
      <c r="C19" s="2015"/>
    </row>
    <row r="20" spans="1:3">
      <c r="A20" s="2014" t="s">
        <v>1765</v>
      </c>
      <c r="B20" s="2014" t="s">
        <v>3078</v>
      </c>
      <c r="C20" s="2015"/>
    </row>
    <row r="21" spans="1:3">
      <c r="A21" s="2014" t="s">
        <v>1766</v>
      </c>
      <c r="B21" s="2014" t="s">
        <v>3079</v>
      </c>
      <c r="C21" s="2015"/>
    </row>
    <row r="22" spans="1:3">
      <c r="A22" s="2014" t="s">
        <v>1767</v>
      </c>
      <c r="B22" s="2014" t="s">
        <v>3080</v>
      </c>
      <c r="C22" s="2015"/>
    </row>
    <row r="23" spans="1:3">
      <c r="A23" s="2014" t="s">
        <v>1768</v>
      </c>
      <c r="B23" s="2014" t="s">
        <v>3083</v>
      </c>
      <c r="C23" s="2015"/>
    </row>
    <row r="24" spans="1:3">
      <c r="A24" s="2014" t="s">
        <v>1769</v>
      </c>
      <c r="B24" s="2014" t="s">
        <v>3085</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3010"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0"/>
      <c r="B54" s="2022" t="s">
        <v>861</v>
      </c>
      <c r="C54" s="2019" t="s">
        <v>1277</v>
      </c>
    </row>
    <row r="55" spans="1:4">
      <c r="A55" s="3010"/>
      <c r="B55" s="2022" t="s">
        <v>862</v>
      </c>
      <c r="C55" s="2019" t="s">
        <v>1278</v>
      </c>
    </row>
    <row r="56" spans="1:4">
      <c r="A56" s="3010"/>
      <c r="B56" s="2022" t="s">
        <v>863</v>
      </c>
      <c r="C56" s="2019" t="s">
        <v>1282</v>
      </c>
    </row>
    <row r="57" spans="1:4">
      <c r="A57" s="3010"/>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45" sqref="F45"/>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1772</v>
      </c>
      <c r="B1" s="3019" t="str">
        <f>IF(B10="北京市","北京市",C10)&amp;F10&amp;IF(结果表!G1="在建","出让国有建设用地使用权及在建建筑物",IF(结果表!G1="土地","出让国有建设用地使用权",))&amp;B9&amp;"预评估"</f>
        <v>北京市房地产市场价值预评估</v>
      </c>
      <c r="C1" s="3020"/>
      <c r="D1" s="3020"/>
      <c r="E1" s="3020"/>
      <c r="F1" s="3020"/>
      <c r="G1" s="3020"/>
      <c r="H1" s="3020"/>
      <c r="I1" s="3021"/>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26" t="s">
        <v>1773</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北京市房地产</v>
      </c>
    </row>
    <row r="3" spans="1:19" ht="18" customHeight="1">
      <c r="A3" s="2035" t="s">
        <v>1774</v>
      </c>
      <c r="B3" s="2036"/>
      <c r="C3" s="2037" t="s">
        <v>1775</v>
      </c>
      <c r="D3" s="2036">
        <v>43538</v>
      </c>
      <c r="E3" s="2026"/>
      <c r="F3" s="2026"/>
      <c r="G3" s="2026"/>
      <c r="H3" s="2026"/>
      <c r="I3" s="2026"/>
      <c r="J3" s="2026"/>
      <c r="K3" s="2027"/>
      <c r="L3" s="2028"/>
      <c r="M3" s="2028"/>
      <c r="N3" s="2029"/>
      <c r="O3" s="2030"/>
      <c r="P3" s="2029"/>
      <c r="Q3" s="2029"/>
      <c r="R3" s="2029"/>
      <c r="S3" s="2031"/>
    </row>
    <row r="4" spans="1:19" ht="18" customHeight="1" thickBot="1">
      <c r="A4" s="2038" t="s">
        <v>1776</v>
      </c>
      <c r="B4" s="2039"/>
      <c r="C4" s="1037">
        <f>SUMIF(注册房地产估价师,B4,估价师及机构信息!B3:B24)</f>
        <v>0</v>
      </c>
      <c r="D4" s="2039"/>
      <c r="E4" s="1038">
        <f>SUMIF(注册房地产估价师,D4,估价师及机构信息!B3:B24)</f>
        <v>0</v>
      </c>
      <c r="F4" s="2039" t="s">
        <v>70</v>
      </c>
      <c r="G4" s="2040">
        <f>SUMIF(注册房地产估价师,F4,估价师及机构信息!B3:B24)</f>
        <v>0</v>
      </c>
      <c r="H4" s="2039" t="s">
        <v>70</v>
      </c>
      <c r="I4" s="2041">
        <f>SUMIF(注册房地产估价师,H4,估价师及机构信息!B3:B24)</f>
        <v>0</v>
      </c>
      <c r="J4" s="2042"/>
      <c r="K4" s="2043" t="str">
        <f>CONCATENATE(B4,"（注册号：",C4,")、",D4,"（注册号：",E4,")")</f>
        <v>（注册号：0)、（注册号：0)</v>
      </c>
      <c r="L4" s="2028"/>
      <c r="M4" s="2028"/>
      <c r="N4" s="2029"/>
      <c r="O4" s="2030"/>
      <c r="P4" s="2029"/>
      <c r="Q4" s="2029"/>
      <c r="R4" s="2029"/>
      <c r="S4" s="2031"/>
    </row>
    <row r="5" spans="1:19" ht="18" customHeight="1" thickTop="1">
      <c r="A5" s="2044" t="s">
        <v>1777</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1778</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1779</v>
      </c>
      <c r="B7" s="2053"/>
      <c r="C7" s="2050"/>
      <c r="D7" s="2051"/>
      <c r="E7" s="2034"/>
      <c r="F7" s="2042"/>
      <c r="G7" s="2042"/>
      <c r="H7" s="2042"/>
      <c r="I7" s="2042"/>
      <c r="J7" s="2042"/>
      <c r="K7" s="2054"/>
      <c r="L7" s="2028"/>
      <c r="M7" s="2028"/>
      <c r="N7" s="2029"/>
      <c r="O7" s="2030"/>
      <c r="P7" s="2029"/>
      <c r="Q7" s="2029"/>
      <c r="R7" s="2029"/>
    </row>
    <row r="8" spans="1:19" ht="18" customHeight="1">
      <c r="A8" s="2048" t="s">
        <v>1780</v>
      </c>
      <c r="B8" s="2055" t="s">
        <v>3051</v>
      </c>
      <c r="C8" s="2056"/>
      <c r="D8" s="3022" t="s">
        <v>1781</v>
      </c>
      <c r="E8" s="2057"/>
      <c r="F8" s="2058"/>
      <c r="G8" s="2026"/>
      <c r="H8" s="2026"/>
      <c r="I8" s="2026"/>
      <c r="J8" s="2042"/>
      <c r="K8" s="2043"/>
      <c r="L8" s="2028"/>
      <c r="M8" s="2028"/>
      <c r="N8" s="2029"/>
      <c r="O8" s="2030"/>
      <c r="P8" s="2029"/>
      <c r="Q8" s="2029"/>
      <c r="R8" s="2029"/>
    </row>
    <row r="9" spans="1:19" ht="18" customHeight="1" thickBot="1">
      <c r="A9" s="2040" t="s">
        <v>1782</v>
      </c>
      <c r="B9" s="2059" t="s">
        <v>3050</v>
      </c>
      <c r="C9" s="2060"/>
      <c r="D9" s="3023"/>
      <c r="E9" s="2059"/>
      <c r="F9" s="2061"/>
      <c r="G9" s="2062"/>
      <c r="H9" s="2062"/>
      <c r="I9" s="2062"/>
      <c r="J9" s="2042"/>
      <c r="K9" s="2054"/>
      <c r="L9" s="2028"/>
      <c r="M9" s="2028"/>
      <c r="N9" s="2029"/>
      <c r="O9" s="2030"/>
      <c r="P9" s="2029"/>
      <c r="Q9" s="2029"/>
      <c r="R9" s="2029"/>
    </row>
    <row r="10" spans="1:19" ht="18" customHeight="1" thickTop="1">
      <c r="A10" s="2063" t="s">
        <v>1783</v>
      </c>
      <c r="B10" s="2064" t="s">
        <v>3052</v>
      </c>
      <c r="C10" s="2065"/>
      <c r="D10" s="2047"/>
      <c r="E10" s="2066" t="s">
        <v>1784</v>
      </c>
      <c r="F10" s="2067"/>
      <c r="G10" s="2068"/>
      <c r="H10" s="2069"/>
      <c r="I10" s="2047"/>
      <c r="J10" s="2042"/>
      <c r="K10" s="2054"/>
      <c r="L10" s="2028"/>
      <c r="M10" s="2028"/>
      <c r="N10" s="2029"/>
      <c r="O10" s="2030"/>
      <c r="P10" s="2029"/>
      <c r="Q10" s="2029"/>
      <c r="R10" s="2029"/>
    </row>
    <row r="11" spans="1:19" ht="18" customHeight="1">
      <c r="A11" s="2070" t="s">
        <v>1785</v>
      </c>
      <c r="B11" s="2071" t="s">
        <v>3053</v>
      </c>
      <c r="C11" s="2072"/>
      <c r="D11" s="2073"/>
      <c r="E11" s="2042"/>
      <c r="F11" s="2042"/>
      <c r="G11" s="2042"/>
      <c r="H11" s="2042"/>
      <c r="I11" s="2042"/>
      <c r="J11" s="2042"/>
      <c r="K11" s="2054"/>
      <c r="L11" s="2028"/>
      <c r="M11" s="2028"/>
      <c r="N11" s="2029"/>
      <c r="O11" s="2030"/>
      <c r="P11" s="2029"/>
      <c r="Q11" s="2029"/>
      <c r="R11" s="2029"/>
    </row>
    <row r="12" spans="1:19" ht="18" customHeight="1">
      <c r="A12" s="2074" t="s">
        <v>1786</v>
      </c>
      <c r="B12" s="2071" t="s">
        <v>3054</v>
      </c>
      <c r="C12" s="2075" t="s">
        <v>1787</v>
      </c>
      <c r="D12" s="2076" t="s">
        <v>1788</v>
      </c>
      <c r="E12" s="2076" t="s">
        <v>1789</v>
      </c>
      <c r="F12" s="2076" t="s">
        <v>1790</v>
      </c>
      <c r="G12" s="2076" t="s">
        <v>1791</v>
      </c>
      <c r="H12" s="2076" t="s">
        <v>1792</v>
      </c>
      <c r="I12" s="2076" t="s">
        <v>1793</v>
      </c>
      <c r="J12" s="2042"/>
      <c r="K12" s="2054"/>
      <c r="L12" s="2028"/>
      <c r="M12" s="2028"/>
      <c r="N12" s="2029"/>
      <c r="O12" s="2030"/>
      <c r="P12" s="2029"/>
      <c r="Q12" s="2029"/>
      <c r="R12" s="2029"/>
    </row>
    <row r="13" spans="1:19" ht="18" customHeight="1">
      <c r="A13" s="2077"/>
      <c r="B13" s="2078"/>
      <c r="C13" s="2079" t="s">
        <v>1794</v>
      </c>
      <c r="D13" s="2080"/>
      <c r="E13" s="2080">
        <v>54212</v>
      </c>
      <c r="F13" s="2080">
        <v>57864</v>
      </c>
      <c r="G13" s="2080">
        <v>57864</v>
      </c>
      <c r="H13" s="2080">
        <v>57864</v>
      </c>
      <c r="I13" s="1047"/>
      <c r="J13" s="2042"/>
      <c r="K13" s="2054"/>
      <c r="L13" s="2028"/>
      <c r="M13" s="2028"/>
      <c r="N13" s="2029"/>
      <c r="O13" s="2030"/>
      <c r="P13" s="2029"/>
      <c r="Q13" s="2029"/>
      <c r="R13" s="2029"/>
    </row>
    <row r="14" spans="1:19" ht="18" customHeight="1">
      <c r="A14" s="2077"/>
      <c r="B14" s="2078"/>
      <c r="C14" s="2079" t="s">
        <v>1795</v>
      </c>
      <c r="D14" s="1050"/>
      <c r="E14" s="1050">
        <v>40</v>
      </c>
      <c r="F14" s="1050">
        <v>50</v>
      </c>
      <c r="G14" s="1050">
        <v>50</v>
      </c>
      <c r="H14" s="1050">
        <v>50</v>
      </c>
      <c r="I14" s="1050"/>
      <c r="J14" s="2042"/>
      <c r="K14" s="2081"/>
      <c r="L14" s="2028"/>
      <c r="M14" s="2028"/>
      <c r="N14" s="2029"/>
      <c r="O14" s="2030"/>
      <c r="P14" s="2029"/>
      <c r="Q14" s="2029"/>
      <c r="R14" s="2029"/>
    </row>
    <row r="15" spans="1:19" ht="18" customHeight="1">
      <c r="A15" s="2063"/>
      <c r="B15" s="2082"/>
      <c r="C15" s="2079" t="s">
        <v>1796</v>
      </c>
      <c r="D15" s="1049" t="str">
        <f>IF(B12="出让",IF(D13="","",ROUNDDOWN(MIN((D13-$D$3)/365,D14),2)),D14)</f>
        <v/>
      </c>
      <c r="E15" s="1049">
        <f>IF(B12="出让",IF(E13="","",ROUNDDOWN(MIN((E13-$D$3)/365,E14),2)),E14)</f>
        <v>29.24</v>
      </c>
      <c r="F15" s="1049">
        <f>IF(B12="出让",IF(F13="","",ROUNDDOWN(MIN((F13-$D$3)/365,F14),2)),F14)</f>
        <v>39.24</v>
      </c>
      <c r="G15" s="1049">
        <f>IF(B12="出让",IF(G13="","",ROUNDDOWN(MIN((G13-$D$3)/365,G14),2)),G14)</f>
        <v>39.24</v>
      </c>
      <c r="H15" s="1049">
        <f>IF(B12="出让",IF(H13="","",ROUNDDOWN(MIN((H13-$D$3)/365,H14),2)),H14)</f>
        <v>39.24</v>
      </c>
      <c r="I15" s="1049" t="str">
        <f>IF(B12="出让",IF(I13="","",ROUNDDOWN(MIN((I13-$D$3)/365,I14),2)),I14)</f>
        <v/>
      </c>
      <c r="J15" s="2042"/>
      <c r="K15" s="2083"/>
      <c r="L15" s="2084"/>
      <c r="M15" s="2084"/>
      <c r="N15" s="2085"/>
      <c r="O15" s="2084"/>
      <c r="P15" s="2085"/>
      <c r="Q15" s="2029"/>
      <c r="R15" s="2029"/>
    </row>
    <row r="16" spans="1:19" ht="30.75" customHeight="1">
      <c r="A16" s="2066" t="s">
        <v>1797</v>
      </c>
      <c r="B16" s="3029"/>
      <c r="C16" s="3030"/>
      <c r="D16" s="3031"/>
      <c r="E16" s="2086" t="s">
        <v>1798</v>
      </c>
      <c r="F16" s="3032"/>
      <c r="G16" s="3033"/>
      <c r="H16" s="3033"/>
      <c r="I16" s="3034"/>
      <c r="J16" s="2029"/>
      <c r="K16" s="2083"/>
      <c r="L16" s="2084"/>
      <c r="M16" s="2084"/>
      <c r="N16" s="2085"/>
      <c r="O16" s="2084"/>
      <c r="P16" s="2085"/>
      <c r="Q16" s="2029"/>
      <c r="R16" s="2029"/>
    </row>
    <row r="17" spans="1:22" ht="18" customHeight="1">
      <c r="A17" s="2087" t="s">
        <v>1799</v>
      </c>
      <c r="B17" s="2035" t="s">
        <v>1800</v>
      </c>
      <c r="C17" s="1054">
        <f>'数据-汇总表'!E3</f>
        <v>26356.14</v>
      </c>
      <c r="D17" s="2088" t="s">
        <v>1801</v>
      </c>
      <c r="E17" s="3035" t="s">
        <v>1802</v>
      </c>
      <c r="F17" s="3036"/>
      <c r="G17" s="3036"/>
      <c r="H17" s="3036"/>
      <c r="I17" s="3037"/>
      <c r="J17" s="2029"/>
      <c r="K17" s="2089"/>
      <c r="L17" s="2084"/>
      <c r="M17" s="2084"/>
      <c r="N17" s="2085"/>
      <c r="O17" s="2084"/>
      <c r="P17" s="2085"/>
      <c r="Q17" s="2029"/>
      <c r="R17" s="2029"/>
      <c r="S17" s="2029"/>
      <c r="T17" s="2029"/>
      <c r="U17" s="2029"/>
      <c r="V17" s="2029"/>
    </row>
    <row r="18" spans="1:22" ht="36" customHeight="1" thickBot="1">
      <c r="A18" s="2090" t="s">
        <v>1803</v>
      </c>
      <c r="B18" s="2038" t="s">
        <v>1804</v>
      </c>
      <c r="C18" s="1444">
        <f>'数据-汇总表'!D3</f>
        <v>7100</v>
      </c>
      <c r="D18" s="2091" t="s">
        <v>1801</v>
      </c>
      <c r="E18" s="3038" t="s">
        <v>1805</v>
      </c>
      <c r="F18" s="3039"/>
      <c r="G18" s="3039"/>
      <c r="H18" s="3039"/>
      <c r="I18" s="3040"/>
      <c r="J18" s="2029"/>
      <c r="K18" s="2089"/>
      <c r="L18" s="2084"/>
      <c r="M18" s="2084"/>
      <c r="N18" s="2085"/>
      <c r="O18" s="2084"/>
      <c r="P18" s="2085"/>
      <c r="Q18" s="2029"/>
      <c r="R18" s="2029"/>
      <c r="S18" s="2029"/>
      <c r="T18" s="2029"/>
      <c r="U18" s="2029"/>
      <c r="V18" s="2029"/>
    </row>
    <row r="19" spans="1:22" ht="37.5" customHeight="1" thickTop="1" thickBot="1">
      <c r="A19" s="373" t="s">
        <v>1806</v>
      </c>
      <c r="B19" s="352" t="s">
        <v>1807</v>
      </c>
      <c r="C19" s="2092"/>
      <c r="D19" s="2093" t="s">
        <v>1808</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1809</v>
      </c>
      <c r="B20" s="3025" t="s">
        <v>1810</v>
      </c>
      <c r="C20" s="3026"/>
      <c r="D20" s="3027" t="s">
        <v>1811</v>
      </c>
      <c r="E20" s="3028"/>
      <c r="F20" s="2098" t="s">
        <v>1812</v>
      </c>
      <c r="G20" s="2042"/>
      <c r="H20" s="2042"/>
      <c r="I20" s="2042"/>
      <c r="J20" s="2042"/>
      <c r="K20" s="3024"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1814</v>
      </c>
      <c r="C21" s="2100" t="s">
        <v>1815</v>
      </c>
      <c r="D21" s="2101" t="s">
        <v>1816</v>
      </c>
      <c r="E21" s="2102" t="s">
        <v>1815</v>
      </c>
      <c r="F21" s="2103"/>
      <c r="G21" s="2042"/>
      <c r="H21" s="2042"/>
      <c r="I21" s="2042"/>
      <c r="J21" s="2042"/>
      <c r="K21" s="302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1817</v>
      </c>
      <c r="C22" s="2100" t="s">
        <v>1818</v>
      </c>
      <c r="D22" s="2026"/>
      <c r="E22" s="2026"/>
      <c r="F22" s="2105"/>
      <c r="G22" s="2042"/>
      <c r="H22" s="2042"/>
      <c r="I22" s="2042"/>
      <c r="J22" s="2042"/>
      <c r="K22" s="302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1819</v>
      </c>
      <c r="B23" s="183" t="s">
        <v>1820</v>
      </c>
      <c r="C23" s="2107"/>
      <c r="D23" s="2108" t="s">
        <v>1820</v>
      </c>
      <c r="E23" s="2109"/>
      <c r="F23" s="2105"/>
      <c r="G23" s="2042"/>
      <c r="H23" s="2042"/>
      <c r="I23" s="2042"/>
      <c r="J23" s="2042"/>
      <c r="K23" s="2110"/>
      <c r="L23" s="748"/>
      <c r="M23" s="2028"/>
      <c r="N23" s="2085"/>
      <c r="O23" s="2084"/>
      <c r="P23" s="2085"/>
      <c r="Q23" s="2029"/>
      <c r="R23" s="2029"/>
      <c r="S23" s="2029"/>
      <c r="T23" s="2029"/>
      <c r="U23" s="2029"/>
      <c r="V23" s="2029"/>
    </row>
    <row r="24" spans="1:22" ht="18" customHeight="1">
      <c r="A24" s="2111"/>
      <c r="B24" s="183" t="s">
        <v>1821</v>
      </c>
      <c r="C24" s="2112"/>
      <c r="D24" s="2106" t="s">
        <v>1821</v>
      </c>
      <c r="E24" s="2113"/>
      <c r="F24" s="2105"/>
      <c r="G24" s="2042"/>
      <c r="H24" s="2042"/>
      <c r="I24" s="2042"/>
      <c r="J24" s="2042"/>
      <c r="K24" s="2110"/>
      <c r="L24" s="748"/>
      <c r="M24" s="2028"/>
      <c r="N24" s="2085"/>
      <c r="O24" s="2084"/>
      <c r="P24" s="2085"/>
      <c r="Q24" s="2029"/>
      <c r="R24" s="2029"/>
      <c r="S24" s="2029"/>
      <c r="T24" s="2029"/>
      <c r="U24" s="2029"/>
      <c r="V24" s="2029"/>
    </row>
    <row r="25" spans="1:22" ht="18" customHeight="1">
      <c r="A25" s="2111"/>
      <c r="B25" s="183" t="s">
        <v>1822</v>
      </c>
      <c r="C25" s="2112"/>
      <c r="D25" s="2106" t="s">
        <v>1822</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1823</v>
      </c>
      <c r="C26" s="2116"/>
      <c r="D26" s="2117" t="s">
        <v>1824</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012" t="s">
        <v>1825</v>
      </c>
      <c r="B27" s="2063" t="s">
        <v>1826</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012"/>
      <c r="B28" s="2035" t="s">
        <v>1827</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012"/>
      <c r="B29" s="2035" t="s">
        <v>1828</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013"/>
      <c r="B30" s="2035" t="s">
        <v>1829</v>
      </c>
      <c r="C30" s="3014"/>
      <c r="D30" s="3015"/>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016" t="s">
        <v>1830</v>
      </c>
      <c r="B31" s="2127"/>
      <c r="C31" s="2128" t="str">
        <f>IF(B31="现房","成新及维护状况正常否",IF(B31="在建","工程状态是否正常",IF(B31="土地","是否闲置","-")))</f>
        <v>-</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017"/>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017"/>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1831</v>
      </c>
      <c r="B34" s="2134"/>
      <c r="C34" s="2134"/>
      <c r="D34" s="2134"/>
      <c r="E34" s="2134"/>
      <c r="F34" s="2134"/>
      <c r="G34" s="2134"/>
      <c r="H34" s="2134"/>
      <c r="I34" s="2042"/>
      <c r="J34" s="2042"/>
      <c r="K34" s="1795">
        <f>COUNTIF(B34:H34,"——")</f>
        <v>0</v>
      </c>
      <c r="L34" s="2075" t="s">
        <v>1832</v>
      </c>
      <c r="M34" s="2075" t="s">
        <v>1833</v>
      </c>
      <c r="N34" s="2075" t="s">
        <v>1834</v>
      </c>
      <c r="O34" s="2075" t="s">
        <v>1835</v>
      </c>
      <c r="P34" s="2075" t="s">
        <v>1836</v>
      </c>
      <c r="Q34" s="2075" t="s">
        <v>1837</v>
      </c>
      <c r="R34" s="2075" t="s">
        <v>1838</v>
      </c>
      <c r="S34" s="3011" t="s">
        <v>1839</v>
      </c>
      <c r="T34" s="2135" t="str">
        <f>NUMBERSTRING(7-K34,1)&amp;"通"</f>
        <v>七通</v>
      </c>
      <c r="U34" s="2029"/>
      <c r="V34" s="2029"/>
    </row>
    <row r="35" spans="1:22" ht="18" customHeight="1">
      <c r="A35" s="2136"/>
      <c r="B35" s="3018" t="s">
        <v>1840</v>
      </c>
      <c r="C35" s="3018"/>
      <c r="D35" s="3018"/>
      <c r="E35" s="3018"/>
      <c r="F35" s="2137">
        <f>C10</f>
        <v>0</v>
      </c>
      <c r="G35" s="2042"/>
      <c r="H35" s="2042"/>
      <c r="I35" s="2042"/>
      <c r="J35" s="2042"/>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11"/>
      <c r="T35" s="48" t="str">
        <f>IF(T34="一通",L35,IF(T34="二通",M35,IF(T34="三通",N35,IF(T34="四通",O35,IF(T34="五通",P35,IF(T34="六通",Q35,R35))))))</f>
        <v>、、、、、、</v>
      </c>
      <c r="U35" s="2029"/>
      <c r="V35" s="2029"/>
    </row>
    <row r="36" spans="1:22" ht="18" customHeight="1">
      <c r="A36" s="2138"/>
      <c r="B36" s="2137" t="s">
        <v>1841</v>
      </c>
      <c r="C36" s="2137" t="s">
        <v>1842</v>
      </c>
      <c r="D36" s="2137" t="s">
        <v>1843</v>
      </c>
      <c r="E36" s="2137" t="s">
        <v>1844</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1845</v>
      </c>
      <c r="B37" s="2141" t="s">
        <v>56</v>
      </c>
      <c r="C37" s="2141" t="s">
        <v>56</v>
      </c>
      <c r="D37" s="2141"/>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1846</v>
      </c>
      <c r="B38" s="2143" t="s">
        <v>474</v>
      </c>
      <c r="C38" s="2143" t="s">
        <v>474</v>
      </c>
      <c r="D38" s="2143"/>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6"/>
      <c r="L40" s="2084"/>
      <c r="M40" s="2084"/>
      <c r="N40" s="2085"/>
      <c r="O40" s="2084"/>
      <c r="P40" s="2029"/>
      <c r="Q40" s="2029"/>
      <c r="R40" s="2029"/>
      <c r="S40" s="2029"/>
      <c r="T40" s="2029"/>
      <c r="U40" s="2029"/>
      <c r="V40" s="2029"/>
    </row>
    <row r="41" spans="1:22" ht="18" customHeight="1">
      <c r="A41" s="8" t="s">
        <v>1848</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1849</v>
      </c>
      <c r="B42" s="1795" t="s">
        <v>1850</v>
      </c>
      <c r="C42" s="1795" t="s">
        <v>1851</v>
      </c>
      <c r="D42" s="1795" t="s">
        <v>1852</v>
      </c>
      <c r="E42" s="1795" t="s">
        <v>1853</v>
      </c>
      <c r="F42" s="1795" t="s">
        <v>1854</v>
      </c>
      <c r="G42" s="1795" t="s">
        <v>1855</v>
      </c>
      <c r="H42" s="1795" t="s">
        <v>1856</v>
      </c>
      <c r="I42" s="1795" t="s">
        <v>1857</v>
      </c>
      <c r="J42" s="2153" t="s">
        <v>1858</v>
      </c>
      <c r="K42" s="2076" t="s">
        <v>1859</v>
      </c>
      <c r="L42" s="2076" t="s">
        <v>1860</v>
      </c>
      <c r="M42" s="2076" t="s">
        <v>1861</v>
      </c>
      <c r="N42" s="1795" t="s">
        <v>1862</v>
      </c>
      <c r="O42" s="1795" t="s">
        <v>1863</v>
      </c>
      <c r="P42" s="1795" t="s">
        <v>1864</v>
      </c>
      <c r="Q42" s="2075" t="s">
        <v>1865</v>
      </c>
      <c r="R42" s="2075" t="s">
        <v>1866</v>
      </c>
      <c r="S42" s="2029"/>
      <c r="T42" s="2029"/>
      <c r="U42" s="2029"/>
      <c r="V42" s="2029"/>
    </row>
    <row r="43" spans="1:22" s="2158" customFormat="1" ht="18" customHeight="1">
      <c r="A43" s="2154"/>
      <c r="B43" s="1272"/>
      <c r="C43" s="1272"/>
      <c r="D43" s="1272"/>
      <c r="E43" s="1272"/>
      <c r="F43" s="1272"/>
      <c r="G43" s="1272"/>
      <c r="H43" s="9"/>
      <c r="I43" s="9"/>
      <c r="J43" s="2155"/>
      <c r="K43" s="2156"/>
      <c r="L43" s="2156"/>
      <c r="M43" s="9"/>
      <c r="N43" s="1272"/>
      <c r="O43" s="9"/>
      <c r="P43" s="1272"/>
      <c r="Q43" s="1272"/>
      <c r="R43" s="1272"/>
      <c r="S43" s="2157"/>
      <c r="T43" s="2157"/>
      <c r="U43" s="2157"/>
      <c r="V43" s="2157"/>
    </row>
    <row r="44" spans="1:22" s="2158" customFormat="1" ht="18" customHeight="1">
      <c r="A44" s="2154"/>
      <c r="B44" s="2154"/>
      <c r="C44" s="1272"/>
      <c r="D44" s="1272"/>
      <c r="E44" s="1272"/>
      <c r="F44" s="1272"/>
      <c r="G44" s="1272"/>
      <c r="H44" s="9"/>
      <c r="I44" s="9"/>
      <c r="J44" s="2155"/>
      <c r="K44" s="2156"/>
      <c r="L44" s="2156"/>
      <c r="M44" s="9"/>
      <c r="N44" s="1272"/>
      <c r="O44" s="9"/>
      <c r="P44" s="1272"/>
      <c r="Q44" s="1272"/>
      <c r="R44" s="1272"/>
      <c r="S44" s="2157"/>
      <c r="T44" s="2157"/>
      <c r="U44" s="2157"/>
      <c r="V44" s="2157"/>
    </row>
    <row r="45" spans="1:22" s="2158" customFormat="1" ht="18" customHeight="1">
      <c r="A45" s="2154"/>
      <c r="B45" s="2154"/>
      <c r="C45" s="1272"/>
      <c r="D45" s="1272"/>
      <c r="E45" s="1272"/>
      <c r="F45" s="1272"/>
      <c r="G45" s="1272"/>
      <c r="H45" s="9"/>
      <c r="I45" s="9"/>
      <c r="J45" s="2155"/>
      <c r="K45" s="2156"/>
      <c r="L45" s="2156"/>
      <c r="M45" s="9"/>
      <c r="N45" s="1272"/>
      <c r="O45" s="9"/>
      <c r="P45" s="1272"/>
      <c r="Q45" s="1272"/>
      <c r="R45" s="1272"/>
      <c r="S45" s="2157"/>
      <c r="T45" s="2157"/>
      <c r="U45" s="2157"/>
      <c r="V45" s="2157"/>
    </row>
    <row r="46" spans="1:22" s="2158" customFormat="1" ht="18" customHeight="1">
      <c r="A46" s="2154"/>
      <c r="B46" s="2154"/>
      <c r="C46" s="1272"/>
      <c r="D46" s="1272"/>
      <c r="E46" s="1272"/>
      <c r="F46" s="1272"/>
      <c r="G46" s="1272"/>
      <c r="H46" s="9"/>
      <c r="I46" s="9"/>
      <c r="J46" s="2155"/>
      <c r="K46" s="2156"/>
      <c r="L46" s="2156"/>
      <c r="M46" s="9"/>
      <c r="N46" s="1272"/>
      <c r="O46" s="9"/>
      <c r="P46" s="1272"/>
      <c r="Q46" s="1272"/>
      <c r="R46" s="1272"/>
      <c r="S46" s="2157"/>
      <c r="T46" s="2157"/>
      <c r="U46" s="2157"/>
      <c r="V46" s="2157"/>
    </row>
    <row r="47" spans="1:22" s="2158" customFormat="1" ht="18" customHeight="1">
      <c r="A47" s="2154"/>
      <c r="B47" s="2154"/>
      <c r="C47" s="1272"/>
      <c r="D47" s="1272"/>
      <c r="E47" s="1272"/>
      <c r="F47" s="1272"/>
      <c r="G47" s="1272"/>
      <c r="H47" s="9"/>
      <c r="I47" s="9"/>
      <c r="J47" s="2155"/>
      <c r="K47" s="2156"/>
      <c r="L47" s="2156"/>
      <c r="M47" s="9"/>
      <c r="N47" s="1272"/>
      <c r="O47" s="9"/>
      <c r="P47" s="1272"/>
      <c r="Q47" s="1272"/>
      <c r="R47" s="1272"/>
      <c r="S47" s="2157"/>
      <c r="T47" s="2157"/>
      <c r="U47" s="2157"/>
      <c r="V47" s="2157"/>
    </row>
    <row r="48" spans="1:22" s="2158" customFormat="1" ht="18" customHeight="1">
      <c r="A48" s="2154"/>
      <c r="B48" s="2154"/>
      <c r="C48" s="1272"/>
      <c r="D48" s="1272"/>
      <c r="E48" s="1272"/>
      <c r="F48" s="1272"/>
      <c r="G48" s="1272"/>
      <c r="H48" s="9"/>
      <c r="I48" s="9"/>
      <c r="J48" s="2155"/>
      <c r="K48" s="2156"/>
      <c r="L48" s="2156"/>
      <c r="M48" s="9"/>
      <c r="N48" s="1272"/>
      <c r="O48" s="9"/>
      <c r="P48" s="1272"/>
      <c r="Q48" s="1272"/>
      <c r="R48" s="1272"/>
      <c r="S48" s="2157"/>
      <c r="T48" s="2157"/>
      <c r="U48" s="2157"/>
      <c r="V48" s="2157"/>
    </row>
    <row r="49" spans="1:22" s="2158" customFormat="1" ht="18" customHeight="1">
      <c r="A49" s="2154"/>
      <c r="B49" s="2154"/>
      <c r="C49" s="1272"/>
      <c r="D49" s="1272"/>
      <c r="E49" s="1272"/>
      <c r="F49" s="1272"/>
      <c r="G49" s="1272"/>
      <c r="H49" s="9"/>
      <c r="I49" s="9"/>
      <c r="J49" s="2155"/>
      <c r="K49" s="2156"/>
      <c r="L49" s="2156"/>
      <c r="M49" s="9"/>
      <c r="N49" s="1272"/>
      <c r="O49" s="9"/>
      <c r="P49" s="1272"/>
      <c r="Q49" s="1272"/>
      <c r="R49" s="1272"/>
      <c r="S49" s="2157"/>
      <c r="T49" s="2157"/>
      <c r="U49" s="2157"/>
      <c r="V49" s="2157"/>
    </row>
    <row r="50" spans="1:22" s="2158" customFormat="1" ht="18" customHeight="1">
      <c r="A50" s="2154"/>
      <c r="B50" s="2154"/>
      <c r="C50" s="1272"/>
      <c r="D50" s="1272"/>
      <c r="E50" s="1272"/>
      <c r="F50" s="1272"/>
      <c r="G50" s="1272"/>
      <c r="H50" s="9"/>
      <c r="I50" s="9"/>
      <c r="J50" s="2155"/>
      <c r="K50" s="2156"/>
      <c r="L50" s="2156"/>
      <c r="M50" s="9"/>
      <c r="N50" s="1272"/>
      <c r="O50" s="9"/>
      <c r="P50" s="1272"/>
      <c r="Q50" s="1272"/>
      <c r="R50" s="1272"/>
      <c r="S50" s="2157"/>
      <c r="T50" s="2157"/>
      <c r="U50" s="2157"/>
      <c r="V50" s="2157"/>
    </row>
    <row r="51" spans="1:22" s="2158" customFormat="1" ht="18" customHeight="1">
      <c r="A51" s="2154"/>
      <c r="B51" s="2154"/>
      <c r="C51" s="1272"/>
      <c r="D51" s="1272"/>
      <c r="E51" s="1272"/>
      <c r="F51" s="1272"/>
      <c r="G51" s="1272"/>
      <c r="H51" s="9"/>
      <c r="I51" s="9"/>
      <c r="J51" s="2155"/>
      <c r="K51" s="2156"/>
      <c r="L51" s="2156"/>
      <c r="M51" s="9"/>
      <c r="N51" s="1272"/>
      <c r="O51" s="9"/>
      <c r="P51" s="1272"/>
      <c r="Q51" s="1272"/>
      <c r="R51" s="1272"/>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L14" sqref="AL14"/>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1868</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69" t="s">
        <v>1872</v>
      </c>
      <c r="AZ2" s="1270"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7100</v>
      </c>
      <c r="B3" s="14">
        <f>IF(C3="否",G5-AT5,G5)</f>
        <v>26356.14</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1"/>
      <c r="AZ3" s="1272"/>
      <c r="BA3" s="1273"/>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3"/>
      <c r="C5" s="1803"/>
      <c r="D5" s="1806"/>
      <c r="E5" s="16" t="s">
        <v>1</v>
      </c>
      <c r="F5" s="16">
        <f>SUM(F13:F587)</f>
        <v>0</v>
      </c>
      <c r="G5" s="16">
        <f>SUM(G13:G587)</f>
        <v>26356.14</v>
      </c>
      <c r="H5" s="16">
        <f t="shared" ref="H5:AT5" si="0">SUM(H13:H656)</f>
        <v>21677.71</v>
      </c>
      <c r="I5" s="16">
        <f t="shared" si="0"/>
        <v>18730.47</v>
      </c>
      <c r="J5" s="16">
        <f t="shared" si="0"/>
        <v>0</v>
      </c>
      <c r="K5" s="16">
        <f t="shared" si="0"/>
        <v>2330.23</v>
      </c>
      <c r="L5" s="16">
        <f t="shared" si="0"/>
        <v>0</v>
      </c>
      <c r="M5" s="16">
        <f t="shared" si="0"/>
        <v>617.01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4678.43</v>
      </c>
      <c r="AD5" s="16">
        <f t="shared" si="0"/>
        <v>0</v>
      </c>
      <c r="AE5" s="16">
        <f t="shared" si="0"/>
        <v>0</v>
      </c>
      <c r="AF5" s="16">
        <f t="shared" si="0"/>
        <v>0</v>
      </c>
      <c r="AG5" s="16">
        <f t="shared" si="0"/>
        <v>0</v>
      </c>
      <c r="AH5" s="16">
        <f t="shared" si="0"/>
        <v>0</v>
      </c>
      <c r="AI5" s="16">
        <f t="shared" si="0"/>
        <v>0</v>
      </c>
      <c r="AJ5" s="16">
        <f t="shared" si="0"/>
        <v>0</v>
      </c>
      <c r="AK5" s="16">
        <f t="shared" si="0"/>
        <v>0</v>
      </c>
      <c r="AL5" s="16">
        <f t="shared" si="0"/>
        <v>4678.43</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1876</v>
      </c>
      <c r="AW5" s="1803"/>
      <c r="AX5" s="1803"/>
      <c r="AY5" s="17" t="s">
        <v>3</v>
      </c>
      <c r="AZ5" s="18">
        <f t="shared" ref="AZ5:BT5" si="1">SUM(AZ13:AZ656)</f>
        <v>26356.14</v>
      </c>
      <c r="BA5" s="18">
        <f t="shared" si="1"/>
        <v>21677.71</v>
      </c>
      <c r="BB5" s="18">
        <f t="shared" si="1"/>
        <v>18730.47</v>
      </c>
      <c r="BC5" s="18">
        <f t="shared" si="1"/>
        <v>2330.23</v>
      </c>
      <c r="BD5" s="18">
        <f t="shared" si="1"/>
        <v>617.01</v>
      </c>
      <c r="BE5" s="18">
        <f t="shared" si="1"/>
        <v>0</v>
      </c>
      <c r="BF5" s="18">
        <f t="shared" si="1"/>
        <v>0</v>
      </c>
      <c r="BG5" s="18">
        <f t="shared" si="1"/>
        <v>0</v>
      </c>
      <c r="BH5" s="18">
        <f t="shared" si="1"/>
        <v>0</v>
      </c>
      <c r="BI5" s="18">
        <f t="shared" si="1"/>
        <v>0</v>
      </c>
      <c r="BJ5" s="18">
        <f t="shared" si="1"/>
        <v>0</v>
      </c>
      <c r="BK5" s="18">
        <f t="shared" si="1"/>
        <v>0</v>
      </c>
      <c r="BL5" s="18">
        <f t="shared" si="1"/>
        <v>4678.43</v>
      </c>
      <c r="BM5" s="18">
        <f t="shared" si="1"/>
        <v>0</v>
      </c>
      <c r="BN5" s="18">
        <f t="shared" si="1"/>
        <v>0</v>
      </c>
      <c r="BO5" s="18">
        <f t="shared" si="1"/>
        <v>0</v>
      </c>
      <c r="BP5" s="18">
        <f t="shared" si="1"/>
        <v>0</v>
      </c>
      <c r="BQ5" s="18">
        <f t="shared" si="1"/>
        <v>4678.43</v>
      </c>
      <c r="BR5" s="18">
        <f t="shared" si="1"/>
        <v>0</v>
      </c>
      <c r="BS5" s="18">
        <f t="shared" si="1"/>
        <v>0</v>
      </c>
      <c r="BT5" s="19">
        <f t="shared" si="1"/>
        <v>0</v>
      </c>
    </row>
    <row r="6" spans="1:72" s="2178" customFormat="1" ht="12.75">
      <c r="A6" s="15" t="s">
        <v>1877</v>
      </c>
      <c r="B6" s="2175"/>
      <c r="C6" s="2175"/>
      <c r="D6" s="2176"/>
      <c r="E6" s="16">
        <f>H6+AC6+AT6</f>
        <v>7099.99</v>
      </c>
      <c r="F6" s="16" t="s">
        <v>1</v>
      </c>
      <c r="G6" s="16" t="s">
        <v>2</v>
      </c>
      <c r="H6" s="20">
        <f>SUMIF(I$12:AB$12,"总值",I6:AB6)</f>
        <v>5839.6799999999994</v>
      </c>
      <c r="I6" s="16">
        <f t="shared" ref="I6:AB6" si="2">ROUND($A$3*I5/$B$3,2)</f>
        <v>5045.74</v>
      </c>
      <c r="J6" s="16">
        <f t="shared" si="2"/>
        <v>0</v>
      </c>
      <c r="K6" s="16">
        <f t="shared" si="2"/>
        <v>627.73</v>
      </c>
      <c r="L6" s="16">
        <f t="shared" si="2"/>
        <v>0</v>
      </c>
      <c r="M6" s="16">
        <f t="shared" si="2"/>
        <v>166.21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1260.31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1260.31</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7100</v>
      </c>
      <c r="AZ6" s="16" t="s">
        <v>3</v>
      </c>
      <c r="BA6" s="16">
        <f>ROUND($AY$6*BA5/$AZ$5,2)</f>
        <v>5839.69</v>
      </c>
      <c r="BB6" s="16">
        <f>ROUND($AY$6*BB5/$AZ$5,2)</f>
        <v>5045.74</v>
      </c>
      <c r="BC6" s="16">
        <f t="shared" ref="BC6:BH6" si="4">ROUND($AY$6*BC5/$AZ$5,2)</f>
        <v>627.73</v>
      </c>
      <c r="BD6" s="16">
        <f t="shared" si="4"/>
        <v>166.21</v>
      </c>
      <c r="BE6" s="16">
        <f t="shared" si="4"/>
        <v>0</v>
      </c>
      <c r="BF6" s="16">
        <f t="shared" si="4"/>
        <v>0</v>
      </c>
      <c r="BG6" s="16">
        <f t="shared" si="4"/>
        <v>0</v>
      </c>
      <c r="BH6" s="16">
        <f t="shared" si="4"/>
        <v>0</v>
      </c>
      <c r="BI6" s="16">
        <f t="shared" ref="BI6:BT6" si="5">ROUND($AY$6*BI5/$AZ$5,2)</f>
        <v>0</v>
      </c>
      <c r="BJ6" s="16">
        <f t="shared" si="5"/>
        <v>0</v>
      </c>
      <c r="BK6" s="16">
        <f t="shared" si="5"/>
        <v>0</v>
      </c>
      <c r="BL6" s="16">
        <f t="shared" si="5"/>
        <v>1260.31</v>
      </c>
      <c r="BM6" s="16">
        <f t="shared" si="5"/>
        <v>0</v>
      </c>
      <c r="BN6" s="16">
        <f t="shared" si="5"/>
        <v>0</v>
      </c>
      <c r="BO6" s="16">
        <f t="shared" si="5"/>
        <v>0</v>
      </c>
      <c r="BP6" s="16">
        <f t="shared" si="5"/>
        <v>0</v>
      </c>
      <c r="BQ6" s="16">
        <f t="shared" si="5"/>
        <v>1260.31</v>
      </c>
      <c r="BR6" s="16">
        <f t="shared" si="5"/>
        <v>0</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1885</v>
      </c>
      <c r="AV7" s="23" t="s">
        <v>1886</v>
      </c>
      <c r="AW7" s="2167" t="s">
        <v>1887</v>
      </c>
      <c r="AX7" s="23" t="s">
        <v>1880</v>
      </c>
      <c r="AY7" s="1803"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18"/>
      <c r="K8" s="1818"/>
      <c r="L8" s="1818"/>
      <c r="M8" s="1818"/>
      <c r="N8" s="1818"/>
      <c r="O8" s="1818"/>
      <c r="P8" s="1818"/>
      <c r="Q8" s="1818"/>
      <c r="R8" s="1818"/>
      <c r="S8" s="1818"/>
      <c r="T8" s="1818"/>
      <c r="U8" s="1818"/>
      <c r="V8" s="2187"/>
      <c r="W8" s="1818"/>
      <c r="X8" s="1818"/>
      <c r="Y8" s="1818"/>
      <c r="Z8" s="1818"/>
      <c r="AA8" s="2187"/>
      <c r="AB8" s="2188"/>
      <c r="AC8" s="981" t="s">
        <v>1891</v>
      </c>
      <c r="AD8" s="2189"/>
      <c r="AE8" s="2181"/>
      <c r="AF8" s="1818"/>
      <c r="AG8" s="1818"/>
      <c r="AH8" s="1818"/>
      <c r="AI8" s="1818"/>
      <c r="AJ8" s="1818"/>
      <c r="AK8" s="1818"/>
      <c r="AL8" s="1818"/>
      <c r="AM8" s="1818"/>
      <c r="AN8" s="1818"/>
      <c r="AO8" s="1818"/>
      <c r="AP8" s="1818"/>
      <c r="AQ8" s="1818"/>
      <c r="AR8" s="1818"/>
      <c r="AS8" s="1818"/>
      <c r="AT8" s="1292" t="s">
        <v>1892</v>
      </c>
      <c r="AU8" s="2183" t="s">
        <v>1893</v>
      </c>
      <c r="AV8" s="1292"/>
      <c r="AW8" s="2166"/>
      <c r="AX8" s="1292"/>
      <c r="AY8" s="2167" t="s">
        <v>1894</v>
      </c>
      <c r="AZ8" s="1817" t="s">
        <v>1895</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2.75">
      <c r="A9" s="2183"/>
      <c r="B9" s="2183"/>
      <c r="C9" s="2183"/>
      <c r="D9" s="2183"/>
      <c r="E9" s="2183"/>
      <c r="F9" s="2183"/>
      <c r="G9" s="1292"/>
      <c r="H9" s="2191" t="s">
        <v>1896</v>
      </c>
      <c r="I9" s="2192" t="s">
        <v>3055</v>
      </c>
      <c r="J9" s="981"/>
      <c r="K9" s="2192" t="s">
        <v>3055</v>
      </c>
      <c r="L9" s="981"/>
      <c r="M9" s="2192" t="s">
        <v>3059</v>
      </c>
      <c r="N9" s="981"/>
      <c r="O9" s="2192" t="s">
        <v>3059</v>
      </c>
      <c r="P9" s="981"/>
      <c r="Q9" s="2192"/>
      <c r="R9" s="981"/>
      <c r="S9" s="2192"/>
      <c r="T9" s="981"/>
      <c r="U9" s="2192"/>
      <c r="V9" s="981"/>
      <c r="W9" s="2192"/>
      <c r="X9" s="2193"/>
      <c r="Y9" s="2192"/>
      <c r="Z9" s="981"/>
      <c r="AA9" s="2192"/>
      <c r="AB9" s="981"/>
      <c r="AC9" s="2184" t="s">
        <v>1896</v>
      </c>
      <c r="AD9" s="15" t="s">
        <v>1897</v>
      </c>
      <c r="AE9" s="1298"/>
      <c r="AF9" s="15" t="s">
        <v>1898</v>
      </c>
      <c r="AG9" s="1298"/>
      <c r="AH9" s="15" t="s">
        <v>1897</v>
      </c>
      <c r="AI9" s="1298"/>
      <c r="AJ9" s="15" t="s">
        <v>1898</v>
      </c>
      <c r="AK9" s="1298"/>
      <c r="AL9" s="15" t="s">
        <v>1897</v>
      </c>
      <c r="AM9" s="1298"/>
      <c r="AN9" s="15" t="s">
        <v>1898</v>
      </c>
      <c r="AO9" s="1298"/>
      <c r="AP9" s="15" t="s">
        <v>1897</v>
      </c>
      <c r="AQ9" s="1298"/>
      <c r="AR9" s="15" t="s">
        <v>1898</v>
      </c>
      <c r="AS9" s="2194"/>
      <c r="AT9" s="2183"/>
      <c r="AU9" s="2183" t="s">
        <v>1899</v>
      </c>
      <c r="AV9" s="1292"/>
      <c r="AW9" s="2166"/>
      <c r="AX9" s="1292"/>
      <c r="AY9" s="28"/>
      <c r="AZ9" s="28" t="s">
        <v>1889</v>
      </c>
      <c r="BA9" s="2195" t="s">
        <v>1900</v>
      </c>
      <c r="BB9" s="2196"/>
      <c r="BC9" s="1338"/>
      <c r="BD9" s="1338"/>
      <c r="BE9" s="1338"/>
      <c r="BF9" s="1338"/>
      <c r="BG9" s="1338"/>
      <c r="BH9" s="1338"/>
      <c r="BI9" s="1338"/>
      <c r="BJ9" s="1338"/>
      <c r="BK9" s="2197"/>
      <c r="BL9" s="15" t="s">
        <v>1901</v>
      </c>
      <c r="BM9" s="1818"/>
      <c r="BN9" s="2186"/>
      <c r="BO9" s="1818"/>
      <c r="BP9" s="1818"/>
      <c r="BQ9" s="1818"/>
      <c r="BR9" s="1818"/>
      <c r="BS9" s="1818"/>
      <c r="BT9" s="26"/>
    </row>
    <row r="10" spans="1:72" s="2190" customFormat="1" ht="12.75">
      <c r="A10" s="2183"/>
      <c r="B10" s="2183"/>
      <c r="C10" s="2183"/>
      <c r="D10" s="2183"/>
      <c r="E10" s="2183"/>
      <c r="F10" s="2183"/>
      <c r="G10" s="1292"/>
      <c r="H10" s="28"/>
      <c r="I10" s="2192" t="s">
        <v>27</v>
      </c>
      <c r="J10" s="981"/>
      <c r="K10" s="2198" t="s">
        <v>1373</v>
      </c>
      <c r="L10" s="981"/>
      <c r="M10" s="2198" t="s">
        <v>3060</v>
      </c>
      <c r="N10" s="981"/>
      <c r="O10" s="2198"/>
      <c r="P10" s="981"/>
      <c r="Q10" s="2198"/>
      <c r="R10" s="981"/>
      <c r="S10" s="2198"/>
      <c r="T10" s="981"/>
      <c r="U10" s="2198"/>
      <c r="V10" s="981"/>
      <c r="W10" s="2198"/>
      <c r="X10" s="981"/>
      <c r="Y10" s="2198"/>
      <c r="Z10" s="981"/>
      <c r="AA10" s="2198"/>
      <c r="AB10" s="981"/>
      <c r="AC10" s="1292"/>
      <c r="AD10" s="15" t="s">
        <v>1902</v>
      </c>
      <c r="AE10" s="2199"/>
      <c r="AF10" s="15" t="s">
        <v>1902</v>
      </c>
      <c r="AG10" s="2199"/>
      <c r="AH10" s="15" t="s">
        <v>1903</v>
      </c>
      <c r="AI10" s="2199"/>
      <c r="AJ10" s="15" t="s">
        <v>1903</v>
      </c>
      <c r="AK10" s="2199"/>
      <c r="AL10" s="15" t="s">
        <v>1904</v>
      </c>
      <c r="AM10" s="1298"/>
      <c r="AN10" s="15" t="s">
        <v>1904</v>
      </c>
      <c r="AO10" s="1298"/>
      <c r="AP10" s="15" t="s">
        <v>1905</v>
      </c>
      <c r="AQ10" s="1298"/>
      <c r="AR10" s="15" t="s">
        <v>1905</v>
      </c>
      <c r="AS10" s="1298"/>
      <c r="AT10" s="2183"/>
      <c r="AU10" s="2183"/>
      <c r="AV10" s="1292"/>
      <c r="AW10" s="2166"/>
      <c r="AX10" s="1292"/>
      <c r="AY10" s="28"/>
      <c r="AZ10" s="28"/>
      <c r="BA10" s="2200" t="s">
        <v>1896</v>
      </c>
      <c r="BB10" s="2201" t="str">
        <f>I9</f>
        <v>地上</v>
      </c>
      <c r="BC10" s="29" t="str">
        <f>K9</f>
        <v>地上</v>
      </c>
      <c r="BD10" s="29" t="str">
        <f>M9</f>
        <v>地下</v>
      </c>
      <c r="BE10" s="29" t="str">
        <f>O9</f>
        <v>地下</v>
      </c>
      <c r="BF10" s="29">
        <f>Q9</f>
        <v>0</v>
      </c>
      <c r="BG10" s="29">
        <f>S9</f>
        <v>0</v>
      </c>
      <c r="BH10" s="29">
        <f>U9</f>
        <v>0</v>
      </c>
      <c r="BI10" s="29">
        <f>W9</f>
        <v>0</v>
      </c>
      <c r="BJ10" s="29">
        <f>Y9</f>
        <v>0</v>
      </c>
      <c r="BK10" s="29">
        <f>AA9</f>
        <v>0</v>
      </c>
      <c r="BL10" s="25" t="s">
        <v>1896</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2.75">
      <c r="A11" s="2183"/>
      <c r="B11" s="2183"/>
      <c r="C11" s="2183"/>
      <c r="D11" s="2183"/>
      <c r="E11" s="2183"/>
      <c r="F11" s="2183"/>
      <c r="G11" s="1292"/>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2"/>
      <c r="AD11" s="2205" t="s">
        <v>1906</v>
      </c>
      <c r="AE11" s="1819"/>
      <c r="AF11" s="2205" t="s">
        <v>1906</v>
      </c>
      <c r="AG11" s="1819"/>
      <c r="AH11" s="2205" t="s">
        <v>1907</v>
      </c>
      <c r="AI11" s="2206"/>
      <c r="AJ11" s="2205" t="s">
        <v>1907</v>
      </c>
      <c r="AK11" s="1819"/>
      <c r="AL11" s="1817"/>
      <c r="AM11" s="1819"/>
      <c r="AN11" s="1817"/>
      <c r="AO11" s="1819"/>
      <c r="AP11" s="1817"/>
      <c r="AQ11" s="1819"/>
      <c r="AR11" s="1817"/>
      <c r="AS11" s="1819"/>
      <c r="AT11" s="2166"/>
      <c r="AU11" s="2183"/>
      <c r="AV11" s="1292"/>
      <c r="AW11" s="2166"/>
      <c r="AX11" s="1292"/>
      <c r="AY11" s="28"/>
      <c r="AZ11" s="28"/>
      <c r="BA11" s="28"/>
      <c r="BB11" s="2188" t="str">
        <f>I10</f>
        <v>办公</v>
      </c>
      <c r="BC11" s="2188" t="str">
        <f>K10</f>
        <v>商业</v>
      </c>
      <c r="BD11" s="2188" t="str">
        <f>M10</f>
        <v>仓储</v>
      </c>
      <c r="BE11" s="2188">
        <f>O10</f>
        <v>0</v>
      </c>
      <c r="BF11" s="2188">
        <f>Q10</f>
        <v>0</v>
      </c>
      <c r="BG11" s="2188">
        <f>S10</f>
        <v>0</v>
      </c>
      <c r="BH11" s="2188">
        <f>U10</f>
        <v>0</v>
      </c>
      <c r="BI11" s="2188">
        <f>W10</f>
        <v>0</v>
      </c>
      <c r="BJ11" s="2188">
        <f>Y10</f>
        <v>0</v>
      </c>
      <c r="BK11" s="2188">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6"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2" t="s">
        <v>1909</v>
      </c>
      <c r="W12" s="11" t="s">
        <v>1908</v>
      </c>
      <c r="X12" s="11" t="s">
        <v>1909</v>
      </c>
      <c r="Y12" s="11" t="s">
        <v>1908</v>
      </c>
      <c r="Z12" s="11" t="s">
        <v>1909</v>
      </c>
      <c r="AA12" s="11" t="s">
        <v>1908</v>
      </c>
      <c r="AB12" s="11" t="s">
        <v>1909</v>
      </c>
      <c r="AC12" s="2210"/>
      <c r="AD12" s="1806"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2.75">
      <c r="A13" s="1272"/>
      <c r="B13" s="1272"/>
      <c r="C13" s="2964" t="s">
        <v>3057</v>
      </c>
      <c r="D13" s="2214" t="s">
        <v>3056</v>
      </c>
      <c r="E13" s="16">
        <f>IF($C$3="是",ROUND($A$3*G13/$B$3,2),ROUND($A$3*(G13-AT13)/$B$3,2))</f>
        <v>6306.05</v>
      </c>
      <c r="F13" s="32"/>
      <c r="G13" s="33">
        <f>H13+AC13+AT13</f>
        <v>23408.9</v>
      </c>
      <c r="H13" s="20">
        <f>SUMIF(I$12:AB$12,"总值",I13:AB13)</f>
        <v>18730.47</v>
      </c>
      <c r="I13" s="2215">
        <v>18730.47</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4678.43</v>
      </c>
      <c r="AD13" s="2216"/>
      <c r="AE13" s="2216"/>
      <c r="AF13" s="2216"/>
      <c r="AG13" s="2216"/>
      <c r="AH13" s="2216"/>
      <c r="AI13" s="2216"/>
      <c r="AJ13" s="2216"/>
      <c r="AK13" s="2216"/>
      <c r="AL13" s="2216">
        <f>26356.14-21677.71</f>
        <v>4678.43</v>
      </c>
      <c r="AM13" s="2216"/>
      <c r="AN13" s="2216"/>
      <c r="AO13" s="2216"/>
      <c r="AP13" s="2216"/>
      <c r="AQ13" s="2216"/>
      <c r="AR13" s="2216"/>
      <c r="AS13" s="2216"/>
      <c r="AT13" s="2217"/>
      <c r="AU13" s="2218"/>
      <c r="AV13" s="11">
        <f t="shared" ref="AV13:AX17" si="6">A13</f>
        <v>0</v>
      </c>
      <c r="AW13" s="11">
        <f t="shared" si="6"/>
        <v>0</v>
      </c>
      <c r="AX13" s="11" t="str">
        <f t="shared" si="6"/>
        <v>办公</v>
      </c>
      <c r="AY13" s="1806">
        <f>ROUND($AY$6*AZ13/$AZ$5,2)</f>
        <v>6306.05</v>
      </c>
      <c r="AZ13" s="16">
        <f>BA13+BL13</f>
        <v>23408.9</v>
      </c>
      <c r="BA13" s="16">
        <f>SUM(BB13:BK13)</f>
        <v>18730.47</v>
      </c>
      <c r="BB13" s="16">
        <f>IF($D13="是",I13-J13,0)</f>
        <v>18730.47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4678.43</v>
      </c>
      <c r="BM13" s="16">
        <f>IF($D13="是",AD13-AE13,0)</f>
        <v>0</v>
      </c>
      <c r="BN13" s="16">
        <f>IF($D13="是",AF13-AG13,0)</f>
        <v>0</v>
      </c>
      <c r="BO13" s="16">
        <f>IF($D13="是",AH13-AI13,0)</f>
        <v>0</v>
      </c>
      <c r="BP13" s="16">
        <f>IF($D13="是",AJ13-AK13,0)</f>
        <v>0</v>
      </c>
      <c r="BQ13" s="16">
        <f>IF($D13="是",AL13-AM13,0)</f>
        <v>4678.43</v>
      </c>
      <c r="BR13" s="16">
        <f>IF($D13="是",AN13-AO13,0)</f>
        <v>0</v>
      </c>
      <c r="BS13" s="16">
        <f>IF($D13="是",AP13-AQ13,0)</f>
        <v>0</v>
      </c>
      <c r="BT13" s="22">
        <f>IF($D13="是",AR13-AS13,0)</f>
        <v>0</v>
      </c>
    </row>
    <row r="14" spans="1:72" s="2168" customFormat="1" ht="12.75">
      <c r="A14" s="1272"/>
      <c r="B14" s="1272"/>
      <c r="C14" s="2965" t="s">
        <v>3058</v>
      </c>
      <c r="D14" s="2214" t="s">
        <v>3056</v>
      </c>
      <c r="E14" s="16">
        <f>IF($C$3="是",ROUND($A$3*G14/$B$3,2),ROUND($A$3*(G14-AT14)/$B$3,2))</f>
        <v>627.73</v>
      </c>
      <c r="F14" s="32"/>
      <c r="G14" s="33">
        <f>H14+AC14+AT14</f>
        <v>2330.23</v>
      </c>
      <c r="H14" s="20">
        <f>SUMIF(I$12:AB$12,"总值",I14:AB14)</f>
        <v>2330.23</v>
      </c>
      <c r="I14" s="2215"/>
      <c r="J14" s="2215"/>
      <c r="K14" s="2215">
        <v>2330.23</v>
      </c>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商业</v>
      </c>
      <c r="AY14" s="1806">
        <f>ROUND($AY$6*AZ14/$AZ$5,2)</f>
        <v>627.73</v>
      </c>
      <c r="AZ14" s="16">
        <f>BA14+BL14</f>
        <v>2330.23</v>
      </c>
      <c r="BA14" s="16">
        <f>SUM(BB14:BK14)</f>
        <v>2330.23</v>
      </c>
      <c r="BB14" s="16">
        <f>IF($D14="是",I14-J14,0)</f>
        <v>0</v>
      </c>
      <c r="BC14" s="16">
        <f>IF($D14="是",K14-L14,0)</f>
        <v>2330.23</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2"/>
      <c r="B15" s="1272"/>
      <c r="C15" s="2965" t="s">
        <v>3062</v>
      </c>
      <c r="D15" s="2214" t="s">
        <v>3056</v>
      </c>
      <c r="E15" s="16">
        <f>IF($C$3="是",ROUND($A$3*G15/$B$3,2),ROUND($A$3*(G15-AT15)/$B$3,2))</f>
        <v>166.21</v>
      </c>
      <c r="F15" s="32"/>
      <c r="G15" s="33">
        <f>H15+AC15+AT15</f>
        <v>617.01</v>
      </c>
      <c r="H15" s="20">
        <f>SUMIF(I$12:AB$12,"总值",I15:AB15)</f>
        <v>617.01</v>
      </c>
      <c r="I15" s="2215"/>
      <c r="J15" s="2215"/>
      <c r="K15" s="2215"/>
      <c r="L15" s="2215"/>
      <c r="M15" s="2215">
        <v>617.01</v>
      </c>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t="str">
        <f t="shared" si="6"/>
        <v>地下仓储</v>
      </c>
      <c r="AY15" s="1806">
        <f>ROUND($AY$6*AZ15/$AZ$5,2)</f>
        <v>166.21</v>
      </c>
      <c r="AZ15" s="16">
        <f>BA15+BL15</f>
        <v>617.01</v>
      </c>
      <c r="BA15" s="16">
        <f>SUM(BB15:BK15)</f>
        <v>617.01</v>
      </c>
      <c r="BB15" s="16">
        <f>IF($D15="是",I15-J15,0)</f>
        <v>0</v>
      </c>
      <c r="BC15" s="16">
        <f>IF($D15="是",K15-L15,0)</f>
        <v>0</v>
      </c>
      <c r="BD15" s="16">
        <f>IF($D15="是",M15-N15,0)</f>
        <v>617.01</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2"/>
      <c r="B16" s="1272"/>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2"/>
      <c r="B17" s="1272"/>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1" t="s">
        <v>0</v>
      </c>
      <c r="B1" s="3041" t="s">
        <v>4</v>
      </c>
      <c r="C1" s="3041" t="s">
        <v>5</v>
      </c>
      <c r="D1" s="3042" t="s">
        <v>53</v>
      </c>
      <c r="E1" s="3042" t="s">
        <v>54</v>
      </c>
      <c r="F1" s="3042"/>
      <c r="G1" s="3042"/>
      <c r="H1" s="3042"/>
      <c r="I1" s="3042"/>
      <c r="J1" s="3042"/>
      <c r="K1" s="3042"/>
      <c r="L1" s="3042"/>
      <c r="M1" s="3042"/>
    </row>
    <row r="2" spans="1:13" ht="27" customHeight="1">
      <c r="A2" s="3041"/>
      <c r="B2" s="3041"/>
      <c r="C2" s="3041"/>
      <c r="D2" s="3042"/>
      <c r="E2" s="3042" t="s">
        <v>37</v>
      </c>
      <c r="F2" s="3042" t="s">
        <v>38</v>
      </c>
      <c r="G2" s="3042"/>
      <c r="H2" s="3042"/>
      <c r="I2" s="3042"/>
      <c r="J2" s="3042" t="s">
        <v>39</v>
      </c>
      <c r="K2" s="3042"/>
      <c r="L2" s="3042"/>
      <c r="M2" s="3042"/>
    </row>
    <row r="3" spans="1:13" ht="28.5">
      <c r="A3" s="3041"/>
      <c r="B3" s="3041"/>
      <c r="C3" s="3041"/>
      <c r="D3" s="3042"/>
      <c r="E3" s="30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2" t="s">
        <v>55</v>
      </c>
      <c r="B9" s="3042"/>
      <c r="C9" s="30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12" sqref="K12"/>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2"/>
      <c r="C1" s="1392"/>
      <c r="D1" s="1392"/>
      <c r="E1" s="1392"/>
      <c r="F1" s="1392"/>
      <c r="G1" s="1392"/>
      <c r="H1" s="1392"/>
      <c r="I1" s="1392"/>
      <c r="J1" s="1392"/>
      <c r="K1" s="1392"/>
      <c r="L1" s="1392"/>
      <c r="M1" s="1392"/>
      <c r="N1" s="1392"/>
      <c r="O1" s="1392"/>
      <c r="P1" s="1392"/>
    </row>
    <row r="2" spans="1:16" ht="15">
      <c r="A2" s="3052" t="s">
        <v>1936</v>
      </c>
      <c r="B2" s="3052"/>
      <c r="C2" s="3052"/>
      <c r="D2" s="967" t="s">
        <v>1912</v>
      </c>
      <c r="E2" s="2228" t="s">
        <v>1913</v>
      </c>
      <c r="F2" s="1392"/>
      <c r="G2" s="2229"/>
      <c r="H2" s="2230"/>
      <c r="I2" s="2231" t="s">
        <v>1937</v>
      </c>
      <c r="J2" s="1392"/>
      <c r="K2" s="1392"/>
      <c r="L2" s="1392"/>
      <c r="M2" s="1392"/>
      <c r="N2" s="1427"/>
      <c r="O2" s="1392"/>
      <c r="P2" s="1392"/>
    </row>
    <row r="3" spans="1:16" ht="15.75" thickBot="1">
      <c r="A3" s="3053" t="s">
        <v>1910</v>
      </c>
      <c r="B3" s="3053"/>
      <c r="C3" s="3053"/>
      <c r="D3" s="46">
        <f>'数据-基础表'!AY6</f>
        <v>7100</v>
      </c>
      <c r="E3" s="46">
        <f>'数据-基础表'!AZ5</f>
        <v>26356.14</v>
      </c>
      <c r="F3" s="1392"/>
      <c r="G3" s="1399"/>
      <c r="H3" s="1247" t="s">
        <v>1911</v>
      </c>
      <c r="I3" s="55">
        <f>ROUND('数据-基础表'!B3/'数据-基础表'!A3,2)</f>
        <v>3.71</v>
      </c>
      <c r="J3" s="1392"/>
      <c r="K3" s="1392"/>
      <c r="L3" s="1392"/>
      <c r="M3" s="1392"/>
      <c r="N3" s="1427"/>
      <c r="O3" s="1392"/>
      <c r="P3" s="1392"/>
    </row>
    <row r="4" spans="1:16" ht="15">
      <c r="A4" s="3054"/>
      <c r="B4" s="3055"/>
      <c r="C4" s="3056"/>
      <c r="D4" s="2232" t="s">
        <v>1912</v>
      </c>
      <c r="E4" s="2233" t="s">
        <v>1913</v>
      </c>
      <c r="F4" s="1392"/>
      <c r="G4" s="2234" t="s">
        <v>1938</v>
      </c>
      <c r="H4" s="1247" t="s">
        <v>1918</v>
      </c>
      <c r="I4" s="55">
        <f>ROUND(SUMIF('数据-基础表'!I9:AS9,"地上",'数据-基础表'!I5:AS5)/'数据-基础表'!A3,2)</f>
        <v>3.63</v>
      </c>
      <c r="J4" s="1392"/>
      <c r="K4" s="1392"/>
      <c r="L4" s="1392"/>
      <c r="M4" s="1392"/>
      <c r="N4" s="1427"/>
      <c r="O4" s="1392"/>
      <c r="P4" s="1392"/>
    </row>
    <row r="5" spans="1:16">
      <c r="A5" s="47" t="s">
        <v>1914</v>
      </c>
      <c r="B5" s="3057" t="s">
        <v>1915</v>
      </c>
      <c r="C5" s="3057"/>
      <c r="D5" s="48">
        <f>ROUND($D$3*E5/$E$3,2)</f>
        <v>0</v>
      </c>
      <c r="E5" s="49">
        <f>SUMIF('数据-基础表'!$11:$11,"住宅",'数据-基础表'!$5:$5)</f>
        <v>0</v>
      </c>
      <c r="F5" s="1392"/>
      <c r="G5" s="1399"/>
      <c r="H5" s="1247" t="s">
        <v>1911</v>
      </c>
      <c r="I5" s="55">
        <f>ROUND(E31/D31,2)</f>
        <v>3.71</v>
      </c>
      <c r="J5" s="1392"/>
      <c r="K5" s="1392"/>
      <c r="L5" s="1392"/>
      <c r="M5" s="1392"/>
      <c r="N5" s="1392"/>
      <c r="O5" s="1392"/>
      <c r="P5" s="1392"/>
    </row>
    <row r="6" spans="1:16" ht="15" thickBot="1">
      <c r="A6" s="2235"/>
      <c r="B6" s="3057" t="s">
        <v>1916</v>
      </c>
      <c r="C6" s="3057"/>
      <c r="D6" s="48">
        <f>ROUND($D$3*E6/$E$3,2)</f>
        <v>7100</v>
      </c>
      <c r="E6" s="49">
        <f>E3-E5</f>
        <v>26356.14</v>
      </c>
      <c r="F6" s="1392"/>
      <c r="G6" s="2236" t="s">
        <v>1917</v>
      </c>
      <c r="H6" s="1399" t="s">
        <v>1918</v>
      </c>
      <c r="I6" s="939">
        <f>ROUND(F31/D31,2)</f>
        <v>3.63</v>
      </c>
      <c r="J6" s="1392"/>
      <c r="K6" s="1392"/>
      <c r="L6" s="1392"/>
      <c r="M6" s="1392"/>
      <c r="N6" s="1392"/>
      <c r="O6" s="1392"/>
      <c r="P6" s="1392"/>
    </row>
    <row r="7" spans="1:16" ht="15">
      <c r="A7" s="3049"/>
      <c r="B7" s="3050"/>
      <c r="C7" s="3051"/>
      <c r="D7" s="2232" t="s">
        <v>1912</v>
      </c>
      <c r="E7" s="2237" t="s">
        <v>1919</v>
      </c>
      <c r="F7" s="1392"/>
      <c r="G7" s="2229" t="s">
        <v>1920</v>
      </c>
      <c r="H7" s="64"/>
      <c r="I7" s="420">
        <v>2.5</v>
      </c>
      <c r="J7" s="1392"/>
      <c r="K7" s="1392"/>
      <c r="L7" s="1392"/>
      <c r="M7" s="1392"/>
      <c r="N7" s="1392"/>
      <c r="O7" s="1392"/>
      <c r="P7" s="1392"/>
    </row>
    <row r="8" spans="1:16">
      <c r="A8" s="47" t="s">
        <v>1921</v>
      </c>
      <c r="B8" s="50" t="s">
        <v>1922</v>
      </c>
      <c r="C8" s="48" t="s">
        <v>1923</v>
      </c>
      <c r="D8" s="48">
        <f t="shared" ref="D8:D15" si="0">ROUND($D$3*E8/$E$3,2)</f>
        <v>5673.48</v>
      </c>
      <c r="E8" s="51">
        <f>SUMIF('数据-基础表'!BB10:BK10,"地上",'数据-基础表'!BB5:BK5)</f>
        <v>21060.7</v>
      </c>
      <c r="F8" s="1392"/>
      <c r="G8" s="2238"/>
      <c r="H8" s="2238"/>
      <c r="I8" s="1392"/>
      <c r="J8" s="1392"/>
      <c r="K8" s="1392"/>
      <c r="L8" s="1392"/>
      <c r="M8" s="1392"/>
      <c r="N8" s="1392"/>
      <c r="O8" s="1392"/>
      <c r="P8" s="1392"/>
    </row>
    <row r="9" spans="1:16">
      <c r="A9" s="2239"/>
      <c r="B9" s="2240"/>
      <c r="C9" s="48" t="s">
        <v>1924</v>
      </c>
      <c r="D9" s="48">
        <f t="shared" si="0"/>
        <v>0</v>
      </c>
      <c r="E9" s="52">
        <v>0</v>
      </c>
      <c r="F9" s="1392"/>
      <c r="G9" s="2238"/>
      <c r="H9" s="2238"/>
      <c r="I9" s="1392"/>
      <c r="J9" s="1392"/>
      <c r="K9" s="1392"/>
      <c r="L9" s="1392"/>
      <c r="M9" s="1392"/>
      <c r="N9" s="1392"/>
      <c r="O9" s="1392"/>
      <c r="P9" s="1392"/>
    </row>
    <row r="10" spans="1:16">
      <c r="A10" s="2239"/>
      <c r="B10" s="2240"/>
      <c r="C10" s="48" t="s">
        <v>1933</v>
      </c>
      <c r="D10" s="48">
        <f t="shared" si="0"/>
        <v>0</v>
      </c>
      <c r="E10" s="51">
        <f>SUMPRODUCT(('数据-基础表'!BB10:BK10="地下")*('数据-基础表'!BB11:BK11="商业")*('数据-基础表'!BB5:BK5))</f>
        <v>0</v>
      </c>
      <c r="F10" s="1392"/>
      <c r="G10" s="2238"/>
      <c r="H10" s="2238"/>
      <c r="I10" s="1392"/>
      <c r="J10" s="1392"/>
      <c r="K10" s="1392"/>
      <c r="L10" s="1392"/>
      <c r="M10" s="1392"/>
      <c r="N10" s="1392"/>
      <c r="O10" s="1392"/>
      <c r="P10" s="1392"/>
    </row>
    <row r="11" spans="1:16">
      <c r="A11" s="2239"/>
      <c r="B11" s="2240"/>
      <c r="C11" s="48" t="s">
        <v>1925</v>
      </c>
      <c r="D11" s="48">
        <f t="shared" si="0"/>
        <v>0</v>
      </c>
      <c r="E11" s="51">
        <f>SUMPRODUCT(('数据-基础表'!BB10:BK10="地下")*('数据-基础表'!BB11:BK11="办公")*('数据-基础表'!BB5:BK5))+'数据-基础表'!BP5</f>
        <v>0</v>
      </c>
      <c r="F11" s="1392"/>
      <c r="G11" s="2238"/>
      <c r="H11" s="2238"/>
      <c r="I11" s="1392"/>
      <c r="J11" s="1392"/>
      <c r="K11" s="1392"/>
      <c r="L11" s="1392"/>
      <c r="M11" s="1392"/>
      <c r="N11" s="1392"/>
      <c r="O11" s="1392"/>
      <c r="P11" s="1392"/>
    </row>
    <row r="12" spans="1:16">
      <c r="A12" s="2239"/>
      <c r="B12" s="2240"/>
      <c r="C12" s="48" t="s">
        <v>1926</v>
      </c>
      <c r="D12" s="48">
        <f t="shared" si="0"/>
        <v>166.21</v>
      </c>
      <c r="E12" s="51">
        <f>SUMPRODUCT(('数据-基础表'!BB10:BK10="地下")*('数据-基础表'!BB11:BK11="仓储")*('数据-基础表'!BB5:BK5))</f>
        <v>617.01</v>
      </c>
      <c r="F12" s="1392"/>
      <c r="G12" s="2238"/>
      <c r="H12" s="2238"/>
      <c r="I12" s="1392"/>
      <c r="J12" s="1392"/>
      <c r="K12" s="1392"/>
      <c r="L12" s="1392"/>
      <c r="M12" s="1392"/>
      <c r="N12" s="1392"/>
      <c r="O12" s="1392"/>
      <c r="P12" s="1392"/>
    </row>
    <row r="13" spans="1:16">
      <c r="A13" s="2239"/>
      <c r="B13" s="2240"/>
      <c r="C13" s="48" t="s">
        <v>1927</v>
      </c>
      <c r="D13" s="48">
        <f t="shared" si="0"/>
        <v>0</v>
      </c>
      <c r="E13" s="51">
        <f>SUMPRODUCT(('数据-基础表'!BB10:BK10="地下")*('数据-基础表'!BB11:BK11="车库")*('数据-基础表'!BB5:BK5))</f>
        <v>0</v>
      </c>
      <c r="F13" s="1392"/>
      <c r="G13" s="2238"/>
      <c r="H13" s="2238"/>
      <c r="I13" s="1392"/>
      <c r="J13" s="1392"/>
      <c r="K13" s="1392"/>
      <c r="L13" s="1392"/>
      <c r="M13" s="1392"/>
      <c r="N13" s="1392"/>
      <c r="O13" s="1392"/>
      <c r="P13" s="1392"/>
    </row>
    <row r="14" spans="1:16">
      <c r="A14" s="2239"/>
      <c r="B14" s="2240"/>
      <c r="C14" s="48" t="s">
        <v>1939</v>
      </c>
      <c r="D14" s="48">
        <f t="shared" si="0"/>
        <v>0</v>
      </c>
      <c r="E14" s="51">
        <f>SUMPRODUCT(('数据-基础表'!BB10:BK10="地下")*('数据-基础表'!BB11:BK11="车库—商业")*('数据-基础表'!BB5:BK5))</f>
        <v>0</v>
      </c>
      <c r="F14" s="1392"/>
      <c r="G14" s="2238"/>
      <c r="H14" s="2238"/>
      <c r="I14" s="1392"/>
      <c r="J14" s="1392"/>
      <c r="K14" s="1392"/>
      <c r="L14" s="1392"/>
      <c r="M14" s="1392"/>
      <c r="N14" s="1392"/>
      <c r="O14" s="1392"/>
      <c r="P14" s="1392"/>
    </row>
    <row r="15" spans="1:16" ht="15" thickBot="1">
      <c r="A15" s="2239"/>
      <c r="B15" s="2240"/>
      <c r="C15" s="48" t="s">
        <v>1934</v>
      </c>
      <c r="D15" s="48">
        <f t="shared" si="0"/>
        <v>0</v>
      </c>
      <c r="E15" s="51">
        <f>SUMPRODUCT(('数据-基础表'!BB10:BK10="地下")*('数据-基础表'!BB11:BK11="车库—办公")*('数据-基础表'!BB5:BK5))</f>
        <v>0</v>
      </c>
      <c r="F15" s="1392"/>
      <c r="G15" s="2238"/>
      <c r="H15" s="2238"/>
      <c r="I15" s="1392"/>
      <c r="J15" s="1392"/>
      <c r="K15" s="1392"/>
      <c r="L15" s="1392"/>
      <c r="M15" s="1392"/>
      <c r="N15" s="1392"/>
      <c r="O15" s="1392"/>
      <c r="P15" s="1392"/>
    </row>
    <row r="16" spans="1:16" ht="15.75" thickBot="1">
      <c r="A16" s="2235"/>
      <c r="B16" s="2240"/>
      <c r="C16" s="50" t="s">
        <v>1928</v>
      </c>
      <c r="D16" s="50">
        <f>SUM(D8:D15)</f>
        <v>5839.69</v>
      </c>
      <c r="E16" s="53">
        <f>SUM(E8:E15)</f>
        <v>21677.71</v>
      </c>
      <c r="F16" s="1392"/>
      <c r="G16" s="2238"/>
      <c r="H16" s="2241" t="s">
        <v>1940</v>
      </c>
      <c r="I16" s="2242"/>
      <c r="J16" s="1392"/>
      <c r="K16" s="3046" t="s">
        <v>1940</v>
      </c>
      <c r="L16" s="3047"/>
      <c r="M16" s="3047"/>
      <c r="N16" s="3047"/>
      <c r="O16" s="3047"/>
      <c r="P16" s="3048"/>
    </row>
    <row r="17" spans="1:19" ht="15">
      <c r="A17" s="2243" t="s">
        <v>1941</v>
      </c>
      <c r="B17" s="2244" t="s">
        <v>1942</v>
      </c>
      <c r="C17" s="2245" t="s">
        <v>1943</v>
      </c>
      <c r="D17" s="2246" t="s">
        <v>1931</v>
      </c>
      <c r="E17" s="2247" t="s">
        <v>1932</v>
      </c>
      <c r="F17" s="2248"/>
      <c r="G17" s="2249"/>
      <c r="H17" s="2250" t="s">
        <v>1944</v>
      </c>
      <c r="I17" s="2251" t="s">
        <v>1929</v>
      </c>
      <c r="J17" s="1392"/>
      <c r="K17" s="3043" t="s">
        <v>1945</v>
      </c>
      <c r="L17" s="3044"/>
      <c r="M17" s="3045"/>
      <c r="N17" s="3043" t="s">
        <v>1946</v>
      </c>
      <c r="O17" s="3044"/>
      <c r="P17" s="3045"/>
      <c r="R17" s="2229" t="s">
        <v>1947</v>
      </c>
      <c r="S17" s="64"/>
    </row>
    <row r="18" spans="1:19" ht="15">
      <c r="A18" s="2239"/>
      <c r="B18" s="2252"/>
      <c r="C18" s="2253"/>
      <c r="D18" s="2254"/>
      <c r="E18" s="2255" t="s">
        <v>1948</v>
      </c>
      <c r="F18" s="2256" t="s">
        <v>1949</v>
      </c>
      <c r="G18" s="2257" t="s">
        <v>1950</v>
      </c>
      <c r="H18" s="1262" t="s">
        <v>1951</v>
      </c>
      <c r="I18" s="2258" t="s">
        <v>1952</v>
      </c>
      <c r="J18" s="1392"/>
      <c r="K18" s="1262" t="s">
        <v>1953</v>
      </c>
      <c r="L18" s="2259" t="s">
        <v>1954</v>
      </c>
      <c r="M18" s="1046" t="s">
        <v>1955</v>
      </c>
      <c r="N18" s="1262" t="s">
        <v>1953</v>
      </c>
      <c r="O18" s="2259" t="s">
        <v>1954</v>
      </c>
      <c r="P18" s="1046" t="s">
        <v>1955</v>
      </c>
      <c r="R18" s="1247" t="s">
        <v>1956</v>
      </c>
      <c r="S18" s="1247" t="s">
        <v>1957</v>
      </c>
    </row>
    <row r="19" spans="1:19">
      <c r="A19" s="2260"/>
      <c r="B19" s="50" t="s">
        <v>1930</v>
      </c>
      <c r="C19" s="2966" t="s">
        <v>3063</v>
      </c>
      <c r="D19" s="48">
        <f>ROUND($D$3*E19/$E$3,2)</f>
        <v>5045.74</v>
      </c>
      <c r="E19" s="56">
        <f t="shared" ref="E19:E26" si="1">SUM(F19:G19)</f>
        <v>18730.47</v>
      </c>
      <c r="F19" s="57">
        <f>'数据-基础表'!I13</f>
        <v>18730.47</v>
      </c>
      <c r="G19" s="58"/>
      <c r="H19" s="723">
        <f>ROUND($D$3*I19/$E$3,2)</f>
        <v>1088.96</v>
      </c>
      <c r="I19" s="51">
        <f t="shared" ref="I19:I26" si="2">IF($I$17="自定义",P19,M19)</f>
        <v>4042.36</v>
      </c>
      <c r="J19" s="1392"/>
      <c r="K19" s="1391">
        <f t="shared" ref="K19:K26" si="3">ROUND(E$28*E19/E$27,2)</f>
        <v>4042.36</v>
      </c>
      <c r="L19" s="1247">
        <f t="shared" ref="L19:L26" si="4">ROUND(IF(COUNTIF(C19,"*住宅*")&gt;0,E$29*E19/E$32,0),2)</f>
        <v>0</v>
      </c>
      <c r="M19" s="1403">
        <f>K19+L19</f>
        <v>4042.36</v>
      </c>
      <c r="N19" s="2261"/>
      <c r="O19" s="2262"/>
      <c r="P19" s="1403">
        <f>N19+O19</f>
        <v>0</v>
      </c>
      <c r="R19" s="1247">
        <f t="shared" ref="R19:S26" si="5">D19+H19</f>
        <v>6134.7</v>
      </c>
      <c r="S19" s="1248">
        <f t="shared" si="5"/>
        <v>22772.83</v>
      </c>
    </row>
    <row r="20" spans="1:19">
      <c r="A20" s="2263"/>
      <c r="B20" s="50" t="s">
        <v>1958</v>
      </c>
      <c r="C20" s="2966" t="s">
        <v>3064</v>
      </c>
      <c r="D20" s="48">
        <f t="shared" ref="D20:D26" si="6">ROUND($D$3*E20/$E$3,2)</f>
        <v>627.73</v>
      </c>
      <c r="E20" s="56">
        <f t="shared" si="1"/>
        <v>2330.23</v>
      </c>
      <c r="F20" s="57">
        <f>'数据-基础表'!K14</f>
        <v>2330.23</v>
      </c>
      <c r="G20" s="58"/>
      <c r="H20" s="723">
        <f t="shared" ref="H20:H26" si="7">ROUND($D$3*I20/$E$3,2)</f>
        <v>135.47</v>
      </c>
      <c r="I20" s="51">
        <f t="shared" si="2"/>
        <v>502.9</v>
      </c>
      <c r="J20" s="1392"/>
      <c r="K20" s="1391">
        <f t="shared" si="3"/>
        <v>502.9</v>
      </c>
      <c r="L20" s="1247">
        <f t="shared" si="4"/>
        <v>0</v>
      </c>
      <c r="M20" s="1403">
        <f t="shared" ref="M20:M26" si="8">K20+L20</f>
        <v>502.9</v>
      </c>
      <c r="N20" s="2261"/>
      <c r="O20" s="2262"/>
      <c r="P20" s="1403">
        <f t="shared" ref="P20:P26" si="9">N20+O20</f>
        <v>0</v>
      </c>
      <c r="R20" s="1247">
        <f t="shared" si="5"/>
        <v>763.2</v>
      </c>
      <c r="S20" s="1248">
        <f t="shared" si="5"/>
        <v>2833.13</v>
      </c>
    </row>
    <row r="21" spans="1:19">
      <c r="A21" s="2263"/>
      <c r="B21" s="50" t="s">
        <v>1958</v>
      </c>
      <c r="C21" s="2966" t="s">
        <v>3065</v>
      </c>
      <c r="D21" s="48">
        <f t="shared" si="6"/>
        <v>166.21</v>
      </c>
      <c r="E21" s="56">
        <f t="shared" si="1"/>
        <v>617.01</v>
      </c>
      <c r="F21" s="57"/>
      <c r="G21" s="58">
        <f>'数据-基础表'!M15</f>
        <v>617.01</v>
      </c>
      <c r="H21" s="723">
        <f t="shared" si="7"/>
        <v>35.869999999999997</v>
      </c>
      <c r="I21" s="51">
        <f t="shared" si="2"/>
        <v>133.16</v>
      </c>
      <c r="J21" s="1392"/>
      <c r="K21" s="1391">
        <f t="shared" si="3"/>
        <v>133.16</v>
      </c>
      <c r="L21" s="1247">
        <f t="shared" si="4"/>
        <v>0</v>
      </c>
      <c r="M21" s="1403">
        <f t="shared" si="8"/>
        <v>133.16</v>
      </c>
      <c r="N21" s="2261"/>
      <c r="O21" s="2262"/>
      <c r="P21" s="1403">
        <f t="shared" si="9"/>
        <v>0</v>
      </c>
      <c r="R21" s="1247">
        <f t="shared" si="5"/>
        <v>202.08</v>
      </c>
      <c r="S21" s="1248">
        <f t="shared" si="5"/>
        <v>750.17</v>
      </c>
    </row>
    <row r="22" spans="1:19">
      <c r="A22" s="2263"/>
      <c r="B22" s="50" t="s">
        <v>1958</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1958</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1958</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1958</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1958</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1959</v>
      </c>
      <c r="D27" s="1393">
        <f>SUM(D19:D26)</f>
        <v>5839.6799999999994</v>
      </c>
      <c r="E27" s="1394">
        <f>IF(SUM(E19:E26)='数据-基础表'!BA5,SUM(E19:E26),IF(F27="地上面积有误","面积有误","地下面积有误"))</f>
        <v>21677.71</v>
      </c>
      <c r="F27" s="1393">
        <f>IF(SUM(F19:F26)=E8,SUM(F19:F26),"地上面积有误")</f>
        <v>21060.7</v>
      </c>
      <c r="G27" s="1395">
        <f>SUM(G19:G26)</f>
        <v>617.01</v>
      </c>
      <c r="H27" s="1396">
        <f>SUM(H19:H26)</f>
        <v>1260.3</v>
      </c>
      <c r="I27" s="1397">
        <f>SUM(I19:I26)</f>
        <v>4678.42</v>
      </c>
      <c r="J27" s="1392"/>
      <c r="K27" s="1400">
        <f>SUM(K19:K26)</f>
        <v>4678.42</v>
      </c>
      <c r="L27" s="1401">
        <f>SUM(L19:L26)</f>
        <v>0</v>
      </c>
      <c r="M27" s="1404">
        <f>SUM(M19:M26)</f>
        <v>4678.42</v>
      </c>
      <c r="N27" s="1400">
        <f t="shared" ref="N27:O27" si="10">SUM(N19:N26)</f>
        <v>0</v>
      </c>
      <c r="O27" s="1401">
        <f t="shared" si="10"/>
        <v>0</v>
      </c>
      <c r="P27" s="1402">
        <f>SUM(P19:P26)</f>
        <v>0</v>
      </c>
      <c r="R27" s="1249" t="str">
        <f>IF(SUM(R19:R26)=$D$3,SUM(R19:R26),SUM(R19:R26)&amp;"误差"&amp;ROUND(SUM(R19:R26)-$D$3,2))</f>
        <v>7099.98误差-0.02</v>
      </c>
      <c r="S27" s="1247" t="str">
        <f>IF(SUM(S19:S26)=$E$3,SUM(S19:S26),SUM(S19:S26)&amp;"误差"&amp;ROUND(SUM(S19:S26)-E3,2))</f>
        <v>26356.13误差-0.01</v>
      </c>
    </row>
    <row r="28" spans="1:19">
      <c r="A28" s="2263"/>
      <c r="B28" s="50" t="s">
        <v>1960</v>
      </c>
      <c r="C28" s="1259" t="s">
        <v>1961</v>
      </c>
      <c r="D28" s="48">
        <f>ROUND($D$3*E28/$E$3,2)</f>
        <v>1260.31</v>
      </c>
      <c r="E28" s="56">
        <f>SUM(F28:G28)</f>
        <v>4678.43</v>
      </c>
      <c r="F28" s="64">
        <f>'数据-基础表'!BQ5+'数据-基础表'!BS5</f>
        <v>4678.43</v>
      </c>
      <c r="G28" s="65">
        <f>'数据-基础表'!BR5+'数据-基础表'!BT5</f>
        <v>0</v>
      </c>
      <c r="H28" s="1392"/>
      <c r="I28" s="1392"/>
      <c r="J28" s="1392"/>
      <c r="K28" s="1392"/>
      <c r="L28" s="1392"/>
      <c r="M28" s="1392"/>
      <c r="N28" s="1392"/>
      <c r="O28" s="1392"/>
      <c r="P28" s="1392"/>
    </row>
    <row r="29" spans="1:19">
      <c r="A29" s="2263"/>
      <c r="B29" s="50" t="s">
        <v>1960</v>
      </c>
      <c r="C29" s="2267" t="s">
        <v>1962</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1959</v>
      </c>
      <c r="D30" s="1393">
        <f>SUM(D28:D29)</f>
        <v>1260.31</v>
      </c>
      <c r="E30" s="1393">
        <f>SUM(E28:E29)</f>
        <v>4678.43</v>
      </c>
      <c r="F30" s="1393">
        <f>SUM(F28:F29)</f>
        <v>4678.43</v>
      </c>
      <c r="G30" s="1395">
        <f>SUM(G28:G29)</f>
        <v>0</v>
      </c>
      <c r="H30" s="1392"/>
      <c r="I30" s="1392"/>
      <c r="J30" s="1392"/>
      <c r="K30" s="1392"/>
      <c r="L30" s="1392"/>
      <c r="M30" s="1392"/>
      <c r="N30" s="1392"/>
      <c r="O30" s="1392"/>
      <c r="P30" s="1392"/>
    </row>
    <row r="31" spans="1:19" ht="15.75" thickBot="1">
      <c r="A31" s="2269"/>
      <c r="B31" s="2270"/>
      <c r="C31" s="1007" t="s">
        <v>1963</v>
      </c>
      <c r="D31" s="729">
        <f>D27+D30</f>
        <v>7099.99</v>
      </c>
      <c r="E31" s="729">
        <f>E27+E30</f>
        <v>26356.14</v>
      </c>
      <c r="F31" s="730">
        <f>F27+F30</f>
        <v>25739.13</v>
      </c>
      <c r="G31" s="731">
        <f>G27+G30</f>
        <v>617.01</v>
      </c>
      <c r="H31" s="1392"/>
      <c r="I31" s="1392"/>
      <c r="J31" s="1392"/>
      <c r="K31" s="1392"/>
      <c r="L31" s="1392"/>
      <c r="M31" s="1392"/>
      <c r="N31" s="1392"/>
      <c r="O31" s="1392"/>
      <c r="P31" s="1392"/>
    </row>
    <row r="32" spans="1:19">
      <c r="A32" s="2234"/>
      <c r="B32" s="2234" t="s">
        <v>1964</v>
      </c>
      <c r="C32" s="2234"/>
      <c r="D32" s="2234"/>
      <c r="E32" s="1274">
        <f>SUMIF(C19:C26,"*住宅*",E19:E26)</f>
        <v>0</v>
      </c>
      <c r="F32" s="2234"/>
      <c r="G32" s="2234"/>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U8" sqref="U8"/>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90"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1965</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6" t="s">
        <v>1966</v>
      </c>
      <c r="B2" s="1266">
        <f>项目基本情况!D3</f>
        <v>43538</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1" customFormat="1" ht="15" thickBot="1">
      <c r="A3" s="2029"/>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1" customFormat="1" ht="15" thickBot="1">
      <c r="A4" s="68" t="s">
        <v>1967</v>
      </c>
      <c r="B4" s="2281"/>
      <c r="C4" s="2282"/>
      <c r="D4" s="2283"/>
      <c r="E4" s="2282" t="s">
        <v>1968</v>
      </c>
      <c r="F4" s="2282"/>
      <c r="G4" s="2282"/>
      <c r="H4" s="2282"/>
      <c r="I4" s="2282"/>
      <c r="J4" s="2284"/>
      <c r="K4" s="2285"/>
      <c r="L4" s="2286"/>
      <c r="M4" s="2282"/>
      <c r="N4" s="2282" t="s">
        <v>1969</v>
      </c>
      <c r="O4" s="2282"/>
      <c r="P4" s="2282"/>
      <c r="Q4" s="2282"/>
      <c r="R4" s="2282"/>
      <c r="S4" s="2284"/>
      <c r="T4" s="2287" t="str">
        <f>'数据-汇总表'!I17</f>
        <v>按面积比例</v>
      </c>
      <c r="U4" s="2281" t="s">
        <v>1970</v>
      </c>
      <c r="V4" s="2282"/>
      <c r="W4" s="2282"/>
      <c r="X4" s="2282"/>
      <c r="Y4" s="2284"/>
      <c r="Z4" s="2245" t="s">
        <v>1971</v>
      </c>
      <c r="AA4" s="2245"/>
      <c r="AB4" s="2245"/>
      <c r="AC4" s="2245"/>
      <c r="AD4" s="2245"/>
      <c r="AE4" s="2243" t="s">
        <v>1972</v>
      </c>
      <c r="AF4" s="2245"/>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2" customFormat="1" ht="42">
      <c r="A5" s="2289" t="s">
        <v>1973</v>
      </c>
      <c r="B5" s="2290" t="s">
        <v>1974</v>
      </c>
      <c r="C5" s="2291" t="s">
        <v>1975</v>
      </c>
      <c r="D5" s="2292" t="s">
        <v>1976</v>
      </c>
      <c r="E5" s="1268" t="s">
        <v>1977</v>
      </c>
      <c r="F5" s="2293" t="s">
        <v>1978</v>
      </c>
      <c r="G5" s="1268" t="s">
        <v>1979</v>
      </c>
      <c r="H5" s="1268" t="s">
        <v>1980</v>
      </c>
      <c r="I5" s="1268" t="s">
        <v>1981</v>
      </c>
      <c r="J5" s="2294" t="s">
        <v>1982</v>
      </c>
      <c r="K5" s="2295" t="s">
        <v>1983</v>
      </c>
      <c r="L5" s="2296" t="s">
        <v>1984</v>
      </c>
      <c r="M5" s="2297" t="s">
        <v>1985</v>
      </c>
      <c r="N5" s="2298" t="s">
        <v>3066</v>
      </c>
      <c r="O5" s="2296" t="s">
        <v>1986</v>
      </c>
      <c r="P5" s="2299" t="s">
        <v>1987</v>
      </c>
      <c r="Q5" s="69" t="s">
        <v>1988</v>
      </c>
      <c r="R5" s="2300" t="s">
        <v>1989</v>
      </c>
      <c r="S5" s="2301" t="s">
        <v>1990</v>
      </c>
      <c r="T5" s="2302" t="s">
        <v>1991</v>
      </c>
      <c r="U5" s="1267" t="s">
        <v>1992</v>
      </c>
      <c r="V5" s="1268" t="s">
        <v>1993</v>
      </c>
      <c r="W5" s="1268" t="s">
        <v>1994</v>
      </c>
      <c r="X5" s="71"/>
      <c r="Y5" s="70" t="s">
        <v>1995</v>
      </c>
      <c r="Z5" s="2303" t="s">
        <v>1992</v>
      </c>
      <c r="AA5" s="1268" t="s">
        <v>1993</v>
      </c>
      <c r="AB5" s="1268" t="s">
        <v>1994</v>
      </c>
      <c r="AC5" s="71"/>
      <c r="AD5" s="71" t="s">
        <v>1995</v>
      </c>
      <c r="AE5" s="1267" t="s">
        <v>1996</v>
      </c>
      <c r="AF5" s="1268" t="s">
        <v>1997</v>
      </c>
      <c r="AG5" s="70" t="s">
        <v>1998</v>
      </c>
      <c r="AH5" s="1267" t="s">
        <v>1999</v>
      </c>
      <c r="AI5" s="2303" t="s">
        <v>2000</v>
      </c>
      <c r="AJ5" s="2303" t="s">
        <v>2001</v>
      </c>
      <c r="AK5" s="1268" t="s">
        <v>2002</v>
      </c>
      <c r="AL5" s="1268" t="s">
        <v>2003</v>
      </c>
      <c r="AM5" s="70" t="s">
        <v>2004</v>
      </c>
      <c r="AN5" s="2304" t="s">
        <v>2005</v>
      </c>
      <c r="AO5" s="2075" t="s">
        <v>2006</v>
      </c>
      <c r="AP5" s="1249" t="s">
        <v>2007</v>
      </c>
      <c r="AQ5" s="2305" t="s">
        <v>2008</v>
      </c>
      <c r="AR5" s="2305"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4.25">
      <c r="A6" s="2306" t="str">
        <f>'数据-汇总表'!C19</f>
        <v>办公</v>
      </c>
      <c r="B6" s="2307" t="str">
        <f>IF(A6=0,"","经营性")</f>
        <v>经营性</v>
      </c>
      <c r="C6" s="2308" t="s">
        <v>27</v>
      </c>
      <c r="D6" s="1051">
        <f>SUMIF(项目基本情况!D$12:I$12,C6,项目基本情况!D$14:I$14)</f>
        <v>50</v>
      </c>
      <c r="E6" s="1048">
        <f>IF(B6="","",SUMIF(项目基本情况!D$12:I$12,C6,项目基本情况!D$13:I$13))</f>
        <v>57864</v>
      </c>
      <c r="F6" s="72">
        <f>SUMIF(项目基本情况!D$12:I$12,C6,项目基本情况!D$15:I$15)</f>
        <v>39.24</v>
      </c>
      <c r="G6" s="73">
        <f>IF(ISERROR(ROUND(POWER(1+H6,D6-F6)*(POWER(1+H6,F6)-1)/(POWER(1+H6,D6)-1),3)),0,ROUND(POWER(1+H6,D6-F6)*(POWER(1+H6,F6)-1)/(POWER(1+H6,D6)-1),3))</f>
        <v>0.91400000000000003</v>
      </c>
      <c r="H6" s="802">
        <v>0.04</v>
      </c>
      <c r="I6" s="802">
        <v>6.5000000000000002E-2</v>
      </c>
      <c r="J6" s="74">
        <v>0.08</v>
      </c>
      <c r="K6" s="1251">
        <f>SUMIF('数据-汇总表'!C$19:C$33,A6,'数据-汇总表'!E$19:E$33)</f>
        <v>18730.47</v>
      </c>
      <c r="L6" s="803">
        <v>2200</v>
      </c>
      <c r="M6" s="75">
        <f t="shared" ref="M6:M14" si="0">ROUND(K6*L6/10000,0)</f>
        <v>4121</v>
      </c>
      <c r="N6" s="801">
        <v>0.8</v>
      </c>
      <c r="O6" s="75" t="str">
        <f>IF($N$5="成新度","——",ROUND(M6*N6,0))</f>
        <v>——</v>
      </c>
      <c r="P6" s="76" t="str">
        <f>IF($N$5="成新度","——",M6-O6)</f>
        <v>——</v>
      </c>
      <c r="Q6" s="804">
        <v>0.15</v>
      </c>
      <c r="R6" s="77">
        <f ca="1">SUMIF('数据-汇总表'!C$19:C$33,A6,'数据-汇总表'!R$19:R$27)</f>
        <v>6134.7</v>
      </c>
      <c r="S6" s="54">
        <f>IF('数据-汇总表'!$I$17="按面积比例",SUMIF('数据-汇总表'!C$19:C$33,A6,'数据-汇总表'!K$19:K$33),SUMIF('数据-汇总表'!C$19:C$33,A6,'数据-汇总表'!N$19:N$33))</f>
        <v>4042.36</v>
      </c>
      <c r="T6" s="1443">
        <f>ROUND($L$14*S6/10000,0)</f>
        <v>808</v>
      </c>
      <c r="U6" s="78">
        <v>4.5</v>
      </c>
      <c r="V6" s="79">
        <v>0.01</v>
      </c>
      <c r="W6" s="79">
        <v>0.2</v>
      </c>
      <c r="X6" s="1261"/>
      <c r="Y6" s="80">
        <v>0.8</v>
      </c>
      <c r="Z6" s="81"/>
      <c r="AA6" s="74"/>
      <c r="AB6" s="74"/>
      <c r="AC6" s="1261"/>
      <c r="AD6" s="82"/>
      <c r="AE6" s="1262">
        <f ca="1">IF(AN6="",0,SUMIF(INDIRECT("'"&amp;AN6&amp;"'"&amp;"!E:E"),$AE$5,INDIRECT("'"&amp;AN6&amp;"'"&amp;"!F:F")))</f>
        <v>39.24</v>
      </c>
      <c r="AF6" s="1804"/>
      <c r="AG6" s="147">
        <f>IF(AF6="",0,AE6-AF6)</f>
        <v>0</v>
      </c>
      <c r="AH6" s="83"/>
      <c r="AI6" s="85">
        <v>365</v>
      </c>
      <c r="AJ6" s="86"/>
      <c r="AK6" s="87">
        <v>0.02</v>
      </c>
      <c r="AL6" s="88">
        <v>2E-3</v>
      </c>
      <c r="AM6" s="89">
        <v>0.02</v>
      </c>
      <c r="AN6" s="2309" t="s">
        <v>3070</v>
      </c>
      <c r="AO6" s="55">
        <f ca="1">SUMIF(INDIRECT("'"&amp;AN6&amp;"'"&amp;"!A:A"),"总价",INDIRECT("'"&amp;AN6&amp;"'"&amp;"!B:B"))</f>
        <v>29119</v>
      </c>
      <c r="AP6" s="2310">
        <f>IF(C6="住宅",K6*L6,0)</f>
        <v>0</v>
      </c>
      <c r="AQ6" s="55">
        <f>ROUND($L$14*$N$14*S6/10000,0)</f>
        <v>647</v>
      </c>
      <c r="AR6" s="55">
        <f>ROUND($L$14*(1-$N$14)*S6/10000,0)</f>
        <v>162</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1" customFormat="1" ht="14.25">
      <c r="A7" s="2306" t="str">
        <f>'数据-汇总表'!C20</f>
        <v>商业</v>
      </c>
      <c r="B7" s="2307" t="str">
        <f t="shared" ref="B7:B13" si="1">IF(A7=0,"","经营性")</f>
        <v>经营性</v>
      </c>
      <c r="C7" s="2308" t="s">
        <v>1373</v>
      </c>
      <c r="D7" s="1051">
        <f>SUMIF(项目基本情况!D$12:I$12,C7,项目基本情况!D$14:I$14)</f>
        <v>40</v>
      </c>
      <c r="E7" s="1048">
        <f>IF(B7="","",SUMIF(项目基本情况!D$12:I$12,C7,项目基本情况!D$13:I$13))</f>
        <v>54212</v>
      </c>
      <c r="F7" s="72">
        <f>SUMIF(项目基本情况!D$12:I$12,C7,项目基本情况!D$15:I$15)</f>
        <v>29.24</v>
      </c>
      <c r="G7" s="73">
        <f t="shared" ref="G7:G11" si="2">IF(ISERROR(ROUND(POWER(1+H7,D7-F7)*(POWER(1+H7,F7)-1)/(POWER(1+H7,D7)-1),3)),0,ROUND(POWER(1+H7,D7-F7)*(POWER(1+H7,F7)-1)/(POWER(1+H7,D7)-1),3))</f>
        <v>0.86199999999999999</v>
      </c>
      <c r="H7" s="802">
        <v>0.04</v>
      </c>
      <c r="I7" s="802">
        <v>7.0000000000000007E-2</v>
      </c>
      <c r="J7" s="74">
        <v>0.08</v>
      </c>
      <c r="K7" s="1251">
        <f>SUMIF('数据-汇总表'!C$19:C$33,A7,'数据-汇总表'!E$19:E$33)</f>
        <v>2330.23</v>
      </c>
      <c r="L7" s="803">
        <v>2200</v>
      </c>
      <c r="M7" s="75">
        <f t="shared" si="0"/>
        <v>513</v>
      </c>
      <c r="N7" s="801">
        <v>0.8</v>
      </c>
      <c r="O7" s="75" t="str">
        <f t="shared" ref="O7:O14" si="3">IF($N$5="成新度","——",ROUND(M7*N7,0))</f>
        <v>——</v>
      </c>
      <c r="P7" s="76" t="str">
        <f t="shared" ref="P7:P14" si="4">IF($N$5="成新度","——",M7-O7)</f>
        <v>——</v>
      </c>
      <c r="Q7" s="804">
        <v>0.15</v>
      </c>
      <c r="R7" s="77">
        <f ca="1">SUMIF('数据-汇总表'!C$19:C$33,A7,'数据-汇总表'!R$19:R$27)</f>
        <v>763.2</v>
      </c>
      <c r="S7" s="54">
        <f>IF('数据-汇总表'!$I$17="按面积比例",SUMIF('数据-汇总表'!C$19:C$33,A7,'数据-汇总表'!K$19:K$33),SUMIF('数据-汇总表'!C$19:C$33,A7,'数据-汇总表'!N$19:N$33))</f>
        <v>502.9</v>
      </c>
      <c r="T7" s="1443">
        <f t="shared" ref="T7:T13" si="5">ROUND($L$14*S7/10000,0)</f>
        <v>101</v>
      </c>
      <c r="U7" s="78">
        <v>5.5</v>
      </c>
      <c r="V7" s="79">
        <v>0.01</v>
      </c>
      <c r="W7" s="79">
        <v>0.2</v>
      </c>
      <c r="X7" s="1261"/>
      <c r="Y7" s="80">
        <v>0.8</v>
      </c>
      <c r="Z7" s="81"/>
      <c r="AA7" s="74"/>
      <c r="AB7" s="74"/>
      <c r="AC7" s="1261"/>
      <c r="AD7" s="82"/>
      <c r="AE7" s="1262">
        <f t="shared" ref="AE7:AE13" ca="1" si="6">IF(AN7="",0,SUMIF(INDIRECT("'"&amp;AN7&amp;"'"&amp;"!E:E"),$AE$5,INDIRECT("'"&amp;AN7&amp;"'"&amp;"!F:F")))</f>
        <v>29.24</v>
      </c>
      <c r="AF7" s="1804"/>
      <c r="AG7" s="147">
        <f t="shared" ref="AG7:AG13" si="7">IF(AF7="",0,AE7-AF7)</f>
        <v>0</v>
      </c>
      <c r="AH7" s="83"/>
      <c r="AI7" s="85">
        <v>365</v>
      </c>
      <c r="AJ7" s="86"/>
      <c r="AK7" s="87">
        <v>0.02</v>
      </c>
      <c r="AL7" s="88">
        <v>2E-3</v>
      </c>
      <c r="AM7" s="89">
        <v>0.02</v>
      </c>
      <c r="AN7" s="2309" t="s">
        <v>3072</v>
      </c>
      <c r="AO7" s="55">
        <f t="shared" ref="AO7:AO13" ca="1" si="8">SUMIF(INDIRECT("'"&amp;AN7&amp;"'"&amp;"!A:A"),"总价",INDIRECT("'"&amp;AN7&amp;"'"&amp;"!B:B"))</f>
        <v>3830</v>
      </c>
      <c r="AP7" s="2310">
        <f t="shared" ref="AP7:AP13" si="9">IF(C7="住宅",K7*L7,0)</f>
        <v>0</v>
      </c>
      <c r="AQ7" s="55">
        <f t="shared" ref="AQ7:AQ13" si="10">ROUND($L$14*$N$14*S7/10000,0)</f>
        <v>80</v>
      </c>
      <c r="AR7" s="55">
        <f t="shared" ref="AR7:AR13" si="11">ROUND($L$14*(1-$N$14)*S7/10000,0)</f>
        <v>20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1" customFormat="1" ht="14.25">
      <c r="A8" s="2306" t="str">
        <f>'数据-汇总表'!C21</f>
        <v>地下仓储</v>
      </c>
      <c r="B8" s="2307" t="str">
        <f t="shared" si="1"/>
        <v>经营性</v>
      </c>
      <c r="C8" s="2308" t="s">
        <v>3060</v>
      </c>
      <c r="D8" s="1051">
        <f>SUMIF(项目基本情况!D$12:I$12,C8,项目基本情况!D$14:I$14)</f>
        <v>50</v>
      </c>
      <c r="E8" s="1048">
        <f>IF(B8="","",SUMIF(项目基本情况!D$12:I$12,C8,项目基本情况!D$13:I$13))</f>
        <v>57864</v>
      </c>
      <c r="F8" s="72">
        <f>SUMIF(项目基本情况!D$12:I$12,C8,项目基本情况!D$15:I$15)</f>
        <v>39.24</v>
      </c>
      <c r="G8" s="73">
        <f t="shared" si="2"/>
        <v>0.91400000000000003</v>
      </c>
      <c r="H8" s="802">
        <v>0.04</v>
      </c>
      <c r="I8" s="802">
        <v>5.5E-2</v>
      </c>
      <c r="J8" s="74">
        <v>0.08</v>
      </c>
      <c r="K8" s="1251">
        <f>SUMIF('数据-汇总表'!C$19:C$33,A8,'数据-汇总表'!E$19:E$33)</f>
        <v>617.01</v>
      </c>
      <c r="L8" s="803">
        <v>1800</v>
      </c>
      <c r="M8" s="75">
        <f>ROUND(K8*L8/10000,0)</f>
        <v>111</v>
      </c>
      <c r="N8" s="801">
        <v>0.8</v>
      </c>
      <c r="O8" s="75" t="str">
        <f t="shared" si="3"/>
        <v>——</v>
      </c>
      <c r="P8" s="76" t="str">
        <f t="shared" si="4"/>
        <v>——</v>
      </c>
      <c r="Q8" s="804">
        <v>0.05</v>
      </c>
      <c r="R8" s="77">
        <f ca="1">SUMIF('数据-汇总表'!C$19:C$33,A8,'数据-汇总表'!R$19:R$27)</f>
        <v>202.08</v>
      </c>
      <c r="S8" s="54">
        <f>IF('数据-汇总表'!$I$17="按面积比例",SUMIF('数据-汇总表'!C$19:C$33,A8,'数据-汇总表'!K$19:K$33),SUMIF('数据-汇总表'!C$19:C$33,A8,'数据-汇总表'!N$19:N$33))</f>
        <v>133.16</v>
      </c>
      <c r="T8" s="1443">
        <f t="shared" si="5"/>
        <v>27</v>
      </c>
      <c r="U8" s="805">
        <v>0.6</v>
      </c>
      <c r="V8" s="806">
        <v>5.0000000000000001E-3</v>
      </c>
      <c r="W8" s="806">
        <v>0.1</v>
      </c>
      <c r="X8" s="1261"/>
      <c r="Y8" s="807">
        <v>0.8</v>
      </c>
      <c r="Z8" s="81"/>
      <c r="AA8" s="74"/>
      <c r="AB8" s="74"/>
      <c r="AC8" s="1261"/>
      <c r="AD8" s="82"/>
      <c r="AE8" s="1262">
        <f t="shared" ca="1" si="6"/>
        <v>39.24</v>
      </c>
      <c r="AF8" s="1804"/>
      <c r="AG8" s="147">
        <f t="shared" si="7"/>
        <v>0</v>
      </c>
      <c r="AH8" s="808"/>
      <c r="AI8" s="85">
        <v>365</v>
      </c>
      <c r="AJ8" s="86"/>
      <c r="AK8" s="87">
        <v>0.01</v>
      </c>
      <c r="AL8" s="88">
        <v>1E-3</v>
      </c>
      <c r="AM8" s="89">
        <v>0.01</v>
      </c>
      <c r="AN8" s="2309" t="s">
        <v>3074</v>
      </c>
      <c r="AO8" s="55">
        <f t="shared" ca="1" si="8"/>
        <v>136</v>
      </c>
      <c r="AP8" s="2310">
        <f t="shared" si="9"/>
        <v>0</v>
      </c>
      <c r="AQ8" s="55">
        <f t="shared" si="10"/>
        <v>21</v>
      </c>
      <c r="AR8" s="55">
        <f t="shared" si="11"/>
        <v>5</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1"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1"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1"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1"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1"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1" customFormat="1" ht="14.25">
      <c r="A14" s="2311" t="s">
        <v>2010</v>
      </c>
      <c r="B14" s="2307" t="s">
        <v>2011</v>
      </c>
      <c r="C14" s="2312" t="s">
        <v>2010</v>
      </c>
      <c r="D14" s="1051"/>
      <c r="E14" s="1048"/>
      <c r="F14" s="72"/>
      <c r="G14" s="73"/>
      <c r="H14" s="1250"/>
      <c r="I14" s="1250"/>
      <c r="J14" s="1250"/>
      <c r="K14" s="1251">
        <f>SUMIF('数据-汇总表'!C$19:C$33,A14,'数据-汇总表'!E$19:E$33)</f>
        <v>4678.43</v>
      </c>
      <c r="L14" s="91">
        <v>2000</v>
      </c>
      <c r="M14" s="75">
        <f t="shared" si="0"/>
        <v>936</v>
      </c>
      <c r="N14" s="92">
        <v>0.8</v>
      </c>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1" customFormat="1" ht="27">
      <c r="A15" s="2311" t="s">
        <v>2012</v>
      </c>
      <c r="B15" s="2307" t="s">
        <v>2011</v>
      </c>
      <c r="C15" s="2312"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1" customFormat="1" ht="15.75" thickBot="1">
      <c r="A16" s="2313" t="s">
        <v>2014</v>
      </c>
      <c r="B16" s="97"/>
      <c r="C16" s="1005"/>
      <c r="D16" s="2314"/>
      <c r="E16" s="97"/>
      <c r="F16" s="97"/>
      <c r="G16" s="98">
        <f>ROUND(SUMPRODUCT(G6:G13,K6:K13)/SUMPRODUCT((G6:G13&gt;0)*(K6:K13)),3)</f>
        <v>0.90800000000000003</v>
      </c>
      <c r="H16" s="99">
        <f>ROUND(SUMPRODUCT(H6:H13,K6:K13)/SUMPRODUCT((H6:H13&gt;0)*(K6:K13)),3)</f>
        <v>0.04</v>
      </c>
      <c r="I16" s="100"/>
      <c r="J16" s="100"/>
      <c r="K16" s="101">
        <f>SUM(K6:K15)</f>
        <v>26356.14</v>
      </c>
      <c r="L16" s="102">
        <f>ROUND(M16*10000/SUM(K6:K14),0)</f>
        <v>2155</v>
      </c>
      <c r="M16" s="102">
        <f>SUM(M6:M14)</f>
        <v>5681</v>
      </c>
      <c r="N16" s="103">
        <f>ROUND(SUMPRODUCT(M6:M14,N6:N14)/M16,3)</f>
        <v>0.8</v>
      </c>
      <c r="O16" s="102">
        <f>SUM(O6:O14)</f>
        <v>0</v>
      </c>
      <c r="P16" s="102">
        <f>SUM(P6:P14)</f>
        <v>0</v>
      </c>
      <c r="Q16" s="104">
        <f>ROUND(SUMPRODUCT(Q6:Q13,K6:K13)/SUMPRODUCT((Q6:Q13&gt;0)*(K6:K13)),2)</f>
        <v>0.15</v>
      </c>
      <c r="R16" s="1255">
        <f ca="1">SUM(R6:R13)</f>
        <v>7099.98</v>
      </c>
      <c r="S16" s="105">
        <f>SUM(S6:S13)</f>
        <v>4678.42</v>
      </c>
      <c r="T16" s="106">
        <f>IF(SUMIF(T6:T13,"&lt;9E307")=M14,SUMIF(T6:T13,"&lt;9E307"),"有误，请检查")</f>
        <v>936</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2016</v>
      </c>
      <c r="B19" s="112">
        <v>0</v>
      </c>
      <c r="C19" s="2277" t="s">
        <v>2017</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2018</v>
      </c>
      <c r="B20" s="113">
        <v>2</v>
      </c>
      <c r="C20" s="2277" t="s">
        <v>2019</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2020</v>
      </c>
      <c r="B21" s="113">
        <v>2</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2021</v>
      </c>
      <c r="B22" s="114">
        <f>B19+B20</f>
        <v>2</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2022</v>
      </c>
      <c r="B23" s="114">
        <f>B19+B21</f>
        <v>2</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2023</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2024</v>
      </c>
      <c r="B26" s="2320" t="s">
        <v>2025</v>
      </c>
      <c r="C26" s="2321" t="s">
        <v>2026</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2027</v>
      </c>
      <c r="B27" s="116">
        <v>160</v>
      </c>
      <c r="C27" s="1764" t="s">
        <v>2028</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2029</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2030</v>
      </c>
      <c r="B29" s="121"/>
      <c r="C29" s="1764" t="s">
        <v>2031</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2032</v>
      </c>
      <c r="B30" s="724"/>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2033</v>
      </c>
      <c r="B31" s="120">
        <f>B30-B32</f>
        <v>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2034</v>
      </c>
      <c r="B32" s="725"/>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2035</v>
      </c>
      <c r="B33" s="726">
        <v>0.03</v>
      </c>
      <c r="C33" s="1763" t="s">
        <v>2036</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2037</v>
      </c>
      <c r="B34" s="122">
        <v>0</v>
      </c>
      <c r="C34" s="1763" t="s">
        <v>2038</v>
      </c>
      <c r="D34" s="2278" t="s">
        <v>2039</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2040</v>
      </c>
      <c r="B35" s="119">
        <v>200</v>
      </c>
      <c r="C35" s="1763" t="s">
        <v>2041</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2042</v>
      </c>
      <c r="B36" s="123">
        <v>1.4999999999999999E-2</v>
      </c>
      <c r="C36" s="1763" t="s">
        <v>2043</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2044</v>
      </c>
      <c r="B37" s="124">
        <v>0.02</v>
      </c>
      <c r="C37" s="1763" t="s">
        <v>2045</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2046</v>
      </c>
      <c r="B38" s="122">
        <v>0.02</v>
      </c>
      <c r="C38" s="1763" t="s">
        <v>2045</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2047</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2048</v>
      </c>
      <c r="B40" s="1300">
        <f ca="1">存贷款利率!G1</f>
        <v>4.7500000000000001E-2</v>
      </c>
      <c r="C40" s="1763" t="s">
        <v>2049</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2050</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2051</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2052</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2053</v>
      </c>
      <c r="B44" s="128">
        <v>0.05</v>
      </c>
      <c r="C44" s="1763" t="s">
        <v>2054</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2055</v>
      </c>
      <c r="B45" s="126">
        <v>0.03</v>
      </c>
      <c r="C45" s="1764" t="s">
        <v>2056</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2057</v>
      </c>
      <c r="B46" s="126">
        <v>0.02</v>
      </c>
      <c r="C46" s="1764" t="s">
        <v>2058</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2059</v>
      </c>
      <c r="B47" s="129"/>
      <c r="C47" s="1764" t="s">
        <v>2060</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2061</v>
      </c>
      <c r="B48" s="130">
        <v>0.03</v>
      </c>
      <c r="C48" s="1771" t="s">
        <v>2062</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2063</v>
      </c>
      <c r="B49" s="126">
        <v>5.0000000000000001E-4</v>
      </c>
      <c r="C49" s="1771" t="s">
        <v>2064</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2065</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2066</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2067</v>
      </c>
      <c r="B52" s="133">
        <f>SUMIF(A54:A63,B53,B54:B63)</f>
        <v>0</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2068</v>
      </c>
      <c r="B53" s="2336" t="s">
        <v>56</v>
      </c>
      <c r="C53" s="1427" t="s">
        <v>2069</v>
      </c>
      <c r="D53" s="2337" t="s">
        <v>2070</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2071</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2072</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2073</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2074</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2075</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2076</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2077</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2078</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2079</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2080</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58" t="s">
        <v>2081</v>
      </c>
      <c r="B1" s="3059"/>
      <c r="C1" s="3059"/>
      <c r="D1" s="3059"/>
      <c r="E1" s="3059"/>
      <c r="F1" s="3059"/>
      <c r="G1" s="3059"/>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2082</v>
      </c>
      <c r="D2" s="2366"/>
      <c r="E2" s="2367"/>
      <c r="F2" s="2286"/>
      <c r="G2" s="2365" t="s">
        <v>2083</v>
      </c>
      <c r="H2" s="2368"/>
      <c r="I2" s="2368"/>
      <c r="J2" s="2368"/>
      <c r="K2" s="2368"/>
      <c r="L2" s="2368"/>
      <c r="M2" s="2368"/>
      <c r="N2" s="2368"/>
      <c r="O2" s="2368"/>
      <c r="P2" s="2368"/>
      <c r="Q2" s="2368"/>
      <c r="R2" s="2368"/>
    </row>
    <row r="3" spans="1:29" ht="54">
      <c r="A3" s="415" t="s">
        <v>2084</v>
      </c>
      <c r="B3" s="1268" t="s">
        <v>2085</v>
      </c>
      <c r="C3" s="2370" t="s">
        <v>2086</v>
      </c>
      <c r="D3" s="2371"/>
      <c r="E3" s="431" t="s">
        <v>2084</v>
      </c>
      <c r="F3" s="2372" t="s">
        <v>2087</v>
      </c>
      <c r="G3" s="2373" t="s">
        <v>2088</v>
      </c>
      <c r="H3" s="2368"/>
      <c r="I3" s="2368"/>
      <c r="J3" s="2368"/>
      <c r="K3" s="2368"/>
      <c r="L3" s="2368"/>
      <c r="M3" s="2368"/>
      <c r="N3" s="2368"/>
      <c r="O3" s="2368"/>
      <c r="P3" s="2368"/>
      <c r="Q3" s="2368"/>
      <c r="R3" s="2368"/>
    </row>
    <row r="4" spans="1:29" ht="41.25">
      <c r="A4" s="431"/>
      <c r="B4" s="1795" t="s">
        <v>2089</v>
      </c>
      <c r="C4" s="2374" t="s">
        <v>2090</v>
      </c>
      <c r="D4" s="2371"/>
      <c r="E4" s="2375"/>
      <c r="F4" s="42" t="s">
        <v>2091</v>
      </c>
      <c r="G4" s="2376" t="s">
        <v>2092</v>
      </c>
      <c r="H4" s="2368"/>
      <c r="I4" s="2368"/>
      <c r="J4" s="2368"/>
      <c r="K4" s="2368"/>
      <c r="L4" s="2368"/>
      <c r="M4" s="2368"/>
      <c r="N4" s="2368"/>
      <c r="O4" s="2368"/>
      <c r="P4" s="2368"/>
      <c r="Q4" s="2368"/>
      <c r="R4" s="2368"/>
    </row>
    <row r="5" spans="1:29" ht="41.25">
      <c r="A5" s="431"/>
      <c r="B5" s="1795" t="s">
        <v>2093</v>
      </c>
      <c r="C5" s="2374" t="s">
        <v>2094</v>
      </c>
      <c r="D5" s="2371"/>
      <c r="E5" s="2375"/>
      <c r="F5" s="1795" t="s">
        <v>2095</v>
      </c>
      <c r="G5" s="2376" t="s">
        <v>2096</v>
      </c>
      <c r="H5" s="2368"/>
      <c r="I5" s="2368"/>
      <c r="J5" s="2368"/>
      <c r="K5" s="2368"/>
      <c r="L5" s="2368"/>
      <c r="M5" s="2368"/>
      <c r="N5" s="2368"/>
      <c r="O5" s="2368"/>
      <c r="P5" s="2368"/>
      <c r="Q5" s="2368"/>
      <c r="R5" s="2368"/>
    </row>
    <row r="6" spans="1:29" ht="54">
      <c r="A6" s="431"/>
      <c r="B6" s="1795" t="s">
        <v>2097</v>
      </c>
      <c r="C6" s="2376" t="s">
        <v>2092</v>
      </c>
      <c r="D6" s="2371"/>
      <c r="E6" s="2375"/>
      <c r="F6" s="1795" t="s">
        <v>2098</v>
      </c>
      <c r="G6" s="2376" t="s">
        <v>2099</v>
      </c>
      <c r="H6" s="2368"/>
      <c r="I6" s="2368"/>
      <c r="J6" s="2368"/>
      <c r="K6" s="2368"/>
      <c r="L6" s="2368"/>
      <c r="M6" s="2368"/>
      <c r="N6" s="2368"/>
      <c r="O6" s="2368"/>
      <c r="P6" s="2368"/>
      <c r="Q6" s="2368"/>
      <c r="R6" s="2368"/>
    </row>
    <row r="7" spans="1:29" ht="41.25" thickBot="1">
      <c r="A7" s="431"/>
      <c r="B7" s="1795" t="s">
        <v>2095</v>
      </c>
      <c r="C7" s="2376" t="s">
        <v>2096</v>
      </c>
      <c r="D7" s="2377"/>
      <c r="E7" s="2378"/>
      <c r="F7" s="2379" t="s">
        <v>2100</v>
      </c>
      <c r="G7" s="2380" t="s">
        <v>2101</v>
      </c>
      <c r="H7" s="2368"/>
      <c r="I7" s="2368"/>
      <c r="J7" s="2368"/>
      <c r="K7" s="2368"/>
      <c r="L7" s="2368"/>
      <c r="M7" s="2368"/>
      <c r="N7" s="2368"/>
      <c r="O7" s="2368"/>
      <c r="P7" s="2368"/>
      <c r="Q7" s="2368"/>
      <c r="R7" s="2368"/>
    </row>
    <row r="8" spans="1:29" ht="27">
      <c r="A8" s="431"/>
      <c r="B8" s="1795" t="s">
        <v>2098</v>
      </c>
      <c r="C8" s="2376" t="s">
        <v>2099</v>
      </c>
      <c r="D8" s="2377"/>
      <c r="E8" s="2377"/>
      <c r="F8" s="1133"/>
      <c r="G8" s="1133"/>
      <c r="H8" s="2368"/>
      <c r="I8" s="2368"/>
      <c r="J8" s="2368"/>
      <c r="K8" s="2368"/>
      <c r="L8" s="2368"/>
      <c r="M8" s="2368"/>
      <c r="N8" s="2368"/>
      <c r="O8" s="2368"/>
      <c r="P8" s="2368"/>
      <c r="Q8" s="2368"/>
      <c r="R8" s="2368"/>
    </row>
    <row r="9" spans="1:29" ht="27">
      <c r="A9" s="431"/>
      <c r="B9" s="1795" t="s">
        <v>2102</v>
      </c>
      <c r="C9" s="2374" t="s">
        <v>2103</v>
      </c>
      <c r="D9" s="2371"/>
      <c r="E9" s="2377"/>
      <c r="F9" s="1133"/>
      <c r="G9" s="1133"/>
      <c r="H9" s="2368"/>
      <c r="I9" s="2368"/>
      <c r="J9" s="2368"/>
      <c r="K9" s="2368"/>
      <c r="L9" s="2368"/>
      <c r="M9" s="2368"/>
      <c r="N9" s="2368"/>
      <c r="O9" s="2368"/>
      <c r="P9" s="2368"/>
      <c r="Q9" s="2368"/>
      <c r="R9" s="2368"/>
    </row>
    <row r="10" spans="1:29" s="117" customFormat="1" ht="15.75" thickBot="1">
      <c r="A10" s="2381"/>
      <c r="B10" s="2382" t="s">
        <v>2104</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2105</v>
      </c>
      <c r="B13" s="2388"/>
      <c r="C13" s="2388"/>
      <c r="D13" s="2395"/>
      <c r="E13" s="2388"/>
      <c r="F13" s="2388"/>
      <c r="G13" s="2388"/>
    </row>
    <row r="14" spans="1:29" ht="15.75" thickBot="1">
      <c r="A14" s="2399"/>
      <c r="B14" s="2400"/>
      <c r="C14" s="2401" t="s">
        <v>2106</v>
      </c>
      <c r="D14" s="2371"/>
      <c r="E14" s="2402"/>
      <c r="F14" s="2402"/>
      <c r="G14" s="2365" t="s">
        <v>2107</v>
      </c>
    </row>
    <row r="15" spans="1:29" ht="57">
      <c r="A15" s="68" t="s">
        <v>2108</v>
      </c>
      <c r="B15" s="1267" t="s">
        <v>2085</v>
      </c>
      <c r="C15" s="2403" t="str">
        <f>C3</f>
        <v>估价对象周边居住用地比例、居住小区规模和社区发展完善程度，综合评价居住社区成熟度一般</v>
      </c>
      <c r="D15" s="2371"/>
      <c r="E15" s="2404" t="s">
        <v>2109</v>
      </c>
      <c r="F15" s="1267" t="s">
        <v>2110</v>
      </c>
      <c r="G15" s="135" t="str">
        <f>G3</f>
        <v>估价对象位于XX开发区，园区建设成熟度XX，产业集聚程度XX</v>
      </c>
    </row>
    <row r="16" spans="1:29" ht="42.75">
      <c r="A16" s="645"/>
      <c r="B16" s="2405" t="s">
        <v>2089</v>
      </c>
      <c r="C16" s="2406" t="str">
        <f>C4</f>
        <v>估价对象位于XX商圈，周边商业氛围成熟，人流量大，商业繁华度好</v>
      </c>
      <c r="D16" s="2371"/>
      <c r="E16" s="2407"/>
      <c r="F16" s="2408" t="s">
        <v>2091</v>
      </c>
      <c r="G16" s="136" t="str">
        <f>G4</f>
        <v>估价对象周边道路状况、公共交通通达情况、停车便捷程度，综合评价交通便捷度较好</v>
      </c>
    </row>
    <row r="17" spans="1:18" ht="42.75">
      <c r="A17" s="645"/>
      <c r="B17" s="2405" t="s">
        <v>2093</v>
      </c>
      <c r="C17" s="2406" t="str">
        <f>C5</f>
        <v>估价对象位于XX商圈，周边办公楼项目较多，入驻率高，办公集聚程度较好</v>
      </c>
      <c r="D17" s="2377"/>
      <c r="E17" s="2407"/>
      <c r="F17" s="2408" t="s">
        <v>2111</v>
      </c>
      <c r="G17" s="1569"/>
    </row>
    <row r="18" spans="1:18" ht="57">
      <c r="A18" s="645"/>
      <c r="B18" s="2408" t="s">
        <v>2097</v>
      </c>
      <c r="C18" s="136" t="str">
        <f>C6</f>
        <v>估价对象周边道路状况、公共交通通达情况、停车便捷程度，综合评价交通便捷度较好</v>
      </c>
      <c r="D18" s="2377"/>
      <c r="E18" s="2407"/>
      <c r="F18" s="2408" t="s">
        <v>2100</v>
      </c>
      <c r="G18" s="136" t="str">
        <f>G7</f>
        <v>该园区内是否有污染型企业，绿化情况，卫生条件，整体环境状况判断</v>
      </c>
    </row>
    <row r="19" spans="1:18" ht="28.5">
      <c r="A19" s="645"/>
      <c r="B19" s="2408" t="s">
        <v>2112</v>
      </c>
      <c r="C19" s="1569"/>
      <c r="D19" s="2371"/>
      <c r="E19" s="2407"/>
      <c r="F19" s="1795" t="s">
        <v>2095</v>
      </c>
      <c r="G19" s="136" t="str">
        <f>G5</f>
        <v>估价对象所在区域公共配套设施齐备情况</v>
      </c>
    </row>
    <row r="20" spans="1:18" ht="28.5">
      <c r="A20" s="645"/>
      <c r="B20" s="2408" t="s">
        <v>2113</v>
      </c>
      <c r="C20" s="2406" t="str">
        <f>C9</f>
        <v>区域自然环境：；人文环境；综合评价环境状况一般</v>
      </c>
      <c r="D20" s="2377"/>
      <c r="E20" s="2407"/>
      <c r="F20" s="1795" t="s">
        <v>2114</v>
      </c>
      <c r="G20" s="136" t="str">
        <f>G6</f>
        <v>估价对象所在区域基础设施水平</v>
      </c>
    </row>
    <row r="21" spans="1:18" ht="28.5">
      <c r="A21" s="645"/>
      <c r="B21" s="1795" t="s">
        <v>2095</v>
      </c>
      <c r="C21" s="136" t="str">
        <f>C7</f>
        <v>估价对象所在区域公共配套设施齐备情况</v>
      </c>
      <c r="D21" s="2371"/>
      <c r="E21" s="2407"/>
      <c r="F21" s="2408" t="s">
        <v>2115</v>
      </c>
      <c r="G21" s="2409"/>
    </row>
    <row r="22" spans="1:18" ht="13.5" customHeight="1">
      <c r="A22" s="645"/>
      <c r="B22" s="1795" t="s">
        <v>2098</v>
      </c>
      <c r="C22" s="136" t="str">
        <f>C8</f>
        <v>估价对象所在区域基础设施水平</v>
      </c>
      <c r="D22" s="2371"/>
      <c r="E22" s="2407"/>
      <c r="F22" s="2408" t="s">
        <v>2104</v>
      </c>
      <c r="G22" s="1569"/>
    </row>
    <row r="23" spans="1:18" s="2368" customFormat="1" ht="15.75" thickBot="1">
      <c r="A23" s="645"/>
      <c r="B23" s="2408" t="s">
        <v>2115</v>
      </c>
      <c r="C23" s="2409"/>
      <c r="D23" s="2396"/>
      <c r="E23" s="2410"/>
      <c r="F23" s="2411" t="s">
        <v>2116</v>
      </c>
      <c r="G23" s="2412"/>
      <c r="H23" s="2396"/>
      <c r="I23" s="2397"/>
      <c r="J23" s="2396"/>
      <c r="K23" s="2396"/>
      <c r="L23" s="2397"/>
      <c r="M23" s="2396"/>
      <c r="N23" s="2396"/>
      <c r="O23" s="2397"/>
      <c r="P23" s="2396"/>
      <c r="Q23" s="2396"/>
      <c r="R23" s="2398"/>
    </row>
    <row r="24" spans="1:18" s="2368" customFormat="1" ht="15.75" thickBot="1">
      <c r="A24" s="2413"/>
      <c r="B24" s="2411" t="s">
        <v>2117</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9" sqref="D19"/>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26356.14</v>
      </c>
      <c r="C1" s="1742"/>
      <c r="D1" s="1742"/>
      <c r="E1" s="1742"/>
      <c r="F1" s="1742"/>
      <c r="G1" s="1740"/>
    </row>
    <row r="2" spans="1:10" ht="16.5">
      <c r="A2" s="1743" t="s">
        <v>1349</v>
      </c>
      <c r="B2" s="1743">
        <f>SUM(C14:C23)</f>
        <v>7100</v>
      </c>
      <c r="C2" s="1742"/>
      <c r="D2" s="1742"/>
      <c r="E2" s="1742"/>
      <c r="F2" s="1742"/>
      <c r="G2" s="1740"/>
    </row>
    <row r="3" spans="1:10" ht="16.5">
      <c r="A3" s="1743" t="s">
        <v>1358</v>
      </c>
      <c r="B3" s="1744">
        <f>项目基本情况!D3</f>
        <v>43538</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36668</v>
      </c>
      <c r="C5" s="1743">
        <f ca="1">ROUND(B5*10000/$B$1,0)</f>
        <v>13913</v>
      </c>
      <c r="D5" s="1743">
        <f ca="1">ROUND(B5*10000/$B$2,0)</f>
        <v>51645</v>
      </c>
      <c r="E5" s="1742"/>
      <c r="F5" s="1740"/>
      <c r="G5" s="1740"/>
    </row>
    <row r="6" spans="1:10" ht="16.5">
      <c r="A6" s="1743" t="s">
        <v>1352</v>
      </c>
      <c r="B6" s="1743">
        <f ca="1">SUM(G14:G23)</f>
        <v>36668</v>
      </c>
      <c r="C6" s="1743">
        <f ca="1">ROUND(B6*10000/$B$1,0)</f>
        <v>13913</v>
      </c>
      <c r="D6" s="1743">
        <f ca="1">ROUND(B6*10000/$B$2,0)</f>
        <v>51645</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26356.14</v>
      </c>
      <c r="C14" s="1741">
        <f>结果表!C118</f>
        <v>7100</v>
      </c>
      <c r="D14" s="1741">
        <f ca="1">结果表!H118</f>
        <v>36668</v>
      </c>
      <c r="E14" s="1741">
        <f ca="1">ROUND(D14*10000/B14,0)</f>
        <v>13913</v>
      </c>
      <c r="F14" s="1741">
        <f ca="1">ROUND(D14*10000/C14,0)</f>
        <v>51645</v>
      </c>
      <c r="G14" s="1741">
        <f ca="1">结果表!D122</f>
        <v>36668</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19" sqref="G19"/>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2118</v>
      </c>
      <c r="B1" s="2419"/>
      <c r="C1" s="2420"/>
      <c r="D1" s="2419"/>
      <c r="E1" s="2419"/>
      <c r="F1" s="2421" t="s">
        <v>2119</v>
      </c>
      <c r="G1" s="2071" t="s">
        <v>3081</v>
      </c>
      <c r="H1" s="2422" t="str">
        <f>IF(G1="现房","——","估价对象范围")</f>
        <v>——</v>
      </c>
      <c r="I1" s="2423" t="s">
        <v>3095</v>
      </c>
    </row>
    <row r="2" spans="1:12" ht="21.75" customHeight="1" thickBot="1">
      <c r="A2" s="3093" t="str">
        <f>项目基本情况!S2</f>
        <v>北京市房地产</v>
      </c>
      <c r="B2" s="3094"/>
      <c r="C2" s="3094"/>
      <c r="D2" s="3094"/>
      <c r="E2" s="3094"/>
      <c r="F2" s="3094"/>
      <c r="G2" s="3094"/>
      <c r="H2" s="3094"/>
      <c r="I2" s="3095"/>
    </row>
    <row r="3" spans="1:12" ht="12.75">
      <c r="A3" s="3097" t="s">
        <v>2120</v>
      </c>
      <c r="B3" s="3098"/>
      <c r="C3" s="3098"/>
      <c r="D3" s="3098"/>
      <c r="E3" s="3098"/>
      <c r="F3" s="3098"/>
      <c r="G3" s="3098"/>
      <c r="H3" s="3098"/>
      <c r="I3" s="3098"/>
    </row>
    <row r="4" spans="1:12" ht="14.25">
      <c r="A4" s="2426" t="s">
        <v>2121</v>
      </c>
      <c r="B4" s="2427" t="s">
        <v>2122</v>
      </c>
      <c r="C4" s="2428" t="s">
        <v>3090</v>
      </c>
      <c r="D4" s="2428" t="s">
        <v>3094</v>
      </c>
      <c r="E4" s="3090" t="s">
        <v>2123</v>
      </c>
      <c r="F4" s="3091"/>
      <c r="G4" s="3091"/>
      <c r="H4" s="3091"/>
      <c r="I4" s="3099"/>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73" t="s">
        <v>2124</v>
      </c>
      <c r="B5" s="3011">
        <v>25</v>
      </c>
      <c r="C5" s="3076">
        <v>3</v>
      </c>
      <c r="D5" s="3096">
        <f>10-C5</f>
        <v>7</v>
      </c>
      <c r="E5" s="140" t="s">
        <v>2125</v>
      </c>
      <c r="F5" s="2430"/>
      <c r="G5" s="2430"/>
      <c r="H5" s="2430"/>
      <c r="I5" s="1831"/>
    </row>
    <row r="6" spans="1:12" ht="12.75">
      <c r="A6" s="3073"/>
      <c r="B6" s="3011"/>
      <c r="C6" s="3077"/>
      <c r="D6" s="3096"/>
      <c r="E6" s="140" t="s">
        <v>2126</v>
      </c>
      <c r="F6" s="2430"/>
      <c r="G6" s="2430"/>
      <c r="H6" s="2430"/>
      <c r="I6" s="1831"/>
    </row>
    <row r="7" spans="1:12" ht="12.75">
      <c r="A7" s="3073"/>
      <c r="B7" s="3011"/>
      <c r="C7" s="3078"/>
      <c r="D7" s="3096"/>
      <c r="E7" s="140" t="s">
        <v>2127</v>
      </c>
      <c r="F7" s="2430"/>
      <c r="G7" s="2430"/>
      <c r="H7" s="2430"/>
      <c r="I7" s="1831"/>
    </row>
    <row r="8" spans="1:12" ht="12.75">
      <c r="A8" s="3073" t="s">
        <v>2128</v>
      </c>
      <c r="B8" s="3011">
        <v>15</v>
      </c>
      <c r="C8" s="3076"/>
      <c r="D8" s="3096"/>
      <c r="E8" s="140" t="s">
        <v>2129</v>
      </c>
      <c r="F8" s="2430"/>
      <c r="G8" s="2430"/>
      <c r="H8" s="2430"/>
      <c r="I8" s="1831"/>
    </row>
    <row r="9" spans="1:12" ht="12.75">
      <c r="A9" s="3073"/>
      <c r="B9" s="3011"/>
      <c r="C9" s="3078"/>
      <c r="D9" s="3096"/>
      <c r="E9" s="140" t="s">
        <v>2130</v>
      </c>
      <c r="F9" s="2430"/>
      <c r="G9" s="2430"/>
      <c r="H9" s="2430"/>
      <c r="I9" s="1831"/>
    </row>
    <row r="10" spans="1:12" ht="12.75">
      <c r="A10" s="3073" t="s">
        <v>2131</v>
      </c>
      <c r="B10" s="3011">
        <v>15</v>
      </c>
      <c r="C10" s="3076"/>
      <c r="D10" s="3096"/>
      <c r="E10" s="140" t="s">
        <v>2132</v>
      </c>
      <c r="F10" s="2430"/>
      <c r="G10" s="2430"/>
      <c r="H10" s="2430"/>
      <c r="I10" s="1831"/>
    </row>
    <row r="11" spans="1:12" ht="12.75">
      <c r="A11" s="3073"/>
      <c r="B11" s="3011"/>
      <c r="C11" s="3078"/>
      <c r="D11" s="3096"/>
      <c r="E11" s="140" t="s">
        <v>2133</v>
      </c>
      <c r="F11" s="2430"/>
      <c r="G11" s="2430"/>
      <c r="H11" s="2430"/>
      <c r="I11" s="1831"/>
    </row>
    <row r="12" spans="1:12" ht="12.75">
      <c r="A12" s="3073" t="s">
        <v>2134</v>
      </c>
      <c r="B12" s="3011">
        <v>15</v>
      </c>
      <c r="C12" s="3076"/>
      <c r="D12" s="3096"/>
      <c r="E12" s="140" t="s">
        <v>2135</v>
      </c>
      <c r="F12" s="2430"/>
      <c r="G12" s="2430"/>
      <c r="H12" s="2430"/>
      <c r="I12" s="1831"/>
    </row>
    <row r="13" spans="1:12" ht="12.75">
      <c r="A13" s="3073"/>
      <c r="B13" s="3011"/>
      <c r="C13" s="3078"/>
      <c r="D13" s="3096"/>
      <c r="E13" s="140" t="s">
        <v>2136</v>
      </c>
      <c r="F13" s="2430"/>
      <c r="G13" s="2430"/>
      <c r="H13" s="2430"/>
      <c r="I13" s="1831"/>
    </row>
    <row r="14" spans="1:12" ht="12.75">
      <c r="A14" s="3073" t="s">
        <v>2137</v>
      </c>
      <c r="B14" s="3011">
        <v>30</v>
      </c>
      <c r="C14" s="3076"/>
      <c r="D14" s="3096"/>
      <c r="E14" s="140" t="s">
        <v>2138</v>
      </c>
      <c r="F14" s="2430"/>
      <c r="G14" s="2430"/>
      <c r="H14" s="2430"/>
      <c r="I14" s="1831"/>
    </row>
    <row r="15" spans="1:12" ht="12.75">
      <c r="A15" s="3073"/>
      <c r="B15" s="3011"/>
      <c r="C15" s="3077"/>
      <c r="D15" s="3096"/>
      <c r="E15" s="140" t="s">
        <v>2139</v>
      </c>
      <c r="F15" s="2430"/>
      <c r="G15" s="2430"/>
      <c r="H15" s="2430"/>
      <c r="I15" s="1831"/>
    </row>
    <row r="16" spans="1:12" ht="12.75">
      <c r="A16" s="3073"/>
      <c r="B16" s="3011"/>
      <c r="C16" s="3078"/>
      <c r="D16" s="3096"/>
      <c r="E16" s="140" t="s">
        <v>2140</v>
      </c>
      <c r="F16" s="2430"/>
      <c r="G16" s="2430"/>
      <c r="H16" s="2430"/>
      <c r="I16" s="1831"/>
    </row>
    <row r="17" spans="1:35" ht="15">
      <c r="A17" s="2431" t="s">
        <v>2141</v>
      </c>
      <c r="B17" s="64"/>
      <c r="C17" s="141">
        <f>SUM(C5:C16)</f>
        <v>3</v>
      </c>
      <c r="D17" s="141">
        <f>SUM(D5:D16)</f>
        <v>7</v>
      </c>
      <c r="E17" s="138"/>
      <c r="F17" s="138"/>
      <c r="G17" s="138"/>
      <c r="H17" s="138"/>
      <c r="I17" s="138"/>
      <c r="K17" s="2429"/>
      <c r="L17" s="2432" t="s">
        <v>2142</v>
      </c>
      <c r="M17" s="2432" t="s">
        <v>2143</v>
      </c>
    </row>
    <row r="18" spans="1:35" ht="15.75" thickBot="1">
      <c r="A18" s="2433" t="s">
        <v>2144</v>
      </c>
      <c r="B18" s="2434"/>
      <c r="C18" s="142">
        <f>ROUND(C17/SUM(C17:D17),2)</f>
        <v>0.3</v>
      </c>
      <c r="D18" s="142">
        <f>1-C18</f>
        <v>0.7</v>
      </c>
      <c r="E18" s="138"/>
      <c r="F18" s="138"/>
      <c r="G18" s="138"/>
      <c r="H18" s="138"/>
      <c r="I18" s="138"/>
      <c r="K18" s="2429" t="s">
        <v>2145</v>
      </c>
      <c r="L18" s="2429">
        <f>IF(C1="",'数据-汇总表'!E3,SUMIF(项目类型,C1,'数据-汇总表'!E17:E26)+SUMIF(项目类型,C1,'数据-汇总表'!I17:I26))</f>
        <v>26356.14</v>
      </c>
      <c r="M18" s="2429">
        <f>IF(C1="",'数据-汇总表'!E3,SUMIF(项目类型,C1,'数据-汇总表'!E17:E26))</f>
        <v>26356.14</v>
      </c>
    </row>
    <row r="19" spans="1:35" ht="15">
      <c r="A19" s="2435" t="s">
        <v>2146</v>
      </c>
      <c r="B19" s="2436" t="s">
        <v>2147</v>
      </c>
      <c r="C19" s="143">
        <f ca="1">SUMIF(INDIRECT("'"&amp;C4&amp;"'"&amp;"!A:A"),结果表!B19,INDIRECT("'"&amp;C4&amp;"'"&amp;"!B:B"))</f>
        <v>45029</v>
      </c>
      <c r="D19" s="144">
        <f ca="1">SUMIF(INDIRECT("'"&amp;D4&amp;"'"&amp;"!A:A"),结果表!B19,INDIRECT("'"&amp;D4&amp;"'"&amp;"!B:B"))</f>
        <v>33085</v>
      </c>
      <c r="E19" s="2435" t="s">
        <v>2148</v>
      </c>
      <c r="F19" s="2436" t="s">
        <v>2147</v>
      </c>
      <c r="G19" s="145">
        <f ca="1">ROUND(C19*$C$18+D19*$D$18,0)</f>
        <v>36668</v>
      </c>
      <c r="H19" s="2437" t="s">
        <v>2149</v>
      </c>
      <c r="I19" s="138"/>
      <c r="K19" s="2429" t="s">
        <v>2150</v>
      </c>
      <c r="L19" s="2429">
        <f>IF(C1="",'数据-汇总表'!D3,SUMIF(项目类型,C1,'数据-汇总表'!D17:D26)+SUMIF(项目类型,C1,'数据-汇总表'!H17:H27))</f>
        <v>7100</v>
      </c>
      <c r="M19" s="2429">
        <f>IF(C1="",'数据-汇总表'!D3,SUMIF(项目类型,C1,'数据-汇总表'!D17:D26))</f>
        <v>7100</v>
      </c>
    </row>
    <row r="20" spans="1:35" ht="15">
      <c r="A20" s="2438"/>
      <c r="B20" s="1247" t="s">
        <v>2151</v>
      </c>
      <c r="C20" s="146">
        <f ca="1">SUMIF(INDIRECT("'"&amp;C4&amp;"'"&amp;"!A:A"),结果表!B20,INDIRECT("'"&amp;C4&amp;"'"&amp;"!B:B"))</f>
        <v>17085</v>
      </c>
      <c r="D20" s="147">
        <f ca="1">SUMIF(INDIRECT("'"&amp;D4&amp;"'"&amp;"!A:A"),结果表!B20,INDIRECT("'"&amp;D4&amp;"'"&amp;"!B:B"))</f>
        <v>12553</v>
      </c>
      <c r="E20" s="2438"/>
      <c r="F20" s="1247" t="s">
        <v>2151</v>
      </c>
      <c r="G20" s="148">
        <f ca="1">ROUND(C20*$C$18+D20*$D$18,0)</f>
        <v>13913</v>
      </c>
      <c r="H20" s="980" t="s">
        <v>2152</v>
      </c>
      <c r="I20" s="138"/>
    </row>
    <row r="21" spans="1:35" ht="15" customHeight="1" thickBot="1">
      <c r="A21" s="1000"/>
      <c r="B21" s="2439" t="s">
        <v>2153</v>
      </c>
      <c r="C21" s="789">
        <f ca="1">ROUND(C19*10000/L19,0)</f>
        <v>63421</v>
      </c>
      <c r="D21" s="790">
        <f ca="1">ROUND(D19*10000/L19,0)</f>
        <v>46599</v>
      </c>
      <c r="E21" s="1000"/>
      <c r="F21" s="2439" t="s">
        <v>2153</v>
      </c>
      <c r="G21" s="149">
        <f ca="1">ROUND(G19*10000/L19,0)</f>
        <v>51645</v>
      </c>
      <c r="H21" s="2440" t="s">
        <v>2152</v>
      </c>
      <c r="I21" s="138"/>
    </row>
    <row r="22" spans="1:35" ht="15" thickBot="1">
      <c r="A22" s="2281" t="s">
        <v>2154</v>
      </c>
      <c r="B22" s="2441"/>
      <c r="C22" s="2442"/>
      <c r="D22" s="791">
        <f ca="1">IF(C19&lt;D19,D19/C19-1,C19/D19-1)</f>
        <v>0.36100952093093541</v>
      </c>
      <c r="E22" s="138"/>
      <c r="F22" s="138"/>
      <c r="G22" s="138"/>
      <c r="H22" s="138"/>
      <c r="I22" s="138"/>
    </row>
    <row r="23" spans="1:35" ht="13.5" thickBot="1">
      <c r="A23" s="2419"/>
      <c r="B23" s="2419"/>
      <c r="C23" s="2419"/>
      <c r="D23" s="2419"/>
      <c r="E23" s="138"/>
      <c r="F23" s="138"/>
      <c r="G23" s="138"/>
      <c r="H23" s="138"/>
      <c r="I23" s="138"/>
    </row>
    <row r="24" spans="1:35" ht="14.25">
      <c r="A24" s="3067" t="s">
        <v>2155</v>
      </c>
      <c r="B24" s="2436" t="s">
        <v>2147</v>
      </c>
      <c r="C24" s="145">
        <f>IF(B30=0,0,D30)</f>
        <v>0</v>
      </c>
      <c r="D24" s="2443"/>
      <c r="E24" s="138"/>
      <c r="F24" s="138"/>
      <c r="G24" s="138"/>
      <c r="H24" s="138"/>
      <c r="I24" s="138"/>
    </row>
    <row r="25" spans="1:35" ht="14.25">
      <c r="A25" s="3068"/>
      <c r="B25" s="1247" t="s">
        <v>2151</v>
      </c>
      <c r="C25" s="150">
        <f>IF(B30=0,0,C30)</f>
        <v>0</v>
      </c>
      <c r="D25" s="2444"/>
      <c r="E25" s="138"/>
      <c r="F25" s="138"/>
      <c r="G25" s="138"/>
      <c r="H25" s="138"/>
      <c r="I25" s="138"/>
    </row>
    <row r="26" spans="1:35" ht="13.5" customHeight="1">
      <c r="A26" s="2445" t="s">
        <v>2156</v>
      </c>
      <c r="B26" s="151" t="s">
        <v>2157</v>
      </c>
      <c r="C26" s="151" t="s">
        <v>2158</v>
      </c>
      <c r="D26" s="152" t="s">
        <v>2159</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2160</v>
      </c>
      <c r="B30" s="151"/>
      <c r="C30" s="151"/>
      <c r="D30" s="151"/>
      <c r="E30" s="2926" t="s">
        <v>3033</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2161</v>
      </c>
      <c r="B32" s="2449"/>
      <c r="C32" s="153">
        <f ca="1">IF(D32="总价",G19-C24,G20-C25)</f>
        <v>36668</v>
      </c>
      <c r="D32" s="2450" t="s">
        <v>2162</v>
      </c>
      <c r="E32" s="138"/>
      <c r="F32" s="138"/>
      <c r="G32" s="138"/>
      <c r="H32" s="138"/>
      <c r="I32" s="138"/>
    </row>
    <row r="33" spans="1:15" ht="15">
      <c r="A33" s="957" t="s">
        <v>2163</v>
      </c>
      <c r="B33" s="2451"/>
      <c r="C33" s="2452"/>
      <c r="D33" s="2453"/>
      <c r="E33" s="2454" t="s">
        <v>2164</v>
      </c>
      <c r="F33" s="2455" t="str">
        <f>IF(D32="楼面单价","取值（单价）","取值（总价）")</f>
        <v>取值（总价）</v>
      </c>
      <c r="G33" s="138"/>
      <c r="H33" s="138"/>
      <c r="I33" s="138"/>
    </row>
    <row r="34" spans="1:15" ht="15">
      <c r="A34" s="2456"/>
      <c r="B34" s="2457" t="s">
        <v>2165</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2166</v>
      </c>
      <c r="F34" s="1736"/>
      <c r="G34" s="138"/>
      <c r="H34" s="138"/>
      <c r="I34" s="138"/>
    </row>
    <row r="35" spans="1:15" ht="15.75" thickBot="1">
      <c r="A35" s="2459"/>
      <c r="B35" s="2460" t="s">
        <v>2167</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2168</v>
      </c>
      <c r="F35" s="163"/>
      <c r="G35" s="138"/>
      <c r="H35" s="138"/>
      <c r="I35" s="138"/>
    </row>
    <row r="36" spans="1:15" ht="15.75" thickBot="1">
      <c r="A36" s="3085" t="s">
        <v>2169</v>
      </c>
      <c r="B36" s="2462" t="s">
        <v>2170</v>
      </c>
      <c r="C36" s="154"/>
      <c r="D36" s="2463"/>
      <c r="E36" s="2464"/>
      <c r="F36" s="2465"/>
      <c r="G36" s="138"/>
      <c r="H36" s="138"/>
      <c r="I36" s="138"/>
    </row>
    <row r="37" spans="1:15" ht="15.75" thickBot="1">
      <c r="A37" s="3086"/>
      <c r="B37" s="2267" t="s">
        <v>2171</v>
      </c>
      <c r="C37" s="156"/>
      <c r="D37" s="1392"/>
      <c r="E37" s="1392"/>
      <c r="F37" s="2465"/>
      <c r="G37" s="138"/>
      <c r="H37" s="138"/>
      <c r="I37" s="138"/>
    </row>
    <row r="38" spans="1:15" ht="15.75" thickBot="1">
      <c r="A38" s="3087"/>
      <c r="B38" s="2466" t="s">
        <v>2172</v>
      </c>
      <c r="C38" s="727"/>
      <c r="D38" s="2467" t="s">
        <v>2173</v>
      </c>
      <c r="E38" s="1392"/>
      <c r="F38" s="2465"/>
      <c r="G38" s="138"/>
      <c r="H38" s="138"/>
      <c r="I38" s="138"/>
    </row>
    <row r="39" spans="1:15" ht="15">
      <c r="A39" s="2438" t="s">
        <v>2174</v>
      </c>
      <c r="B39" s="2468" t="s">
        <v>2175</v>
      </c>
      <c r="C39" s="2469" t="s">
        <v>2176</v>
      </c>
      <c r="D39" s="2469" t="s">
        <v>2177</v>
      </c>
      <c r="E39" s="2470" t="s">
        <v>2178</v>
      </c>
      <c r="F39" s="2465"/>
      <c r="G39" s="138"/>
      <c r="H39" s="138"/>
      <c r="I39" s="138"/>
    </row>
    <row r="40" spans="1:15" ht="14.25">
      <c r="A40" s="2471" t="s">
        <v>2179</v>
      </c>
      <c r="B40" s="158"/>
      <c r="C40" s="159"/>
      <c r="D40" s="159"/>
      <c r="E40" s="160"/>
      <c r="F40" s="2465"/>
      <c r="G40" s="138"/>
      <c r="H40" s="138"/>
      <c r="I40" s="138"/>
    </row>
    <row r="41" spans="1:15" ht="14.25">
      <c r="A41" s="2471" t="s">
        <v>2180</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064" t="s">
        <v>2183</v>
      </c>
      <c r="B45" s="3065"/>
      <c r="C45" s="3066"/>
      <c r="D45" s="164">
        <f ca="1">ROUND(H101*F45,0)</f>
        <v>36668</v>
      </c>
      <c r="E45" s="165" t="s">
        <v>2184</v>
      </c>
      <c r="F45" s="166">
        <v>1</v>
      </c>
      <c r="G45" s="167" t="s">
        <v>2185</v>
      </c>
      <c r="H45" s="138"/>
      <c r="I45" s="138"/>
      <c r="J45" s="3124" t="s">
        <v>2186</v>
      </c>
      <c r="K45" s="3124"/>
      <c r="L45" s="3124"/>
      <c r="M45" s="3124"/>
      <c r="N45" s="3124"/>
      <c r="O45" s="3124"/>
    </row>
    <row r="46" spans="1:15" ht="14.25" customHeight="1">
      <c r="A46" s="3061" t="s">
        <v>2187</v>
      </c>
      <c r="B46" s="3062"/>
      <c r="C46" s="3062"/>
      <c r="D46" s="3062"/>
      <c r="E46" s="3062"/>
      <c r="F46" s="3062"/>
      <c r="G46" s="3063"/>
      <c r="H46" s="2481"/>
      <c r="I46" s="168"/>
      <c r="J46" s="1809">
        <v>1</v>
      </c>
      <c r="K46" s="3124" t="s">
        <v>2188</v>
      </c>
      <c r="L46" s="3124"/>
      <c r="M46" s="3144"/>
      <c r="N46" s="3144"/>
      <c r="O46" s="3144"/>
    </row>
    <row r="47" spans="1:15" ht="12" customHeight="1">
      <c r="A47" s="169" t="s">
        <v>2189</v>
      </c>
      <c r="B47" s="170"/>
      <c r="C47" s="171"/>
      <c r="D47" s="172" t="s">
        <v>2190</v>
      </c>
      <c r="E47" s="24" t="s">
        <v>2191</v>
      </c>
      <c r="F47" s="173" t="s">
        <v>2192</v>
      </c>
      <c r="G47" s="174" t="s">
        <v>2193</v>
      </c>
      <c r="H47" s="2481"/>
      <c r="I47" s="168"/>
      <c r="J47" s="1809">
        <v>2</v>
      </c>
      <c r="K47" s="3124" t="s">
        <v>2194</v>
      </c>
      <c r="L47" s="3124"/>
      <c r="M47" s="3145">
        <f>'数据-取费表'!B2</f>
        <v>43538</v>
      </c>
      <c r="N47" s="3145"/>
      <c r="O47" s="3145"/>
    </row>
    <row r="48" spans="1:15" ht="25.5">
      <c r="A48" s="3092" t="s">
        <v>2195</v>
      </c>
      <c r="B48" s="3075"/>
      <c r="C48" s="3075"/>
      <c r="D48" s="140">
        <f>IF(H48="情况1",0,IF(H48="情况2",D52,IF(H48="情况3",D53,IF(H48="情况4",D54))))</f>
        <v>0</v>
      </c>
      <c r="E48" s="1798" t="str">
        <f>IF(H48="情况4","(销售额-原购置价)×税（费）率","销售额×税（费）率")</f>
        <v>销售额×税（费）率</v>
      </c>
      <c r="F48" s="175" t="str">
        <f>IF(H48="情况1","免征",'数据-取费表'!B41)</f>
        <v>免征</v>
      </c>
      <c r="G48" s="2482" t="s">
        <v>2196</v>
      </c>
      <c r="H48" s="2483" t="s">
        <v>2197</v>
      </c>
      <c r="I48" s="2481"/>
      <c r="J48" s="1809">
        <v>3</v>
      </c>
      <c r="K48" s="3124" t="s">
        <v>2198</v>
      </c>
      <c r="L48" s="3124"/>
      <c r="M48" s="3146">
        <f ca="1">H101</f>
        <v>36668</v>
      </c>
      <c r="N48" s="3146"/>
      <c r="O48" s="3146"/>
    </row>
    <row r="49" spans="1:35" ht="25.5" customHeight="1">
      <c r="A49" s="176" t="s">
        <v>2199</v>
      </c>
      <c r="B49" s="3060" t="s">
        <v>2200</v>
      </c>
      <c r="C49" s="3060"/>
      <c r="D49" s="177">
        <v>0</v>
      </c>
      <c r="E49" s="23" t="s">
        <v>2201</v>
      </c>
      <c r="F49" s="28" t="s">
        <v>34</v>
      </c>
      <c r="G49" s="3130"/>
      <c r="H49" s="138"/>
      <c r="I49" s="2484"/>
      <c r="J49" s="1809">
        <v>4</v>
      </c>
      <c r="K49" s="3124" t="str">
        <f>IF(项目基本情况!E8="房地产抵押价值","房地产抵押价值","抵押担保权已注销时的房地产抵押价值")</f>
        <v>抵押担保权已注销时的房地产抵押价值</v>
      </c>
      <c r="L49" s="3124"/>
      <c r="M49" s="3146" t="str">
        <f>IF(项目基本情况!E8="房地产抵押价值",H107,H109)</f>
        <v>——</v>
      </c>
      <c r="N49" s="3146"/>
      <c r="O49" s="3146"/>
    </row>
    <row r="50" spans="1:35" ht="25.5" customHeight="1">
      <c r="A50" s="178"/>
      <c r="B50" s="3060" t="s">
        <v>2202</v>
      </c>
      <c r="C50" s="3060"/>
      <c r="D50" s="179"/>
      <c r="E50" s="31"/>
      <c r="F50" s="180"/>
      <c r="G50" s="3131"/>
      <c r="H50" s="138"/>
      <c r="I50" s="2484"/>
      <c r="J50" s="3124" t="s">
        <v>2203</v>
      </c>
      <c r="K50" s="3124"/>
      <c r="L50" s="3124"/>
      <c r="M50" s="3124"/>
      <c r="N50" s="3124"/>
      <c r="O50" s="3124"/>
    </row>
    <row r="51" spans="1:35" ht="12" customHeight="1">
      <c r="A51" s="181"/>
      <c r="B51" s="3060" t="s">
        <v>2204</v>
      </c>
      <c r="C51" s="3060"/>
      <c r="D51" s="182"/>
      <c r="E51" s="30"/>
      <c r="F51" s="180"/>
      <c r="G51" s="3132"/>
      <c r="H51" s="138"/>
      <c r="I51" s="2484"/>
      <c r="J51" s="2485" t="s">
        <v>2205</v>
      </c>
      <c r="K51" s="3124" t="s">
        <v>2206</v>
      </c>
      <c r="L51" s="3124"/>
      <c r="M51" s="2485" t="s">
        <v>2207</v>
      </c>
      <c r="N51" s="2485" t="s">
        <v>2208</v>
      </c>
      <c r="O51" s="2485" t="s">
        <v>2209</v>
      </c>
    </row>
    <row r="52" spans="1:35" ht="24" customHeight="1">
      <c r="A52" s="183" t="s">
        <v>2210</v>
      </c>
      <c r="B52" s="3060" t="s">
        <v>2211</v>
      </c>
      <c r="C52" s="3060"/>
      <c r="D52" s="182">
        <f ca="1">ROUND(D45*'数据-取费表'!B41/(1+'数据-取费表'!C42),0)</f>
        <v>1921</v>
      </c>
      <c r="E52" s="11" t="s">
        <v>2212</v>
      </c>
      <c r="F52" s="184">
        <f>'数据-取费表'!B41</f>
        <v>5.5000000000000007E-2</v>
      </c>
      <c r="G52" s="2486"/>
      <c r="H52" s="138"/>
      <c r="I52" s="2484"/>
      <c r="J52" s="1809">
        <v>1</v>
      </c>
      <c r="K52" s="3125" t="s">
        <v>2213</v>
      </c>
      <c r="L52" s="3125"/>
      <c r="M52" s="1751">
        <f>D48</f>
        <v>0</v>
      </c>
      <c r="N52" s="1809" t="str">
        <f>E48</f>
        <v>销售额×税（费）率</v>
      </c>
      <c r="O52" s="1752" t="str">
        <f>F48</f>
        <v>免征</v>
      </c>
    </row>
    <row r="53" spans="1:35" ht="12" customHeight="1">
      <c r="A53" s="183" t="s">
        <v>2214</v>
      </c>
      <c r="B53" s="3083" t="s">
        <v>2215</v>
      </c>
      <c r="C53" s="3084"/>
      <c r="D53" s="182">
        <f ca="1">ROUND(D45*'数据-取费表'!B41/(1+'数据-取费表'!C42),0)</f>
        <v>1921</v>
      </c>
      <c r="E53" s="11" t="s">
        <v>2212</v>
      </c>
      <c r="F53" s="184">
        <f>'数据-取费表'!B41</f>
        <v>5.5000000000000007E-2</v>
      </c>
      <c r="G53" s="2486"/>
      <c r="H53" s="138"/>
      <c r="I53" s="2484"/>
      <c r="J53" s="1809">
        <v>2</v>
      </c>
      <c r="K53" s="3125" t="s">
        <v>2216</v>
      </c>
      <c r="L53" s="3125"/>
      <c r="M53" s="1751">
        <f t="shared" ref="M53:O54" ca="1" si="0">D55</f>
        <v>18</v>
      </c>
      <c r="N53" s="1809" t="str">
        <f t="shared" si="0"/>
        <v>销售额×税（费）率</v>
      </c>
      <c r="O53" s="1752">
        <f t="shared" si="0"/>
        <v>5.0000000000000001E-4</v>
      </c>
    </row>
    <row r="54" spans="1:35" ht="12" customHeight="1">
      <c r="A54" s="183" t="s">
        <v>2217</v>
      </c>
      <c r="B54" s="3083" t="s">
        <v>2218</v>
      </c>
      <c r="C54" s="3084"/>
      <c r="D54" s="182">
        <f ca="1">C68</f>
        <v>1921</v>
      </c>
      <c r="E54" s="30" t="s">
        <v>2219</v>
      </c>
      <c r="F54" s="184">
        <f>'数据-取费表'!B41</f>
        <v>5.5000000000000007E-2</v>
      </c>
      <c r="G54" s="2486"/>
      <c r="H54" s="2487"/>
      <c r="I54" s="2484"/>
      <c r="J54" s="1809">
        <v>3</v>
      </c>
      <c r="K54" s="3125" t="s">
        <v>2220</v>
      </c>
      <c r="L54" s="3125"/>
      <c r="M54" s="1751">
        <f t="shared" ca="1" si="0"/>
        <v>20787</v>
      </c>
      <c r="N54" s="1809" t="str">
        <f t="shared" si="0"/>
        <v>增值额×税（费）率</v>
      </c>
      <c r="O54" s="1753" t="str">
        <f t="shared" si="0"/>
        <v>——</v>
      </c>
    </row>
    <row r="55" spans="1:35" ht="24" customHeight="1">
      <c r="A55" s="3074" t="s">
        <v>2221</v>
      </c>
      <c r="B55" s="3075"/>
      <c r="C55" s="3075"/>
      <c r="D55" s="185">
        <f ca="1">IF(H55="个人住宅",0,ROUND(D45*I55,0))</f>
        <v>18</v>
      </c>
      <c r="E55" s="11" t="s">
        <v>2222</v>
      </c>
      <c r="F55" s="184">
        <f>IF(H55="正常",I55,"免征")</f>
        <v>5.0000000000000001E-4</v>
      </c>
      <c r="G55" s="2486"/>
      <c r="H55" s="2483" t="s">
        <v>2223</v>
      </c>
      <c r="I55" s="186">
        <f>'数据-取费表'!B49</f>
        <v>5.0000000000000001E-4</v>
      </c>
      <c r="J55" s="1809" t="str">
        <f>IF(H59="非个人房产","",4)</f>
        <v/>
      </c>
      <c r="K55" s="3125" t="str">
        <f>IF(H59="非个人房产","——","个人所得税")</f>
        <v>——</v>
      </c>
      <c r="L55" s="3125"/>
      <c r="M55" s="1754" t="str">
        <f>D59</f>
        <v>——</v>
      </c>
      <c r="N55" s="1807" t="str">
        <f>E59</f>
        <v>——</v>
      </c>
      <c r="O55" s="1755" t="str">
        <f>F59</f>
        <v>——</v>
      </c>
    </row>
    <row r="56" spans="1:35" ht="24.75">
      <c r="A56" s="3074" t="s">
        <v>2224</v>
      </c>
      <c r="B56" s="3075"/>
      <c r="C56" s="3075"/>
      <c r="D56" s="185">
        <f ca="1">IF(H56="个人住宅",D57,D58)</f>
        <v>20787</v>
      </c>
      <c r="E56" s="11" t="s">
        <v>2225</v>
      </c>
      <c r="F56" s="184" t="str">
        <f>IF(H56="正常",F58,"免征")</f>
        <v>——</v>
      </c>
      <c r="G56" s="2488" t="s">
        <v>2226</v>
      </c>
      <c r="H56" s="2489" t="s">
        <v>2223</v>
      </c>
      <c r="I56" s="2490"/>
      <c r="J56" s="1809" t="str">
        <f>IF(项目基本情况!K6="上海银行",IF(J55="",4,J55+1),"")</f>
        <v/>
      </c>
      <c r="K56" s="3148" t="str">
        <f>IF(项目基本情况!K6="上海银行","其他处置费用","")</f>
        <v/>
      </c>
      <c r="L56" s="3149"/>
      <c r="M56" s="1751" t="str">
        <f>IF(项目基本情况!K6="上海银行",M69,"")</f>
        <v/>
      </c>
      <c r="N56" s="3151" t="str">
        <f>IF(项目基本情况!K6="上海银行","包含处置中涉及的律师、诉讼、拍卖、评估等费用","")</f>
        <v/>
      </c>
      <c r="O56" s="3152"/>
    </row>
    <row r="57" spans="1:35" ht="12.75">
      <c r="A57" s="183" t="s">
        <v>2199</v>
      </c>
      <c r="B57" s="3090" t="s">
        <v>2227</v>
      </c>
      <c r="C57" s="3099"/>
      <c r="D57" s="187">
        <v>0</v>
      </c>
      <c r="E57" s="23" t="s">
        <v>2201</v>
      </c>
      <c r="F57" s="155"/>
      <c r="G57" s="2486"/>
      <c r="H57" s="2490"/>
      <c r="I57" s="2490"/>
      <c r="J57" s="3125">
        <f>IF(AND(J55="",J56=""),4,IF(项目基本情况!K6="上海银行",结果表!J56+1,结果表!J55+1))</f>
        <v>4</v>
      </c>
      <c r="K57" s="3125" t="s">
        <v>2228</v>
      </c>
      <c r="L57" s="2491" t="s">
        <v>2229</v>
      </c>
      <c r="M57" s="1756"/>
      <c r="N57" s="1757">
        <f ca="1">SUMIF(M52:M56,"&lt;9e307")</f>
        <v>20805</v>
      </c>
      <c r="O57" s="2492"/>
      <c r="P57" s="1750" t="e">
        <f ca="1">N57/M49</f>
        <v>#VALUE!</v>
      </c>
    </row>
    <row r="58" spans="1:35" ht="24.75">
      <c r="A58" s="183" t="s">
        <v>2210</v>
      </c>
      <c r="B58" s="3090" t="s">
        <v>2230</v>
      </c>
      <c r="C58" s="3091"/>
      <c r="D58" s="185">
        <f ca="1">IF(H58="转让取得",C81,C97)</f>
        <v>20787</v>
      </c>
      <c r="E58" s="11" t="s">
        <v>2225</v>
      </c>
      <c r="F58" s="24" t="s">
        <v>34</v>
      </c>
      <c r="G58" s="2486"/>
      <c r="H58" s="2489" t="s">
        <v>2231</v>
      </c>
      <c r="I58" s="2490"/>
      <c r="J58" s="3125"/>
      <c r="K58" s="3125"/>
      <c r="L58" s="2491" t="s">
        <v>2232</v>
      </c>
      <c r="M58" s="1758"/>
      <c r="N58" s="2493" t="str">
        <f ca="1">NUMBERSTRING(INT(N57*10000),2)&amp;"元整"</f>
        <v>贰亿零捌佰零伍万元整</v>
      </c>
      <c r="O58" s="2494"/>
    </row>
    <row r="59" spans="1:35" ht="24.75" thickBot="1">
      <c r="A59" s="3128" t="s">
        <v>2233</v>
      </c>
      <c r="B59" s="3129"/>
      <c r="C59" s="3129"/>
      <c r="D59" s="188" t="str">
        <f>IF(H59="非个人房产","——",IF(H59="个人住宅",0,ROUND(D45*I59,0)))</f>
        <v>——</v>
      </c>
      <c r="E59" s="189" t="str">
        <f>IF(H59="非个人房产","——","销售额×税（费）率")</f>
        <v>——</v>
      </c>
      <c r="F59" s="190" t="str">
        <f>IF(H59="非个人房产","——",IF(H59="个人住宅","免征",I59))</f>
        <v>——</v>
      </c>
      <c r="G59" s="2495" t="s">
        <v>2226</v>
      </c>
      <c r="H59" s="2489" t="s">
        <v>2234</v>
      </c>
      <c r="I59" s="191">
        <v>0.01</v>
      </c>
      <c r="J59" s="3126">
        <f>J57+1</f>
        <v>5</v>
      </c>
      <c r="K59" s="3125" t="s">
        <v>2235</v>
      </c>
      <c r="L59" s="1809" t="s">
        <v>2229</v>
      </c>
      <c r="M59" s="1759"/>
      <c r="N59" s="1760" t="e">
        <f ca="1">M49-N57</f>
        <v>#VALUE!</v>
      </c>
      <c r="O59" s="2496"/>
    </row>
    <row r="60" spans="1:35" ht="12" customHeight="1">
      <c r="A60" s="2497"/>
      <c r="B60" s="2419"/>
      <c r="C60" s="2419"/>
      <c r="D60" s="2419"/>
      <c r="E60" s="2167"/>
      <c r="F60" s="2490"/>
      <c r="G60" s="2490"/>
      <c r="H60" s="2498"/>
      <c r="I60" s="138"/>
      <c r="J60" s="3127"/>
      <c r="K60" s="3125"/>
      <c r="L60" s="2491" t="s">
        <v>2232</v>
      </c>
      <c r="M60" s="1758"/>
      <c r="N60" s="2493" t="e">
        <f ca="1">NUMBERSTRING(INT(N59*10000),2)&amp;"元整"</f>
        <v>#VALUE!</v>
      </c>
      <c r="O60" s="2494"/>
    </row>
    <row r="61" spans="1:35" ht="13.5" thickBot="1">
      <c r="A61" s="3072" t="s">
        <v>2236</v>
      </c>
      <c r="B61" s="3072"/>
      <c r="C61" s="3072"/>
      <c r="D61" s="3072"/>
      <c r="E61" s="3072"/>
      <c r="F61" s="2490"/>
      <c r="G61" s="2490"/>
      <c r="H61" s="2498"/>
      <c r="I61" s="138"/>
      <c r="J61" s="1809">
        <f>J59+1</f>
        <v>6</v>
      </c>
      <c r="K61" s="3125" t="s">
        <v>2237</v>
      </c>
      <c r="L61" s="3125"/>
      <c r="M61" s="1761"/>
      <c r="N61" s="1762" t="e">
        <f ca="1">ROUND(N59*10000/'数据-汇总表'!E3,0)</f>
        <v>#VALUE!</v>
      </c>
      <c r="O61" s="2499"/>
    </row>
    <row r="62" spans="1:35" ht="12.75">
      <c r="A62" s="3088" t="s">
        <v>2238</v>
      </c>
      <c r="B62" s="3089"/>
      <c r="C62" s="1801"/>
      <c r="D62" s="1801" t="s">
        <v>2239</v>
      </c>
      <c r="E62" s="192" t="s">
        <v>2240</v>
      </c>
      <c r="F62" s="2490"/>
      <c r="G62" s="2490"/>
      <c r="H62" s="2498"/>
      <c r="I62" s="138"/>
    </row>
    <row r="63" spans="1:35" ht="12.75">
      <c r="A63" s="203" t="s">
        <v>775</v>
      </c>
      <c r="B63" s="193" t="s">
        <v>2241</v>
      </c>
      <c r="C63" s="194">
        <f ca="1">ROUND((C64+C65)/(1+'数据-取费表'!C42),0)</f>
        <v>34922</v>
      </c>
      <c r="D63" s="195"/>
      <c r="E63" s="196"/>
      <c r="F63" s="2490"/>
      <c r="G63" s="2490"/>
      <c r="H63" s="2498"/>
      <c r="I63" s="138"/>
      <c r="J63" s="3150" t="s">
        <v>2242</v>
      </c>
      <c r="K63" s="2500" t="s">
        <v>2243</v>
      </c>
      <c r="L63" s="1749" t="e">
        <f>IF(M49&gt;10000,M49*0.5%,IF(AND(M49&gt;1000,M49&lt;=10000),M49*1%,IF(AND(M49&gt;100,M49&lt;=1000),M49*3%,IF(AND(M49&gt;10,M49&lt;=100),M49*5%,M49*8%))))</f>
        <v>#VALUE!</v>
      </c>
      <c r="M63" s="24" t="e">
        <f>ROUND(L63,1)</f>
        <v>#VALUE!</v>
      </c>
      <c r="Z63" s="2424"/>
      <c r="AI63" s="2425"/>
    </row>
    <row r="64" spans="1:35" ht="14.25" customHeight="1">
      <c r="A64" s="197" t="s">
        <v>770</v>
      </c>
      <c r="B64" s="198" t="s">
        <v>2244</v>
      </c>
      <c r="C64" s="199">
        <f ca="1">D45</f>
        <v>36668</v>
      </c>
      <c r="D64" s="200" t="s">
        <v>32</v>
      </c>
      <c r="E64" s="201"/>
      <c r="F64" s="2490"/>
      <c r="G64" s="2490"/>
      <c r="H64" s="2498"/>
      <c r="I64" s="138"/>
      <c r="J64" s="3150"/>
      <c r="K64" s="2500" t="s">
        <v>2245</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4"/>
      <c r="AI64" s="2425"/>
    </row>
    <row r="65" spans="1:35" ht="14.25" customHeight="1">
      <c r="A65" s="197" t="s">
        <v>771</v>
      </c>
      <c r="B65" s="198" t="s">
        <v>2247</v>
      </c>
      <c r="C65" s="202"/>
      <c r="D65" s="200"/>
      <c r="E65" s="201"/>
      <c r="F65" s="2490"/>
      <c r="G65" s="2490"/>
      <c r="H65" s="2498"/>
      <c r="I65" s="138"/>
      <c r="J65" s="3150"/>
      <c r="K65" s="2500" t="s">
        <v>2248</v>
      </c>
      <c r="L65" s="1749" t="e">
        <f>IF(M49&gt;1000,M49*0.1%,IF(AND(M49&gt;500,M49&lt;=1000),M49*0.5%,IF(AND(M49&gt;50,M49&lt;=500),M49*1%,IF(AND(M49&gt;1,M49&lt;=50),M49*1.5%))))</f>
        <v>#VALUE!</v>
      </c>
      <c r="M65" s="24" t="e">
        <f t="shared" si="1"/>
        <v>#VALUE!</v>
      </c>
      <c r="N65" s="138" t="s">
        <v>2246</v>
      </c>
      <c r="Z65" s="2424"/>
      <c r="AI65" s="2425"/>
    </row>
    <row r="66" spans="1:35" ht="14.25" customHeight="1">
      <c r="A66" s="203" t="s">
        <v>772</v>
      </c>
      <c r="B66" s="204" t="s">
        <v>2249</v>
      </c>
      <c r="C66" s="205"/>
      <c r="D66" s="206" t="s">
        <v>32</v>
      </c>
      <c r="E66" s="1773" t="s">
        <v>1367</v>
      </c>
      <c r="F66" s="2490"/>
      <c r="G66" s="2490"/>
      <c r="H66" s="2498"/>
      <c r="I66" s="138"/>
      <c r="J66" s="3150"/>
      <c r="K66" s="2500" t="s">
        <v>2250</v>
      </c>
      <c r="L66" s="1749" t="e">
        <f>M49*0.5%</f>
        <v>#VALUE!</v>
      </c>
      <c r="M66" s="24" t="e">
        <f>IF(L66&gt;0.5,0.5,ROUND(L66,0))</f>
        <v>#VALUE!</v>
      </c>
      <c r="N66" s="138" t="s">
        <v>2251</v>
      </c>
      <c r="Z66" s="2424"/>
      <c r="AI66" s="2425"/>
    </row>
    <row r="67" spans="1:35" ht="14.25" customHeight="1">
      <c r="A67" s="203" t="s">
        <v>773</v>
      </c>
      <c r="B67" s="204" t="s">
        <v>2252</v>
      </c>
      <c r="C67" s="207">
        <f ca="1">C63-C66</f>
        <v>34922</v>
      </c>
      <c r="D67" s="200" t="s">
        <v>32</v>
      </c>
      <c r="E67" s="201"/>
      <c r="F67" s="2490"/>
      <c r="G67" s="2490"/>
      <c r="H67" s="2498"/>
      <c r="I67" s="138"/>
      <c r="J67" s="3150"/>
      <c r="K67" s="2500" t="s">
        <v>2253</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2254</v>
      </c>
      <c r="C68" s="210">
        <f ca="1">IF(C67&lt;=0,0,ROUND(C67*D68,0))</f>
        <v>1921</v>
      </c>
      <c r="D68" s="211">
        <f>'数据-取费表'!B41</f>
        <v>5.5000000000000007E-2</v>
      </c>
      <c r="E68" s="212"/>
      <c r="F68" s="2490"/>
      <c r="G68" s="2490"/>
      <c r="H68" s="2498"/>
      <c r="I68" s="138"/>
      <c r="J68" s="3150"/>
      <c r="K68" s="2500" t="s">
        <v>2255</v>
      </c>
      <c r="L68" s="1749"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50"/>
      <c r="K69" s="2500" t="s">
        <v>2256</v>
      </c>
      <c r="L69" s="2506"/>
      <c r="M69" s="24" t="e">
        <f>ROUND(SUM(M63:M68),0)</f>
        <v>#VALUE!</v>
      </c>
      <c r="N69" s="1750"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09" t="s">
        <v>2257</v>
      </c>
      <c r="B70" s="3110"/>
      <c r="C70" s="3110"/>
      <c r="D70" s="3110"/>
      <c r="E70" s="3110"/>
      <c r="F70" s="3110"/>
      <c r="G70" s="3110"/>
      <c r="H70" s="3110"/>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88" t="s">
        <v>2238</v>
      </c>
      <c r="B71" s="3089"/>
      <c r="C71" s="1801"/>
      <c r="D71" s="1801" t="s">
        <v>2239</v>
      </c>
      <c r="E71" s="213" t="s">
        <v>2240</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2258</v>
      </c>
      <c r="C72" s="207">
        <f ca="1">ROUND(D45/(1+'数据-取费表'!C42),0)</f>
        <v>34922</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2259</v>
      </c>
      <c r="C73" s="207">
        <f ca="1">C74+C78</f>
        <v>175</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2260</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2261</v>
      </c>
      <c r="C75" s="218"/>
      <c r="D75" s="200" t="s">
        <v>32</v>
      </c>
      <c r="E75" s="219" t="s">
        <v>2262</v>
      </c>
      <c r="F75" s="2512" t="s">
        <v>2263</v>
      </c>
      <c r="G75" s="219" t="s">
        <v>2264</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2265</v>
      </c>
      <c r="C76" s="200">
        <f>IF(F75="购房发票",ROUND(C75*H75*D76,0),0)</f>
        <v>0</v>
      </c>
      <c r="D76" s="222">
        <v>0.05</v>
      </c>
      <c r="E76" s="3083" t="s">
        <v>2266</v>
      </c>
      <c r="F76" s="3060"/>
      <c r="G76" s="3060"/>
      <c r="H76" s="3108"/>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4" t="s">
        <v>2269</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2270</v>
      </c>
      <c r="C78" s="225">
        <f ca="1">ROUND(D45*D78/(1+'数据-取费表'!C42),0)</f>
        <v>175</v>
      </c>
      <c r="D78" s="226">
        <f>'数据-取费表'!B43</f>
        <v>5.000000000000001E-3</v>
      </c>
      <c r="E78" s="3069" t="s">
        <v>2271</v>
      </c>
      <c r="F78" s="3070"/>
      <c r="G78" s="3070"/>
      <c r="H78" s="3079"/>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2272</v>
      </c>
      <c r="C79" s="207">
        <f ca="1">C72-C73</f>
        <v>34747</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2273</v>
      </c>
      <c r="C80" s="227">
        <f ca="1">IF(C79&lt;=0,0,C79/C73)</f>
        <v>198.55428571428573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2274</v>
      </c>
      <c r="C81" s="228">
        <f ca="1">ROUND(IF(C79&lt;=0,0,IF(C80&gt;=200%,C79*60%-C73*35%,IF(C80&gt;=100%,C79*50%-C73*15%,IF(C80&gt;=50%,C79*40%-C73*5%,IF(C80&lt;50%,C79*30%,0))))),0)</f>
        <v>20787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09" t="s">
        <v>2275</v>
      </c>
      <c r="B83" s="3110"/>
      <c r="C83" s="3110"/>
      <c r="D83" s="3110"/>
      <c r="E83" s="3110"/>
      <c r="F83" s="3110"/>
      <c r="G83" s="3110"/>
      <c r="H83" s="3110"/>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88" t="s">
        <v>2238</v>
      </c>
      <c r="B84" s="3089"/>
      <c r="C84" s="1801"/>
      <c r="D84" s="1801" t="s">
        <v>2239</v>
      </c>
      <c r="E84" s="213" t="s">
        <v>2240</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2258</v>
      </c>
      <c r="C85" s="207">
        <f ca="1">ROUND(D45/(1+'数据-取费表'!C42),0)</f>
        <v>34922</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2259</v>
      </c>
      <c r="C86" s="207">
        <f ca="1">IF(H88="仅含出让金",C87+C90+C91+C92+C93+C94,C87+C91+C92+C93+C94)</f>
        <v>175</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2276</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2277</v>
      </c>
      <c r="C88" s="236"/>
      <c r="D88" s="226"/>
      <c r="E88" s="237" t="s">
        <v>2278</v>
      </c>
      <c r="F88" s="1797"/>
      <c r="G88" s="238"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2267</v>
      </c>
      <c r="C89" s="225">
        <f>ROUND(C88*D89,0)</f>
        <v>0</v>
      </c>
      <c r="D89" s="226">
        <f>'数据-取费表'!B48+'数据-取费表'!B49</f>
        <v>3.0499999999999999E-2</v>
      </c>
      <c r="E89" s="237" t="s">
        <v>2280</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2281</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2282</v>
      </c>
      <c r="B91" s="198" t="s">
        <v>2283</v>
      </c>
      <c r="C91" s="225">
        <f>IF(H91="——",成本法!C33,I91)</f>
        <v>0</v>
      </c>
      <c r="D91" s="226"/>
      <c r="E91" s="3069" t="s">
        <v>2284</v>
      </c>
      <c r="F91" s="3070"/>
      <c r="G91" s="3070"/>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2286</v>
      </c>
      <c r="B92" s="198" t="s">
        <v>2287</v>
      </c>
      <c r="C92" s="225">
        <f>ROUND((C87+C90+C91)*D92,0)</f>
        <v>0</v>
      </c>
      <c r="D92" s="226">
        <v>0.1</v>
      </c>
      <c r="E92" s="3069" t="s">
        <v>2288</v>
      </c>
      <c r="F92" s="3070"/>
      <c r="G92" s="3070"/>
      <c r="H92" s="3079"/>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2289</v>
      </c>
      <c r="B93" s="198" t="s">
        <v>2270</v>
      </c>
      <c r="C93" s="225">
        <f ca="1">ROUND(D45*D93/(1+'数据-取费表'!C42),0)</f>
        <v>175</v>
      </c>
      <c r="D93" s="226">
        <f>'数据-取费表'!B43</f>
        <v>5.000000000000001E-3</v>
      </c>
      <c r="E93" s="3069" t="s">
        <v>2271</v>
      </c>
      <c r="F93" s="3070"/>
      <c r="G93" s="3070"/>
      <c r="H93" s="3079"/>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2290</v>
      </c>
      <c r="B94" s="198" t="s">
        <v>2291</v>
      </c>
      <c r="C94" s="236">
        <f>ROUND((C87+C90+C91)*D94,0)</f>
        <v>0</v>
      </c>
      <c r="D94" s="226">
        <v>0.2</v>
      </c>
      <c r="E94" s="3080" t="s">
        <v>2292</v>
      </c>
      <c r="F94" s="3081"/>
      <c r="G94" s="3081"/>
      <c r="H94" s="3082"/>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2272</v>
      </c>
      <c r="C95" s="207">
        <f ca="1">ROUND(C85-C86,0)</f>
        <v>34747</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2273</v>
      </c>
      <c r="C96" s="227">
        <f ca="1">IF(C95&lt;=0,0,C95/C86)</f>
        <v>198.55428571428573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2274</v>
      </c>
      <c r="C97" s="228">
        <f ca="1">ROUND(IF(C95&lt;=0,0,IF(C96&gt;=200%,C95*60%-C86*35%,IF(C96&gt;=100%,C95*50%-C86*15%,IF(C96&gt;=50%,C95*40%-C86*5%,IF(C96&lt;50%,C95*30%,0))))),0)</f>
        <v>20787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2293</v>
      </c>
      <c r="B99" s="2419"/>
      <c r="C99" s="2419"/>
      <c r="D99" s="2419"/>
      <c r="E99" s="2167"/>
      <c r="F99" s="2167"/>
      <c r="G99" s="2167"/>
      <c r="H99" s="2166"/>
      <c r="I99" s="138"/>
    </row>
    <row r="100" spans="1:35" ht="18.75" customHeight="1">
      <c r="A100" s="3054" t="s">
        <v>2294</v>
      </c>
      <c r="B100" s="3055"/>
      <c r="C100" s="3055"/>
      <c r="D100" s="3071"/>
      <c r="E100" s="3055" t="s">
        <v>2295</v>
      </c>
      <c r="F100" s="3055"/>
      <c r="G100" s="3055"/>
      <c r="H100" s="3071"/>
      <c r="I100" s="138"/>
    </row>
    <row r="101" spans="1:35" ht="18.75" customHeight="1">
      <c r="A101" s="3133" t="s">
        <v>2296</v>
      </c>
      <c r="B101" s="3134"/>
      <c r="C101" s="736" t="str">
        <f>C4</f>
        <v>成本法</v>
      </c>
      <c r="D101" s="737" t="str">
        <f>D4</f>
        <v>收益法（汇总）</v>
      </c>
      <c r="E101" s="3147" t="s">
        <v>2297</v>
      </c>
      <c r="F101" s="3101"/>
      <c r="G101" s="2521" t="s">
        <v>2298</v>
      </c>
      <c r="H101" s="1045">
        <f ca="1">H118</f>
        <v>36668</v>
      </c>
      <c r="I101" s="138"/>
    </row>
    <row r="102" spans="1:35" ht="18.75" customHeight="1">
      <c r="A102" s="3103" t="s">
        <v>2299</v>
      </c>
      <c r="B102" s="2521" t="s">
        <v>2298</v>
      </c>
      <c r="C102" s="736">
        <f ca="1">C19</f>
        <v>45029</v>
      </c>
      <c r="D102" s="737">
        <f ca="1">D19</f>
        <v>33085</v>
      </c>
      <c r="E102" s="3147"/>
      <c r="F102" s="3101"/>
      <c r="G102" s="2521" t="s">
        <v>2300</v>
      </c>
      <c r="H102" s="371">
        <f ca="1">I118</f>
        <v>13913</v>
      </c>
      <c r="I102" s="138"/>
    </row>
    <row r="103" spans="1:35" ht="42.75" customHeight="1">
      <c r="A103" s="3103"/>
      <c r="B103" s="2521" t="s">
        <v>2300</v>
      </c>
      <c r="C103" s="738">
        <f ca="1">C20</f>
        <v>17085</v>
      </c>
      <c r="D103" s="739">
        <f ca="1">D20</f>
        <v>12553</v>
      </c>
      <c r="E103" s="3142" t="s">
        <v>2301</v>
      </c>
      <c r="F103" s="3143"/>
      <c r="G103" s="2522" t="s">
        <v>2302</v>
      </c>
      <c r="H103" s="1045">
        <f>IF(D36="正常操作",H104+H105+H106,H105+H106)</f>
        <v>0</v>
      </c>
      <c r="I103" s="138"/>
    </row>
    <row r="104" spans="1:35" ht="18.75" customHeight="1">
      <c r="A104" s="3103" t="s">
        <v>2303</v>
      </c>
      <c r="B104" s="2523" t="s">
        <v>2298</v>
      </c>
      <c r="C104" s="740">
        <f ca="1">H118</f>
        <v>36668</v>
      </c>
      <c r="D104" s="741"/>
      <c r="E104" s="2267" t="s">
        <v>2304</v>
      </c>
      <c r="F104" s="2259"/>
      <c r="G104" s="2522" t="s">
        <v>2302</v>
      </c>
      <c r="H104" s="1046">
        <f>IF(D36="同一抵押权人同一抵押物续贷",C36&amp;"（未扣减，详见特别提示）",C36)</f>
        <v>0</v>
      </c>
      <c r="I104" s="138"/>
    </row>
    <row r="105" spans="1:35" ht="18.75" customHeight="1" thickBot="1">
      <c r="A105" s="3104"/>
      <c r="B105" s="2524" t="s">
        <v>2300</v>
      </c>
      <c r="C105" s="742">
        <f ca="1">I118</f>
        <v>13913</v>
      </c>
      <c r="D105" s="743"/>
      <c r="E105" s="2267" t="s">
        <v>2305</v>
      </c>
      <c r="F105" s="2259"/>
      <c r="G105" s="2522" t="s">
        <v>2302</v>
      </c>
      <c r="H105" s="1046">
        <f>C37</f>
        <v>0</v>
      </c>
      <c r="I105" s="138"/>
    </row>
    <row r="106" spans="1:35" ht="18.75" customHeight="1">
      <c r="A106" s="2419" t="s">
        <v>2306</v>
      </c>
      <c r="B106" s="2419"/>
      <c r="C106" s="2419"/>
      <c r="D106" s="2419"/>
      <c r="E106" s="2525" t="s">
        <v>2307</v>
      </c>
      <c r="F106" s="2259"/>
      <c r="G106" s="2522" t="s">
        <v>2302</v>
      </c>
      <c r="H106" s="1046">
        <f>C38</f>
        <v>0</v>
      </c>
      <c r="I106" s="138"/>
    </row>
    <row r="107" spans="1:35" ht="18.75" customHeight="1">
      <c r="A107" s="138"/>
      <c r="B107" s="138"/>
      <c r="C107" s="138"/>
      <c r="D107" s="138"/>
      <c r="E107" s="3100" t="str">
        <f>IF(项目基本情况!E8="已注销","——","3.房地产抵押价值")</f>
        <v>3.房地产抵押价值</v>
      </c>
      <c r="F107" s="3101"/>
      <c r="G107" s="2521" t="s">
        <v>2298</v>
      </c>
      <c r="H107" s="1045">
        <f ca="1">IF(E107="——","——",H101-H103)</f>
        <v>36668</v>
      </c>
      <c r="I107" s="138"/>
    </row>
    <row r="108" spans="1:35" ht="18.75" customHeight="1">
      <c r="A108" s="138"/>
      <c r="B108" s="138"/>
      <c r="C108" s="138"/>
      <c r="D108" s="138"/>
      <c r="E108" s="3100"/>
      <c r="F108" s="3101"/>
      <c r="G108" s="2521" t="s">
        <v>2300</v>
      </c>
      <c r="H108" s="371">
        <f ca="1">ROUND(H107*10000/'数据-汇总表'!E3,0)</f>
        <v>13913</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101"/>
      <c r="G109" s="2521" t="s">
        <v>2298</v>
      </c>
      <c r="H109" s="348" t="str">
        <f>IF(E109="——","——",H101-H105-H106)</f>
        <v>——</v>
      </c>
      <c r="I109" s="138"/>
    </row>
    <row r="110" spans="1:35" ht="18.75" customHeight="1">
      <c r="A110" s="138"/>
      <c r="B110" s="138"/>
      <c r="C110" s="138"/>
      <c r="D110" s="138"/>
      <c r="E110" s="3100"/>
      <c r="F110" s="3101"/>
      <c r="G110" s="2521" t="s">
        <v>2300</v>
      </c>
      <c r="H110" s="371" t="str">
        <f>IF(H109="——","——",ROUND(H109*10000/'数据-汇总表'!E3,0))</f>
        <v>——</v>
      </c>
      <c r="I110" s="138"/>
    </row>
    <row r="111" spans="1:35" ht="18.75" customHeight="1">
      <c r="A111" s="138"/>
      <c r="B111" s="138"/>
      <c r="C111" s="138"/>
      <c r="D111" s="138"/>
      <c r="E111" s="3135" t="str">
        <f>IF(项目基本情况!E9="抵押净值",IF(OR(项目基本情况!E8="已注销",项目基本情况!E8="房地产抵押价值"),"4.抵押净值","5.抵押净值"),"——")</f>
        <v>——</v>
      </c>
      <c r="F111" s="3136"/>
      <c r="G111" s="2521" t="s">
        <v>2298</v>
      </c>
      <c r="H111" s="1045" t="str">
        <f>IF(E111="——","——",N59)</f>
        <v>——</v>
      </c>
      <c r="I111" s="138"/>
    </row>
    <row r="112" spans="1:35" ht="18.75" customHeight="1" thickBot="1">
      <c r="A112" s="138"/>
      <c r="B112" s="138"/>
      <c r="C112" s="138"/>
      <c r="D112" s="138"/>
      <c r="E112" s="3137"/>
      <c r="F112" s="3138"/>
      <c r="G112" s="2526" t="s">
        <v>2300</v>
      </c>
      <c r="H112" s="790" t="str">
        <f>IF(E111="——","——",N61)</f>
        <v>——</v>
      </c>
      <c r="I112" s="138"/>
    </row>
    <row r="113" spans="1:11" ht="18.75" customHeight="1">
      <c r="A113" s="138"/>
      <c r="B113" s="138"/>
      <c r="C113" s="138"/>
      <c r="D113" s="138"/>
      <c r="E113" s="3105" t="s">
        <v>2306</v>
      </c>
      <c r="F113" s="3105"/>
      <c r="G113" s="3105"/>
      <c r="H113" s="3105"/>
      <c r="I113" s="138"/>
    </row>
    <row r="114" spans="1:11" ht="3.75" customHeight="1">
      <c r="A114" s="2419"/>
      <c r="B114" s="2419"/>
      <c r="C114" s="2419"/>
      <c r="D114" s="2419"/>
      <c r="E114" s="2497"/>
      <c r="F114" s="2497"/>
      <c r="G114" s="2497"/>
      <c r="H114" s="2497"/>
      <c r="I114" s="2419"/>
    </row>
    <row r="115" spans="1:11" ht="18.75" customHeight="1">
      <c r="A115" s="3118" t="s">
        <v>2308</v>
      </c>
      <c r="B115" s="3119"/>
      <c r="C115" s="3119"/>
      <c r="D115" s="3119"/>
      <c r="E115" s="3119"/>
      <c r="F115" s="3119"/>
      <c r="G115" s="3119"/>
      <c r="H115" s="3119"/>
      <c r="I115" s="3120"/>
    </row>
    <row r="116" spans="1:11" ht="27" customHeight="1">
      <c r="A116" s="3011" t="s">
        <v>2309</v>
      </c>
      <c r="B116" s="3106" t="s">
        <v>2310</v>
      </c>
      <c r="C116" s="3106" t="s">
        <v>2311</v>
      </c>
      <c r="D116" s="3122" t="s">
        <v>2312</v>
      </c>
      <c r="E116" s="3123"/>
      <c r="F116" s="3114" t="s">
        <v>2313</v>
      </c>
      <c r="G116" s="3114"/>
      <c r="H116" s="3011" t="s">
        <v>2314</v>
      </c>
      <c r="I116" s="3011"/>
    </row>
    <row r="117" spans="1:11" ht="18.75" customHeight="1">
      <c r="A117" s="3011"/>
      <c r="B117" s="3107"/>
      <c r="C117" s="3107"/>
      <c r="D117" s="1795" t="s">
        <v>2315</v>
      </c>
      <c r="E117" s="1795" t="s">
        <v>2316</v>
      </c>
      <c r="F117" s="1795" t="s">
        <v>2315</v>
      </c>
      <c r="G117" s="1795" t="s">
        <v>2317</v>
      </c>
      <c r="H117" s="1795" t="s">
        <v>2315</v>
      </c>
      <c r="I117" s="1795" t="s">
        <v>2317</v>
      </c>
    </row>
    <row r="118" spans="1:11" ht="24.75" customHeight="1">
      <c r="A118" s="2527" t="str">
        <f>项目基本情况!S2</f>
        <v>北京市房地产</v>
      </c>
      <c r="B118" s="1795">
        <f>M18</f>
        <v>26356.14</v>
      </c>
      <c r="C118" s="1795">
        <f>M19</f>
        <v>7100</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36668</v>
      </c>
      <c r="I118" s="1795">
        <f ca="1">ROUND(IF(D32="楼面单价",C32,H118*10000/B118),0)</f>
        <v>13913</v>
      </c>
    </row>
    <row r="119" spans="1:11" ht="18.75" customHeight="1">
      <c r="A119" s="3011" t="s">
        <v>2318</v>
      </c>
      <c r="B119" s="3011"/>
      <c r="C119" s="3011"/>
      <c r="D119" s="3111" t="e">
        <f ca="1">NUMBERSTRING(INT(D118*10000),2)&amp;"元整"</f>
        <v>#REF!</v>
      </c>
      <c r="E119" s="3113"/>
      <c r="F119" s="3111" t="e">
        <f ca="1">NUMBERSTRING(INT(F118*10000),2)&amp;"元整"</f>
        <v>#REF!</v>
      </c>
      <c r="G119" s="3113"/>
      <c r="H119" s="3111" t="str">
        <f ca="1">NUMBERSTRING(INT(H118*10000),2)&amp;"元整"</f>
        <v>叁亿陆仟陆佰陆拾捌万元整</v>
      </c>
      <c r="I119" s="3113"/>
    </row>
    <row r="120" spans="1:11" ht="18.75" customHeight="1">
      <c r="A120" s="3139" t="str">
        <f>IF(项目基本情况!B9="房地产市场价值","",MID(E103,3,LEN(E103)-2))</f>
        <v/>
      </c>
      <c r="B120" s="3140"/>
      <c r="C120" s="3141"/>
      <c r="D120" s="3139">
        <f>H103</f>
        <v>0</v>
      </c>
      <c r="E120" s="3140"/>
      <c r="F120" s="3140"/>
      <c r="G120" s="3140"/>
      <c r="H120" s="3140"/>
      <c r="I120" s="3141"/>
      <c r="K120" s="2424" t="str">
        <f>IF(D120=0,"故，本次评估不存在"&amp;A120,"故，本次评估"&amp;A120&amp;"为人民币"&amp;D120&amp;"万元整。")</f>
        <v>故，本次评估不存在</v>
      </c>
    </row>
    <row r="121" spans="1:11" ht="18.75" customHeight="1">
      <c r="A121" s="3115" t="s">
        <v>2318</v>
      </c>
      <c r="B121" s="3116"/>
      <c r="C121" s="3117"/>
      <c r="D121" s="3111" t="str">
        <f>IF(D120=0,"零元整",NUMBERSTRING(INT(D120*10000),2)&amp;"元整")</f>
        <v>零元整</v>
      </c>
      <c r="E121" s="3112"/>
      <c r="F121" s="3112"/>
      <c r="G121" s="3112"/>
      <c r="H121" s="3112"/>
      <c r="I121" s="3113"/>
    </row>
    <row r="122" spans="1:11" ht="18.75" customHeight="1">
      <c r="A122" s="3102" t="str">
        <f>IF(项目基本情况!B9="房地产市场价值","",MID(E107,3,LEN(E107)-2))</f>
        <v/>
      </c>
      <c r="B122" s="3102"/>
      <c r="C122" s="3102"/>
      <c r="D122" s="3139">
        <f ca="1">H107</f>
        <v>36668</v>
      </c>
      <c r="E122" s="3140"/>
      <c r="F122" s="3140"/>
      <c r="G122" s="3140"/>
      <c r="H122" s="3140"/>
      <c r="I122" s="3141"/>
    </row>
    <row r="123" spans="1:11" ht="18.75" customHeight="1">
      <c r="A123" s="3011" t="s">
        <v>2318</v>
      </c>
      <c r="B123" s="3011"/>
      <c r="C123" s="3011"/>
      <c r="D123" s="3111" t="str">
        <f ca="1">NUMBERSTRING(INT(D122*10000),2)&amp;"元整"</f>
        <v>叁亿陆仟陆佰陆拾捌万元整</v>
      </c>
      <c r="E123" s="3112"/>
      <c r="F123" s="3112"/>
      <c r="G123" s="3112"/>
      <c r="H123" s="3112"/>
      <c r="I123" s="3113"/>
    </row>
    <row r="124" spans="1:11" ht="18.75" customHeight="1">
      <c r="A124" s="3102" t="str">
        <f>IF(项目基本情况!B9="房地产市场价值","",MID(E109,3,LEN(E109)-2))</f>
        <v/>
      </c>
      <c r="B124" s="3102"/>
      <c r="C124" s="3102"/>
      <c r="D124" s="3139" t="str">
        <f>H109</f>
        <v>——</v>
      </c>
      <c r="E124" s="3140"/>
      <c r="F124" s="3140"/>
      <c r="G124" s="3140"/>
      <c r="H124" s="3140"/>
      <c r="I124" s="3141"/>
    </row>
    <row r="125" spans="1:11" ht="18.75" customHeight="1">
      <c r="A125" s="3011" t="s">
        <v>2318</v>
      </c>
      <c r="B125" s="3011"/>
      <c r="C125" s="3011"/>
      <c r="D125" s="3111" t="e">
        <f>NUMBERSTRING(INT(D124*10000),2)&amp;"元整"</f>
        <v>#VALUE!</v>
      </c>
      <c r="E125" s="3112"/>
      <c r="F125" s="3112"/>
      <c r="G125" s="3112"/>
      <c r="H125" s="3112"/>
      <c r="I125" s="3113"/>
    </row>
    <row r="126" spans="1:11" ht="18.75" customHeight="1">
      <c r="A126" s="3102" t="str">
        <f>IF(项目基本情况!B9="房地产市场价值","",MID(E111,3,LEN(E111)-2))</f>
        <v/>
      </c>
      <c r="B126" s="3102"/>
      <c r="C126" s="3102"/>
      <c r="D126" s="3139" t="str">
        <f>H111</f>
        <v>——</v>
      </c>
      <c r="E126" s="3140"/>
      <c r="F126" s="3140"/>
      <c r="G126" s="3140"/>
      <c r="H126" s="3140"/>
      <c r="I126" s="3141"/>
    </row>
    <row r="127" spans="1:11" ht="18.75" customHeight="1">
      <c r="A127" s="3011" t="s">
        <v>2318</v>
      </c>
      <c r="B127" s="3011"/>
      <c r="C127" s="3011"/>
      <c r="D127" s="3111" t="e">
        <f>NUMBERSTRING(INT(D126*10000),2)&amp;"元整"</f>
        <v>#VALUE!</v>
      </c>
      <c r="E127" s="3112"/>
      <c r="F127" s="3112"/>
      <c r="G127" s="3112"/>
      <c r="H127" s="3112"/>
      <c r="I127" s="3113"/>
    </row>
    <row r="128" spans="1:11" ht="21.75" customHeight="1">
      <c r="A128" s="3121" t="s">
        <v>2319</v>
      </c>
      <c r="B128" s="3121"/>
      <c r="C128" s="3121"/>
      <c r="D128" s="3121"/>
      <c r="E128" s="3121"/>
      <c r="F128" s="3121"/>
      <c r="G128" s="3121"/>
      <c r="H128" s="3121"/>
      <c r="I128" s="3121"/>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2322</v>
      </c>
      <c r="G135" s="2545"/>
      <c r="H135" s="2545"/>
      <c r="I135" s="2546" t="s">
        <v>2323</v>
      </c>
    </row>
    <row r="136" spans="1:35" ht="21.75" customHeight="1">
      <c r="A136" s="795"/>
      <c r="B136" s="2547"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2325</v>
      </c>
    </row>
    <row r="139" spans="1:35" ht="21.75" customHeight="1">
      <c r="A139" s="795"/>
      <c r="B139" s="2547" t="s">
        <v>2326</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2325</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G23" sqref="G2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7"/>
      <c r="C1" s="242"/>
      <c r="D1" s="242"/>
      <c r="E1" s="242"/>
      <c r="F1" s="242"/>
      <c r="G1" s="1379">
        <f>MATCH(B1,'数据-取费表'!A6:A16,0)+5</f>
        <v>9</v>
      </c>
    </row>
    <row r="2" spans="1:9" s="244" customFormat="1" ht="18" customHeight="1">
      <c r="A2" s="245" t="s">
        <v>2328</v>
      </c>
      <c r="B2" s="246">
        <f ca="1">IF(D2="——",C52,C52-E2)</f>
        <v>45029</v>
      </c>
      <c r="C2" s="243" t="s">
        <v>2329</v>
      </c>
      <c r="D2" s="2550" t="s">
        <v>70</v>
      </c>
      <c r="E2" s="1440">
        <f ca="1">SUMIF(INDIRECT("'"&amp;G2&amp;"'"&amp;"!A:A"),"承租人权益价值",INDIRECT("'"&amp;G2&amp;"'"&amp;"!c:c"))</f>
        <v>0</v>
      </c>
      <c r="F2" s="2551" t="s">
        <v>2329</v>
      </c>
      <c r="G2" s="2552" t="s">
        <v>3090</v>
      </c>
    </row>
    <row r="3" spans="1:9" s="244" customFormat="1" ht="18" customHeight="1" thickBot="1">
      <c r="A3" s="247" t="s">
        <v>2330</v>
      </c>
      <c r="B3" s="248">
        <f ca="1">ROUND(B2*10000/(IF(B1="",'数据-汇总表'!E3,INDIRECT("'数据-取费表'!k"&amp;$G$1))),0)</f>
        <v>17085</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27748</v>
      </c>
      <c r="D5" s="255" t="s">
        <v>2335</v>
      </c>
      <c r="E5" s="256" t="s">
        <v>2336</v>
      </c>
      <c r="F5" s="256" t="s">
        <v>2337</v>
      </c>
      <c r="G5" s="257"/>
    </row>
    <row r="6" spans="1:9" s="258" customFormat="1" ht="13.5" customHeight="1">
      <c r="A6" s="949" t="s">
        <v>2338</v>
      </c>
      <c r="B6" s="259" t="s">
        <v>2339</v>
      </c>
      <c r="C6" s="260">
        <f ca="1">'基准地价（汇总）'!B2</f>
        <v>26415</v>
      </c>
      <c r="D6" s="261"/>
      <c r="E6" s="262"/>
      <c r="F6" s="262"/>
      <c r="G6" s="263"/>
    </row>
    <row r="7" spans="1:9" s="258" customFormat="1" ht="13.5" customHeight="1">
      <c r="A7" s="949" t="s">
        <v>2340</v>
      </c>
      <c r="B7" s="259" t="s">
        <v>2341</v>
      </c>
      <c r="C7" s="264">
        <f ca="1">ROUND(C6*F7,0)</f>
        <v>806</v>
      </c>
      <c r="D7" s="264"/>
      <c r="E7" s="262"/>
      <c r="F7" s="265">
        <f>'数据-取费表'!B48+'数据-取费表'!B49</f>
        <v>3.0499999999999999E-2</v>
      </c>
      <c r="G7" s="263"/>
    </row>
    <row r="8" spans="1:9" s="267" customFormat="1">
      <c r="A8" s="949" t="s">
        <v>2342</v>
      </c>
      <c r="B8" s="259" t="s">
        <v>2343</v>
      </c>
      <c r="C8" s="264">
        <f ca="1">C10</f>
        <v>527</v>
      </c>
      <c r="D8" s="266"/>
      <c r="E8" s="264"/>
      <c r="F8" s="265"/>
      <c r="G8" s="2553" t="s">
        <v>3091</v>
      </c>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160</v>
      </c>
      <c r="F9" s="265"/>
      <c r="G9" s="2554" t="s">
        <v>3093</v>
      </c>
      <c r="H9" s="1390">
        <v>527</v>
      </c>
      <c r="I9" s="2555" t="s">
        <v>2345</v>
      </c>
    </row>
    <row r="10" spans="1:9" s="258" customFormat="1" ht="13.5" customHeight="1">
      <c r="A10" s="950" t="s">
        <v>801</v>
      </c>
      <c r="B10" s="268" t="s">
        <v>2346</v>
      </c>
      <c r="C10" s="269">
        <f ca="1">ROUND(D10*E10/10000,0)</f>
        <v>527</v>
      </c>
      <c r="D10" s="1032">
        <f ca="1">IF(B1="",'数据-汇总表'!E6,IF(INDIRECT("'数据-取费表'!c"&amp;$G$1)="住宅",INDIRECT("'数据-取费表'!s"&amp;$G$1),INDIRECT("'数据-取费表'!k"&amp;$G$1)+INDIRECT("'数据-取费表'!s"&amp;$G$1)))</f>
        <v>26356.14</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t="str">
        <f>IF(G19="已包含在土地取得成本中","0",ROUND(D19*E19/10000,0))</f>
        <v>0</v>
      </c>
      <c r="D19" s="1036">
        <f ca="1">D9+D10</f>
        <v>26356.14</v>
      </c>
      <c r="E19" s="255">
        <f>'数据-取费表'!B31</f>
        <v>0</v>
      </c>
      <c r="F19" s="275"/>
      <c r="G19" s="2553" t="s">
        <v>3092</v>
      </c>
    </row>
    <row r="20" spans="1:7" s="258" customFormat="1" ht="13.5" customHeight="1">
      <c r="A20" s="299" t="s">
        <v>2359</v>
      </c>
      <c r="B20" s="254" t="s">
        <v>2360</v>
      </c>
      <c r="C20" s="276">
        <f ca="1">ROUND((C5+C19)*F20,0)</f>
        <v>555</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f ca="1">ROUND(SUM(C23:C25),0)</f>
        <v>2725</v>
      </c>
      <c r="D22" s="279">
        <f ca="1">C26</f>
        <v>1E-3</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f ca="1">ROUND(IF('数据-取费表'!B22&lt;=1,C5*F22*'数据-取费表'!B23,C5*(POWER((1+F22),'数据-取费表'!B23)-1)),0)</f>
        <v>2699</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0</v>
      </c>
      <c r="D24" s="282"/>
      <c r="E24" s="282"/>
      <c r="F24" s="283"/>
      <c r="G24" s="284" t="s">
        <v>2373</v>
      </c>
    </row>
    <row r="25" spans="1:7" s="258" customFormat="1" ht="24">
      <c r="A25" s="951" t="s">
        <v>2374</v>
      </c>
      <c r="B25" s="259" t="s">
        <v>2375</v>
      </c>
      <c r="C25" s="1355">
        <f ca="1">ROUND(IF('数据-取费表'!B22&lt;=1,C20*F22*'数据-取费表'!B23/2,C20*(POWER((1+F22),'数据-取费表'!B23/2)-1)),0)</f>
        <v>26</v>
      </c>
      <c r="D25" s="282"/>
      <c r="E25" s="285"/>
      <c r="F25" s="283"/>
      <c r="G25" s="286" t="s">
        <v>2376</v>
      </c>
    </row>
    <row r="26" spans="1:7" s="258" customFormat="1">
      <c r="A26" s="951" t="s">
        <v>795</v>
      </c>
      <c r="B26" s="259" t="s">
        <v>2377</v>
      </c>
      <c r="C26" s="282">
        <f ca="1">ROUND(IF('数据-取费表'!B22&lt;=1,F21*F22*'数据-取费表'!B23/2,F21*(POWER((1+F22),'数据-取费表'!B23/2)-1)),4)</f>
        <v>1E-3</v>
      </c>
      <c r="D26" s="282"/>
      <c r="E26" s="285"/>
      <c r="F26" s="283"/>
      <c r="G26" s="287"/>
    </row>
    <row r="27" spans="1:7" s="258" customFormat="1" ht="24.75">
      <c r="A27" s="299" t="s">
        <v>2378</v>
      </c>
      <c r="B27" s="288" t="s">
        <v>2379</v>
      </c>
      <c r="C27" s="289">
        <f ca="1">C28</f>
        <v>4245</v>
      </c>
      <c r="D27" s="279">
        <f ca="1">C29</f>
        <v>3.0000000000000001E-3</v>
      </c>
      <c r="E27" s="280" t="s">
        <v>2380</v>
      </c>
      <c r="F27" s="290">
        <f ca="1">IF(B1="",'数据-取费表'!Q16,INDIRECT("'数据-取费表'!q"&amp;$G$1))</f>
        <v>0.15</v>
      </c>
      <c r="G27" s="291" t="s">
        <v>2381</v>
      </c>
    </row>
    <row r="28" spans="1:7" s="258" customFormat="1" ht="13.5" customHeight="1">
      <c r="A28" s="951" t="s">
        <v>791</v>
      </c>
      <c r="B28" s="292" t="s">
        <v>2382</v>
      </c>
      <c r="C28" s="293">
        <f ca="1">ROUND((C5+C19+C20)*F27*'数据-取费表'!B21/'数据-取费表'!B20,0)</f>
        <v>4245</v>
      </c>
      <c r="D28" s="279"/>
      <c r="E28" s="280"/>
      <c r="F28" s="290"/>
      <c r="G28" s="291"/>
    </row>
    <row r="29" spans="1:7" s="258" customFormat="1" ht="13.5" customHeight="1">
      <c r="A29" s="951" t="s">
        <v>792</v>
      </c>
      <c r="B29" s="292" t="s">
        <v>2383</v>
      </c>
      <c r="C29" s="282">
        <f ca="1">ROUND(C21*F27*'数据-取费表'!B21/'数据-取费表'!B20,4)</f>
        <v>3.0000000000000001E-3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38191</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6463</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5681</v>
      </c>
      <c r="D34" s="261"/>
      <c r="E34" s="264"/>
      <c r="F34" s="301">
        <f ca="1">IF('数据-取费表'!B24=0,1,IF(B1="",'数据-取费表'!N16,INDIRECT("'数据-取费表'!n"&amp;$G$1)))</f>
        <v>1</v>
      </c>
      <c r="G34" s="263" t="s">
        <v>2392</v>
      </c>
    </row>
    <row r="35" spans="1:7" ht="13.5" customHeight="1">
      <c r="A35" s="951" t="s">
        <v>796</v>
      </c>
      <c r="B35" s="259" t="s">
        <v>2393</v>
      </c>
      <c r="C35" s="264">
        <f ca="1">ROUND(C34*F35,0)</f>
        <v>170</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1" t="s">
        <v>798</v>
      </c>
      <c r="B37" s="259" t="s">
        <v>2397</v>
      </c>
      <c r="C37" s="293">
        <f ca="1">ROUND(E37*D37*F34/10000,0)</f>
        <v>527</v>
      </c>
      <c r="D37" s="261">
        <f ca="1">D19</f>
        <v>26356.14</v>
      </c>
      <c r="E37" s="293">
        <f>'数据-取费表'!B35</f>
        <v>200</v>
      </c>
      <c r="F37" s="303"/>
      <c r="G37" s="305" t="s">
        <v>2398</v>
      </c>
    </row>
    <row r="38" spans="1:7" ht="13.5" customHeight="1">
      <c r="A38" s="951" t="s">
        <v>799</v>
      </c>
      <c r="B38" s="259" t="s">
        <v>2399</v>
      </c>
      <c r="C38" s="264">
        <f ca="1">ROUND(C34*F38,0)</f>
        <v>85</v>
      </c>
      <c r="D38" s="264"/>
      <c r="E38" s="264"/>
      <c r="F38" s="303">
        <f>'数据-取费表'!B36</f>
        <v>1.4999999999999999E-2</v>
      </c>
      <c r="G38" s="263" t="s">
        <v>2394</v>
      </c>
    </row>
    <row r="39" spans="1:7" s="258" customFormat="1" ht="13.5" customHeight="1">
      <c r="A39" s="299" t="s">
        <v>2400</v>
      </c>
      <c r="B39" s="254" t="s">
        <v>2401</v>
      </c>
      <c r="C39" s="276">
        <f ca="1">ROUND(C33*F20,0)</f>
        <v>129</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313</v>
      </c>
      <c r="D41" s="279">
        <f ca="1">C44</f>
        <v>1E-3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307</v>
      </c>
      <c r="D42" s="282"/>
      <c r="E42" s="282"/>
      <c r="F42" s="283"/>
      <c r="G42" s="3153" t="s">
        <v>2410</v>
      </c>
    </row>
    <row r="43" spans="1:7" ht="13.5" customHeight="1">
      <c r="A43" s="951" t="s">
        <v>792</v>
      </c>
      <c r="B43" s="259" t="s">
        <v>2411</v>
      </c>
      <c r="C43" s="282">
        <f ca="1">ROUND(IF('数据-取费表'!B22&lt;=1,C39*F22*'数据-取费表'!B21/2,C39*(POWER((1+F22),'数据-取费表'!B21/2)-1)),0)</f>
        <v>6</v>
      </c>
      <c r="D43" s="282"/>
      <c r="E43" s="282"/>
      <c r="F43" s="283"/>
      <c r="G43" s="3154"/>
    </row>
    <row r="44" spans="1:7" ht="13.5" customHeight="1">
      <c r="A44" s="951" t="s">
        <v>793</v>
      </c>
      <c r="B44" s="259" t="s">
        <v>2412</v>
      </c>
      <c r="C44" s="282">
        <f ca="1">ROUND(IF('数据-取费表'!B22&lt;=1,C40*F22*'数据-取费表'!B21/2,C40*(POWER((1+F22),'数据-取费表'!B21/2)-1)),4)</f>
        <v>1E-3</v>
      </c>
      <c r="D44" s="282"/>
      <c r="E44" s="282"/>
      <c r="F44" s="283"/>
      <c r="G44" s="3155"/>
    </row>
    <row r="45" spans="1:7" s="258" customFormat="1" ht="13.5" customHeight="1">
      <c r="A45" s="299" t="s">
        <v>2413</v>
      </c>
      <c r="B45" s="288" t="s">
        <v>2379</v>
      </c>
      <c r="C45" s="289">
        <f ca="1">C46</f>
        <v>989</v>
      </c>
      <c r="D45" s="279">
        <f ca="1">C47</f>
        <v>3.0000000000000001E-3</v>
      </c>
      <c r="E45" s="280" t="s">
        <v>2405</v>
      </c>
      <c r="F45" s="290"/>
      <c r="G45" s="291" t="s">
        <v>2414</v>
      </c>
    </row>
    <row r="46" spans="1:7" s="258" customFormat="1" ht="13.5" customHeight="1">
      <c r="A46" s="951" t="s">
        <v>791</v>
      </c>
      <c r="B46" s="292" t="s">
        <v>2415</v>
      </c>
      <c r="C46" s="293">
        <f ca="1">ROUND((C33+C39)*F27,0)</f>
        <v>989</v>
      </c>
      <c r="D46" s="307"/>
      <c r="E46" s="280"/>
      <c r="F46" s="290"/>
      <c r="G46" s="291"/>
    </row>
    <row r="47" spans="1:7" s="258" customFormat="1" ht="13.5" customHeight="1">
      <c r="A47" s="951" t="s">
        <v>792</v>
      </c>
      <c r="B47" s="292" t="s">
        <v>2416</v>
      </c>
      <c r="C47" s="282">
        <f ca="1">ROUND(C40*F27,4)</f>
        <v>3.0000000000000001E-3</v>
      </c>
      <c r="D47" s="307"/>
      <c r="E47" s="280"/>
      <c r="F47" s="290"/>
      <c r="G47" s="291"/>
    </row>
    <row r="48" spans="1:7" s="258" customFormat="1" ht="13.5" customHeight="1">
      <c r="A48" s="299" t="s">
        <v>2378</v>
      </c>
      <c r="B48" s="254" t="s">
        <v>2417</v>
      </c>
      <c r="C48" s="1728">
        <f>ROUND(F30/(1+'数据-取费表'!C42),4)</f>
        <v>5.2400000000000002E-2</v>
      </c>
      <c r="D48" s="280" t="s">
        <v>2405</v>
      </c>
      <c r="E48" s="276"/>
      <c r="F48" s="281"/>
      <c r="G48" s="278" t="s">
        <v>2418</v>
      </c>
    </row>
    <row r="49" spans="1:7" ht="16.5" customHeight="1">
      <c r="A49" s="299" t="s">
        <v>2384</v>
      </c>
      <c r="B49" s="254" t="s">
        <v>2419</v>
      </c>
      <c r="C49" s="276">
        <f ca="1">ROUND((C33+C39+C41+C45)/(1-C40-D41-D45-C48),0)</f>
        <v>8547</v>
      </c>
      <c r="D49" s="276"/>
      <c r="E49" s="276"/>
      <c r="F49" s="308"/>
      <c r="G49" s="278" t="s">
        <v>2420</v>
      </c>
    </row>
    <row r="50" spans="1:7" s="302" customFormat="1" ht="24">
      <c r="A50" s="299" t="s">
        <v>2421</v>
      </c>
      <c r="B50" s="254" t="s">
        <v>2422</v>
      </c>
      <c r="C50" s="276"/>
      <c r="D50" s="276"/>
      <c r="E50" s="276"/>
      <c r="F50" s="308">
        <f>IF('数据-取费表'!B24=0,'数据-取费表'!N16,1)</f>
        <v>0.8</v>
      </c>
      <c r="G50" s="291" t="s">
        <v>2423</v>
      </c>
    </row>
    <row r="51" spans="1:7" ht="16.5" customHeight="1">
      <c r="A51" s="299" t="s">
        <v>2424</v>
      </c>
      <c r="B51" s="254" t="s">
        <v>2425</v>
      </c>
      <c r="C51" s="276">
        <f ca="1">ROUND(C49*F50,0)</f>
        <v>6838</v>
      </c>
      <c r="D51" s="276"/>
      <c r="E51" s="276"/>
      <c r="F51" s="308"/>
      <c r="G51" s="278" t="s">
        <v>2426</v>
      </c>
    </row>
    <row r="52" spans="1:7" s="252" customFormat="1" ht="16.5" thickBot="1">
      <c r="A52" s="309" t="s">
        <v>2427</v>
      </c>
      <c r="B52" s="310"/>
      <c r="C52" s="311">
        <f ca="1">C31+C51</f>
        <v>45029</v>
      </c>
      <c r="D52" s="310"/>
      <c r="E52" s="310"/>
      <c r="F52" s="310"/>
      <c r="G52" s="312"/>
    </row>
    <row r="55" spans="1:7" ht="15">
      <c r="B55" s="314" t="s">
        <v>2428</v>
      </c>
      <c r="C55" s="315"/>
    </row>
    <row r="56" spans="1:7">
      <c r="B56" s="317" t="s">
        <v>1509</v>
      </c>
      <c r="C56" s="319">
        <f ca="1">1-C57</f>
        <v>0.84799999999999998</v>
      </c>
    </row>
    <row r="57" spans="1:7">
      <c r="B57" s="317" t="s">
        <v>1510</v>
      </c>
      <c r="C57" s="318">
        <f ca="1">ROUND(C51/C52,3)</f>
        <v>0.152</v>
      </c>
    </row>
  </sheetData>
  <sheetProtection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1" sqref="F21"/>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4" t="s">
        <v>2524</v>
      </c>
      <c r="B1" s="2565"/>
      <c r="C1" s="2565"/>
      <c r="D1" s="2565"/>
      <c r="E1" s="2566"/>
    </row>
    <row r="2" spans="1:6" ht="15.75">
      <c r="A2" s="2567" t="s">
        <v>2328</v>
      </c>
      <c r="B2" s="2568">
        <f ca="1">SUMIF(B6:B13,"&lt;&gt;#ref!",B6:B13)</f>
        <v>33085</v>
      </c>
      <c r="C2" s="2569" t="s">
        <v>2517</v>
      </c>
      <c r="D2" s="2570" t="s">
        <v>2518</v>
      </c>
      <c r="E2" s="2571">
        <f>SUM(E6:E13)</f>
        <v>26356.13</v>
      </c>
    </row>
    <row r="3" spans="1:6" ht="15.75">
      <c r="A3" s="2567" t="s">
        <v>1391</v>
      </c>
      <c r="B3" s="2568">
        <f ca="1">ROUND(B2*10000/E2,0)</f>
        <v>12553</v>
      </c>
      <c r="C3" s="2569" t="s">
        <v>2525</v>
      </c>
      <c r="D3" s="2572"/>
      <c r="E3" s="2573"/>
    </row>
    <row r="4" spans="1:6" ht="15.75">
      <c r="A4" s="2574"/>
      <c r="B4" s="2572"/>
      <c r="C4" s="2572"/>
      <c r="D4" s="2572"/>
      <c r="E4" s="2573"/>
    </row>
    <row r="5" spans="1:6" ht="15">
      <c r="A5" s="2575" t="s">
        <v>2519</v>
      </c>
      <c r="B5" s="3156" t="s">
        <v>2520</v>
      </c>
      <c r="C5" s="3156"/>
      <c r="D5" s="2576"/>
      <c r="E5" s="2577" t="s">
        <v>2521</v>
      </c>
      <c r="F5" s="2578" t="s">
        <v>2522</v>
      </c>
    </row>
    <row r="6" spans="1:6">
      <c r="A6" s="2579" t="str">
        <f>'数据-取费表'!AN6</f>
        <v>收益法-办公</v>
      </c>
      <c r="B6" s="2578">
        <f ca="1">IF(F6="是",'数据-取费表'!AO6,0)</f>
        <v>29119</v>
      </c>
      <c r="C6" s="2569" t="s">
        <v>2517</v>
      </c>
      <c r="D6" s="2572"/>
      <c r="E6" s="2580">
        <f>IF(OR(A6=0,F6="否"),0,'数据-取费表'!K6+'数据-取费表'!S6)</f>
        <v>22772.83</v>
      </c>
      <c r="F6" s="2581" t="s">
        <v>2523</v>
      </c>
    </row>
    <row r="7" spans="1:6">
      <c r="A7" s="2579" t="str">
        <f>'数据-取费表'!AN7</f>
        <v>收益法-商业</v>
      </c>
      <c r="B7" s="2578">
        <f ca="1">IF(F7="是",'数据-取费表'!AO7,0)</f>
        <v>3830</v>
      </c>
      <c r="C7" s="2569" t="s">
        <v>2517</v>
      </c>
      <c r="D7" s="2572"/>
      <c r="E7" s="2580">
        <f>IF(OR(A7=0,F7="否"),0,'数据-取费表'!K7+'数据-取费表'!S7)</f>
        <v>2833.13</v>
      </c>
      <c r="F7" s="2581" t="s">
        <v>2523</v>
      </c>
    </row>
    <row r="8" spans="1:6">
      <c r="A8" s="2579" t="str">
        <f>'数据-取费表'!AN8</f>
        <v>收益法-仓储</v>
      </c>
      <c r="B8" s="2578">
        <f ca="1">IF(F8="是",'数据-取费表'!AO8,0)</f>
        <v>136</v>
      </c>
      <c r="C8" s="2569" t="s">
        <v>2517</v>
      </c>
      <c r="D8" s="2572"/>
      <c r="E8" s="2580">
        <f>IF(OR(A8=0,F8="否"),0,'数据-取费表'!K8+'数据-取费表'!S8)</f>
        <v>750.17</v>
      </c>
      <c r="F8" s="2581" t="s">
        <v>2523</v>
      </c>
    </row>
    <row r="9" spans="1:6">
      <c r="A9" s="2579">
        <f>'数据-取费表'!AN9</f>
        <v>0</v>
      </c>
      <c r="B9" s="2578" t="e">
        <f ca="1">IF(F9="是",'数据-取费表'!AO9,0)</f>
        <v>#REF!</v>
      </c>
      <c r="C9" s="2569" t="s">
        <v>2517</v>
      </c>
      <c r="D9" s="2572"/>
      <c r="E9" s="2580">
        <f>IF(OR(A9=0,F9="否"),0,'数据-取费表'!K9+'数据-取费表'!S9)</f>
        <v>0</v>
      </c>
      <c r="F9" s="2581" t="s">
        <v>2523</v>
      </c>
    </row>
    <row r="10" spans="1:6">
      <c r="A10" s="2579">
        <f>'数据-取费表'!AN10</f>
        <v>0</v>
      </c>
      <c r="B10" s="2578" t="e">
        <f ca="1">IF(F10="是",'数据-取费表'!AO10,0)</f>
        <v>#REF!</v>
      </c>
      <c r="C10" s="2569" t="s">
        <v>2517</v>
      </c>
      <c r="D10" s="2572"/>
      <c r="E10" s="2580">
        <f>IF(OR(A10=0,F10="否"),0,'数据-取费表'!K10+'数据-取费表'!S10)</f>
        <v>0</v>
      </c>
      <c r="F10" s="2581" t="s">
        <v>2523</v>
      </c>
    </row>
    <row r="11" spans="1:6">
      <c r="A11" s="2579">
        <f>'数据-取费表'!AN11</f>
        <v>0</v>
      </c>
      <c r="B11" s="2578" t="e">
        <f ca="1">IF(F11="是",'数据-取费表'!AO11,0)</f>
        <v>#REF!</v>
      </c>
      <c r="C11" s="2569" t="s">
        <v>2517</v>
      </c>
      <c r="D11" s="2572"/>
      <c r="E11" s="2580">
        <f>IF(OR(A11=0,F11="否"),0,'数据-取费表'!K11+'数据-取费表'!S11)</f>
        <v>0</v>
      </c>
      <c r="F11" s="2581" t="s">
        <v>2523</v>
      </c>
    </row>
    <row r="12" spans="1:6">
      <c r="A12" s="2579">
        <f>'数据-取费表'!AN12</f>
        <v>0</v>
      </c>
      <c r="B12" s="2578" t="e">
        <f ca="1">IF(F12="是",'数据-取费表'!AO12,0)</f>
        <v>#REF!</v>
      </c>
      <c r="C12" s="2569" t="s">
        <v>2517</v>
      </c>
      <c r="D12" s="2572"/>
      <c r="E12" s="2580">
        <f>IF(OR(A12=0,F12="否"),0,'数据-取费表'!K12+'数据-取费表'!S12)</f>
        <v>0</v>
      </c>
      <c r="F12" s="2581" t="s">
        <v>2523</v>
      </c>
    </row>
    <row r="13" spans="1:6" ht="15" thickBot="1">
      <c r="A13" s="2582">
        <f>'数据-取费表'!AN13</f>
        <v>0</v>
      </c>
      <c r="B13" s="2578" t="e">
        <f ca="1">IF(F13="是",'数据-取费表'!AO13,0)</f>
        <v>#REF!</v>
      </c>
      <c r="C13" s="2583" t="s">
        <v>2517</v>
      </c>
      <c r="D13" s="2584"/>
      <c r="E13" s="2580">
        <f>IF(OR(A13=0,F13="否"),0,'数据-取费表'!K13+'数据-取费表'!S13)</f>
        <v>0</v>
      </c>
      <c r="F13" s="258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0" sqref="E20"/>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4" t="s">
        <v>3000</v>
      </c>
    </row>
    <row r="2" spans="1:5" ht="15.75">
      <c r="A2" s="2913" t="s">
        <v>2993</v>
      </c>
      <c r="B2" s="2914">
        <f ca="1">SUMIF(B6:B13,"&lt;&gt;#ref!",B6:B13)</f>
        <v>26415</v>
      </c>
      <c r="C2" s="2913" t="s">
        <v>2994</v>
      </c>
      <c r="D2" s="2913" t="s">
        <v>2995</v>
      </c>
      <c r="E2" s="2914">
        <f ca="1">SUMIF(E6:E13,"&lt;&gt;#ref!",E6:E13)</f>
        <v>21677.71</v>
      </c>
    </row>
    <row r="3" spans="1:5" ht="15.75">
      <c r="A3" s="2913" t="s">
        <v>2996</v>
      </c>
      <c r="B3" s="2914">
        <f ca="1">ROUND(B2*10000/E2,0)</f>
        <v>12185</v>
      </c>
      <c r="C3" s="2913" t="s">
        <v>3001</v>
      </c>
      <c r="D3" s="2915"/>
      <c r="E3" s="2915"/>
    </row>
    <row r="4" spans="1:5" ht="15.75">
      <c r="A4" s="2916"/>
      <c r="B4" s="2915"/>
      <c r="C4" s="2915"/>
      <c r="D4" s="2915"/>
      <c r="E4" s="2915"/>
    </row>
    <row r="5" spans="1:5" ht="28.5">
      <c r="A5" s="2917" t="s">
        <v>2997</v>
      </c>
      <c r="B5" s="2913" t="s">
        <v>2998</v>
      </c>
      <c r="C5" s="2914"/>
      <c r="D5" s="2915"/>
      <c r="E5" s="2913" t="s">
        <v>2999</v>
      </c>
    </row>
    <row r="6" spans="1:5" ht="15.75">
      <c r="A6" s="2918" t="s">
        <v>3082</v>
      </c>
      <c r="B6" s="2914">
        <f ca="1">SUMIF(INDIRECT("'"&amp;A6&amp;"'"&amp;"!A:A"),"总价",INDIRECT("'"&amp;A6&amp;"'"&amp;"!B:B"))</f>
        <v>21189</v>
      </c>
      <c r="C6" s="2913" t="s">
        <v>2994</v>
      </c>
      <c r="D6" s="2915"/>
      <c r="E6" s="2578">
        <f ca="1">SUMIF(INDIRECT("'"&amp;A6&amp;"'"&amp;"!C:C"),"建筑面积",INDIRECT("'"&amp;A6&amp;"'"&amp;"!D:D"))</f>
        <v>19347.48</v>
      </c>
    </row>
    <row r="7" spans="1:5" ht="15.75">
      <c r="A7" s="2918" t="s">
        <v>3084</v>
      </c>
      <c r="B7" s="2914">
        <f ca="1">SUMIF(INDIRECT("'"&amp;A7&amp;"'"&amp;"!A:A"),"总价",INDIRECT("'"&amp;A7&amp;"'"&amp;"!B:B"))</f>
        <v>5226</v>
      </c>
      <c r="C7" s="2913" t="s">
        <v>2994</v>
      </c>
      <c r="D7" s="2915"/>
      <c r="E7" s="2578">
        <f t="shared" ref="E7:E13" ca="1" si="0">SUMIF(INDIRECT("'"&amp;A7&amp;"'"&amp;"!C:C"),"建筑面积",INDIRECT("'"&amp;A7&amp;"'"&amp;"!D:D"))</f>
        <v>2330.23</v>
      </c>
    </row>
    <row r="8" spans="1:5" ht="15.75">
      <c r="A8" s="2918"/>
      <c r="B8" s="2914" t="e">
        <f t="shared" ref="B8:B13" ca="1" si="1">SUMIF(INDIRECT("'"&amp;A8&amp;"'"&amp;"!A:A"),"总价",INDIRECT("'"&amp;A8&amp;"'"&amp;"!B:B"))</f>
        <v>#REF!</v>
      </c>
      <c r="C8" s="2913" t="s">
        <v>2994</v>
      </c>
      <c r="D8" s="2915"/>
      <c r="E8" s="2578" t="e">
        <f t="shared" ca="1" si="0"/>
        <v>#REF!</v>
      </c>
    </row>
    <row r="9" spans="1:5" ht="15.75">
      <c r="A9" s="2918"/>
      <c r="B9" s="2914" t="e">
        <f t="shared" ca="1" si="1"/>
        <v>#REF!</v>
      </c>
      <c r="C9" s="2913" t="s">
        <v>2994</v>
      </c>
      <c r="D9" s="2915"/>
      <c r="E9" s="2578" t="e">
        <f t="shared" ca="1" si="0"/>
        <v>#REF!</v>
      </c>
    </row>
    <row r="10" spans="1:5" ht="15.75">
      <c r="A10" s="2918"/>
      <c r="B10" s="2914" t="e">
        <f t="shared" ca="1" si="1"/>
        <v>#REF!</v>
      </c>
      <c r="C10" s="2913" t="s">
        <v>2994</v>
      </c>
      <c r="D10" s="2915"/>
      <c r="E10" s="2578" t="e">
        <f t="shared" ca="1" si="0"/>
        <v>#REF!</v>
      </c>
    </row>
    <row r="11" spans="1:5" ht="15.75">
      <c r="A11" s="2918"/>
      <c r="B11" s="2914" t="e">
        <f t="shared" ca="1" si="1"/>
        <v>#REF!</v>
      </c>
      <c r="C11" s="2913" t="s">
        <v>2994</v>
      </c>
      <c r="D11" s="2915"/>
      <c r="E11" s="2578" t="e">
        <f t="shared" ca="1" si="0"/>
        <v>#REF!</v>
      </c>
    </row>
    <row r="12" spans="1:5" ht="15.75">
      <c r="A12" s="2918"/>
      <c r="B12" s="2914" t="e">
        <f t="shared" ca="1" si="1"/>
        <v>#REF!</v>
      </c>
      <c r="C12" s="2913" t="s">
        <v>2994</v>
      </c>
      <c r="D12" s="2915"/>
      <c r="E12" s="2578" t="e">
        <f t="shared" ca="1" si="0"/>
        <v>#REF!</v>
      </c>
    </row>
    <row r="13" spans="1:5" ht="15.75">
      <c r="A13" s="2918"/>
      <c r="B13" s="2914" t="e">
        <f t="shared" ca="1" si="1"/>
        <v>#REF!</v>
      </c>
      <c r="C13" s="2913" t="s">
        <v>2994</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7"/>
      <c r="C1" s="2556" t="s">
        <v>2429</v>
      </c>
      <c r="D1" s="242"/>
      <c r="E1" s="242"/>
      <c r="F1" s="242"/>
      <c r="G1" s="1379">
        <f>MATCH(B1,'数据-取费表'!A6:A16,0)+5</f>
        <v>9</v>
      </c>
      <c r="H1" s="1282" t="str">
        <f>IF(ISERROR(FIND("住宅",B1)),"非住宅","住宅")</f>
        <v>非住宅</v>
      </c>
    </row>
    <row r="2" spans="1:8" s="244" customFormat="1" ht="18" customHeight="1">
      <c r="A2" s="245" t="s">
        <v>2328</v>
      </c>
      <c r="B2" s="246">
        <f ca="1">ROUND(IF(D2="——",C52/10000,C52/10000-E2),0)</f>
        <v>7563</v>
      </c>
      <c r="C2" s="243" t="s">
        <v>2329</v>
      </c>
      <c r="D2" s="2550" t="s">
        <v>70</v>
      </c>
      <c r="E2" s="1440" t="e">
        <f ca="1">SUMIF(INDIRECT("'"&amp;G2&amp;"'"&amp;"!A:A"),"承租人权益价值",INDIRECT("'"&amp;G2&amp;"'"&amp;"!c:c"))</f>
        <v>#REF!</v>
      </c>
      <c r="F2" s="2551" t="s">
        <v>2329</v>
      </c>
      <c r="G2" s="2552"/>
    </row>
    <row r="3" spans="1:8" s="244" customFormat="1" ht="18" customHeight="1" thickBot="1">
      <c r="A3" s="247" t="s">
        <v>2330</v>
      </c>
      <c r="B3" s="248">
        <f ca="1">ROUND(B2*10000/(IF(B1="",'数据-汇总表'!E3,INDIRECT("'数据-取费表'!k"&amp;$G$1))),0)</f>
        <v>2870</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5271228</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'数据-取费表'!B48+'数据-取费表'!B49</f>
        <v>3.0499999999999999E-2</v>
      </c>
      <c r="G7" s="263"/>
    </row>
    <row r="8" spans="1:8" s="267" customFormat="1">
      <c r="A8" s="949" t="s">
        <v>2342</v>
      </c>
      <c r="B8" s="259" t="s">
        <v>2343</v>
      </c>
      <c r="C8" s="264">
        <f ca="1">IF(G8="已包含在土地购买价格中",0,C9+C10)</f>
        <v>5271228</v>
      </c>
      <c r="D8" s="266"/>
      <c r="E8" s="264"/>
      <c r="F8" s="265"/>
      <c r="G8" s="2553"/>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2346</v>
      </c>
      <c r="C10" s="269">
        <f ca="1">ROUND(D10*E10,0)</f>
        <v>5271228</v>
      </c>
      <c r="D10" s="1032">
        <f ca="1">IF(B1="",'数据-汇总表'!E6,IF(INDIRECT("'数据-取费表'!c"&amp;$G$1)="住宅",INDIRECT("'数据-取费表'!s"&amp;$G$1),INDIRECT("'数据-取费表'!k"&amp;$G$1)+INDIRECT("'数据-取费表'!s"&amp;$G$1)))</f>
        <v>26356.14</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0</v>
      </c>
      <c r="D19" s="1036">
        <f ca="1">D9+D10</f>
        <v>26356.14</v>
      </c>
      <c r="E19" s="255">
        <f>'数据-取费表'!B31</f>
        <v>0</v>
      </c>
      <c r="F19" s="275"/>
      <c r="G19" s="2553"/>
    </row>
    <row r="20" spans="1:7" s="258" customFormat="1" ht="13.5" customHeight="1">
      <c r="A20" s="299" t="s">
        <v>2440</v>
      </c>
      <c r="B20" s="254" t="s">
        <v>2441</v>
      </c>
      <c r="C20" s="276">
        <f ca="1">ROUND((C5+C19)*F20,0)</f>
        <v>105425</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517668</v>
      </c>
      <c r="D22" s="279">
        <f ca="1">C26</f>
        <v>1E-3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512660</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0</v>
      </c>
      <c r="D24" s="282"/>
      <c r="E24" s="282"/>
      <c r="F24" s="283"/>
      <c r="G24" s="284" t="s">
        <v>2452</v>
      </c>
    </row>
    <row r="25" spans="1:7" s="258" customFormat="1" ht="24">
      <c r="A25" s="951" t="s">
        <v>2342</v>
      </c>
      <c r="B25" s="259" t="s">
        <v>2453</v>
      </c>
      <c r="C25" s="1381">
        <f ca="1">ROUND(IF('数据-取费表'!B22&lt;=1,C20*F22*'数据-取费表'!B22/2,C20*(POWER((1+F22),'数据-取费表'!B22/2)-1)),0)</f>
        <v>5008</v>
      </c>
      <c r="D25" s="282"/>
      <c r="E25" s="285"/>
      <c r="F25" s="283"/>
      <c r="G25" s="286" t="s">
        <v>2454</v>
      </c>
    </row>
    <row r="26" spans="1:7" s="258" customFormat="1">
      <c r="A26" s="951" t="s">
        <v>795</v>
      </c>
      <c r="B26" s="259" t="s">
        <v>2377</v>
      </c>
      <c r="C26" s="282">
        <f ca="1">ROUND(IF('数据-取费表'!B22&lt;=1,F21*F22*'数据-取费表'!B22/2,F21*(POWER((1+F22),'数据-取费表'!B22/2)-1)),4)</f>
        <v>1E-3</v>
      </c>
      <c r="D26" s="282"/>
      <c r="E26" s="285"/>
      <c r="F26" s="283"/>
      <c r="G26" s="287"/>
    </row>
    <row r="27" spans="1:7" s="258" customFormat="1" ht="24.75">
      <c r="A27" s="299" t="s">
        <v>2378</v>
      </c>
      <c r="B27" s="288" t="s">
        <v>2379</v>
      </c>
      <c r="C27" s="289">
        <f ca="1">C28</f>
        <v>806498</v>
      </c>
      <c r="D27" s="279">
        <f ca="1">C29</f>
        <v>3.0000000000000001E-3</v>
      </c>
      <c r="E27" s="280" t="s">
        <v>2380</v>
      </c>
      <c r="F27" s="290">
        <f ca="1">IF(B1="",'数据-取费表'!Q16,INDIRECT("'数据-取费表'!q"&amp;$G$1))</f>
        <v>0.15</v>
      </c>
      <c r="G27" s="291" t="s">
        <v>2381</v>
      </c>
    </row>
    <row r="28" spans="1:7" s="258" customFormat="1" ht="13.5" customHeight="1">
      <c r="A28" s="951" t="s">
        <v>791</v>
      </c>
      <c r="B28" s="292" t="s">
        <v>2382</v>
      </c>
      <c r="C28" s="293">
        <f ca="1">ROUND((C5+C19+C20)*F27,0)</f>
        <v>806498</v>
      </c>
      <c r="D28" s="279"/>
      <c r="E28" s="280"/>
      <c r="F28" s="290"/>
      <c r="G28" s="291"/>
    </row>
    <row r="29" spans="1:7" s="258" customFormat="1" ht="13.5" customHeight="1">
      <c r="A29" s="951" t="s">
        <v>792</v>
      </c>
      <c r="B29" s="292" t="s">
        <v>2383</v>
      </c>
      <c r="C29" s="282">
        <f ca="1">ROUND(C21*F27,4)</f>
        <v>3.0000000000000001E-3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7255109</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64628292</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56801018</v>
      </c>
      <c r="D34" s="261"/>
      <c r="E34" s="264"/>
      <c r="F34" s="301"/>
      <c r="G34" s="263"/>
    </row>
    <row r="35" spans="1:7" ht="13.5" customHeight="1">
      <c r="A35" s="951" t="s">
        <v>796</v>
      </c>
      <c r="B35" s="259" t="s">
        <v>2393</v>
      </c>
      <c r="C35" s="264">
        <f ca="1">ROUND(C34*F35,0)</f>
        <v>1704031</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1" t="s">
        <v>798</v>
      </c>
      <c r="B37" s="259" t="s">
        <v>2397</v>
      </c>
      <c r="C37" s="293">
        <f ca="1">ROUND(E37*D37,0)</f>
        <v>5271228</v>
      </c>
      <c r="D37" s="261">
        <f ca="1">D19</f>
        <v>26356.14</v>
      </c>
      <c r="E37" s="293">
        <f>'数据-取费表'!B35</f>
        <v>200</v>
      </c>
      <c r="F37" s="303"/>
      <c r="G37" s="305"/>
    </row>
    <row r="38" spans="1:7" ht="13.5" customHeight="1">
      <c r="A38" s="951" t="s">
        <v>799</v>
      </c>
      <c r="B38" s="259" t="s">
        <v>2399</v>
      </c>
      <c r="C38" s="264">
        <f ca="1">ROUND(C34*F38,0)</f>
        <v>852015</v>
      </c>
      <c r="D38" s="264"/>
      <c r="E38" s="264"/>
      <c r="F38" s="303">
        <f>'数据-取费表'!B36</f>
        <v>1.4999999999999999E-2</v>
      </c>
      <c r="G38" s="263" t="s">
        <v>2394</v>
      </c>
    </row>
    <row r="39" spans="1:7" s="258" customFormat="1" ht="13.5" customHeight="1">
      <c r="A39" s="299" t="s">
        <v>2400</v>
      </c>
      <c r="B39" s="254" t="s">
        <v>2401</v>
      </c>
      <c r="C39" s="276">
        <f ca="1">ROUND(C33*F20,0)</f>
        <v>1292566</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3131241</v>
      </c>
      <c r="D41" s="279">
        <f ca="1">C44</f>
        <v>1E-3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3069844</v>
      </c>
      <c r="D42" s="282"/>
      <c r="E42" s="282"/>
      <c r="F42" s="283"/>
      <c r="G42" s="3153" t="s">
        <v>2457</v>
      </c>
    </row>
    <row r="43" spans="1:7" ht="13.5" customHeight="1">
      <c r="A43" s="951" t="s">
        <v>792</v>
      </c>
      <c r="B43" s="259" t="s">
        <v>2411</v>
      </c>
      <c r="C43" s="282">
        <f ca="1">ROUND(IF('数据-取费表'!B22&lt;=1,C39*F22*'数据-取费表'!B20/2,C39*(POWER((1+F22),'数据-取费表'!B20/2)-1)),0)</f>
        <v>61397</v>
      </c>
      <c r="D43" s="282"/>
      <c r="E43" s="282"/>
      <c r="F43" s="283"/>
      <c r="G43" s="3154"/>
    </row>
    <row r="44" spans="1:7" ht="13.5" customHeight="1">
      <c r="A44" s="951" t="s">
        <v>793</v>
      </c>
      <c r="B44" s="259" t="s">
        <v>2412</v>
      </c>
      <c r="C44" s="282">
        <f ca="1">ROUND(IF('数据-取费表'!B22&lt;=1,C40*F22*'数据-取费表'!B20/2,C40*(POWER((1+F22),'数据-取费表'!B20/2)-1)),4)</f>
        <v>1E-3</v>
      </c>
      <c r="D44" s="282"/>
      <c r="E44" s="282"/>
      <c r="F44" s="283"/>
      <c r="G44" s="3155"/>
    </row>
    <row r="45" spans="1:7" s="258" customFormat="1" ht="13.5" customHeight="1">
      <c r="A45" s="299" t="s">
        <v>2413</v>
      </c>
      <c r="B45" s="288" t="s">
        <v>2379</v>
      </c>
      <c r="C45" s="289">
        <f ca="1">C46</f>
        <v>9888129</v>
      </c>
      <c r="D45" s="279">
        <f ca="1">C47</f>
        <v>3.0000000000000001E-3</v>
      </c>
      <c r="E45" s="280" t="s">
        <v>2405</v>
      </c>
      <c r="F45" s="290"/>
      <c r="G45" s="291" t="s">
        <v>2414</v>
      </c>
    </row>
    <row r="46" spans="1:7" s="258" customFormat="1" ht="13.5" customHeight="1">
      <c r="A46" s="951" t="s">
        <v>791</v>
      </c>
      <c r="B46" s="292" t="s">
        <v>2415</v>
      </c>
      <c r="C46" s="293">
        <f ca="1">ROUND((C33+C39)*F27,0)</f>
        <v>9888129</v>
      </c>
      <c r="D46" s="307"/>
      <c r="E46" s="280"/>
      <c r="F46" s="290"/>
      <c r="G46" s="291"/>
    </row>
    <row r="47" spans="1:7" s="258" customFormat="1" ht="13.5" customHeight="1">
      <c r="A47" s="951" t="s">
        <v>792</v>
      </c>
      <c r="B47" s="292" t="s">
        <v>2416</v>
      </c>
      <c r="C47" s="282">
        <f ca="1">ROUND(C40*F27,4)</f>
        <v>3.0000000000000001E-3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85470147</v>
      </c>
      <c r="D49" s="276"/>
      <c r="E49" s="276"/>
      <c r="F49" s="308"/>
      <c r="G49" s="278" t="s">
        <v>2420</v>
      </c>
    </row>
    <row r="50" spans="1:7" s="302" customFormat="1">
      <c r="A50" s="299" t="s">
        <v>2421</v>
      </c>
      <c r="B50" s="254" t="s">
        <v>2422</v>
      </c>
      <c r="C50" s="276"/>
      <c r="D50" s="276"/>
      <c r="E50" s="276"/>
      <c r="F50" s="308">
        <f>IF('数据-取费表'!B24=0,'数据-取费表'!N16,1)</f>
        <v>0.8</v>
      </c>
      <c r="G50" s="291"/>
    </row>
    <row r="51" spans="1:7" ht="16.5" customHeight="1">
      <c r="A51" s="299" t="s">
        <v>2424</v>
      </c>
      <c r="B51" s="254" t="s">
        <v>2459</v>
      </c>
      <c r="C51" s="276">
        <f ca="1">ROUND(C49*F50,0)</f>
        <v>68376118</v>
      </c>
      <c r="D51" s="276"/>
      <c r="E51" s="276"/>
      <c r="F51" s="308"/>
      <c r="G51" s="278" t="s">
        <v>2426</v>
      </c>
    </row>
    <row r="52" spans="1:7" s="252" customFormat="1" ht="16.5" thickBot="1">
      <c r="A52" s="309" t="s">
        <v>2427</v>
      </c>
      <c r="B52" s="310"/>
      <c r="C52" s="311">
        <f ca="1">C31+C51</f>
        <v>75631227</v>
      </c>
      <c r="D52" s="310"/>
      <c r="E52" s="310"/>
      <c r="F52" s="310"/>
      <c r="G52" s="312"/>
    </row>
    <row r="55" spans="1:7" ht="15">
      <c r="B55" s="314" t="s">
        <v>2428</v>
      </c>
      <c r="C55" s="315"/>
    </row>
    <row r="56" spans="1:7">
      <c r="B56" s="317" t="s">
        <v>1509</v>
      </c>
      <c r="C56" s="319">
        <f ca="1">1-C57</f>
        <v>9.5999999999999974E-2</v>
      </c>
    </row>
    <row r="57" spans="1:7">
      <c r="B57" s="317" t="s">
        <v>1510</v>
      </c>
      <c r="C57" s="318">
        <f ca="1">ROUND(C51/C52,3)</f>
        <v>0.90400000000000003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39" sqref="G39"/>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t="s">
        <v>27</v>
      </c>
      <c r="D1" s="1580"/>
      <c r="E1" s="320"/>
      <c r="F1" s="320"/>
      <c r="G1" s="1581"/>
      <c r="H1" s="320"/>
      <c r="I1" s="320"/>
      <c r="J1" s="320"/>
      <c r="K1" s="320">
        <f>MATCH(C1,'数据-取费表'!A6:A16,0)+5</f>
        <v>6</v>
      </c>
    </row>
    <row r="2" spans="1:33" ht="18" customHeight="1">
      <c r="A2" s="245" t="s">
        <v>2328</v>
      </c>
      <c r="B2" s="248" t="e">
        <f ca="1">C32</f>
        <v>#VALUE!</v>
      </c>
      <c r="C2" s="320" t="s">
        <v>2461</v>
      </c>
      <c r="D2" s="320"/>
      <c r="E2" s="320"/>
      <c r="F2" s="320"/>
      <c r="G2" s="320"/>
      <c r="H2" s="320"/>
      <c r="I2" s="320"/>
      <c r="J2" s="320"/>
      <c r="K2" s="320"/>
    </row>
    <row r="3" spans="1:33" ht="18" customHeight="1" thickBot="1">
      <c r="A3" s="247" t="s">
        <v>2330</v>
      </c>
      <c r="B3" s="248" t="e">
        <f ca="1">ROUND(B2*10000/IF(C1="",'数据-汇总表'!E3,INDIRECT("'数据-取费表'!K"&amp;$K$1)),0)</f>
        <v>#VALUE!</v>
      </c>
      <c r="C3" s="320" t="s">
        <v>2462</v>
      </c>
      <c r="D3" s="320"/>
      <c r="E3" s="320"/>
      <c r="F3" s="320"/>
      <c r="G3" s="320"/>
      <c r="H3" s="320"/>
      <c r="I3" s="320"/>
      <c r="J3" s="320"/>
      <c r="K3" s="320"/>
    </row>
    <row r="4" spans="1:33" s="956" customFormat="1" ht="16.5" customHeight="1">
      <c r="A4" s="953" t="s">
        <v>2463</v>
      </c>
      <c r="B4" s="954"/>
      <c r="C4" s="996">
        <f ca="1">SUM(C8:K8)</f>
        <v>29118.388662000001</v>
      </c>
      <c r="D4" s="954"/>
      <c r="E4" s="954"/>
      <c r="F4" s="954"/>
      <c r="G4" s="954"/>
      <c r="H4" s="954"/>
      <c r="I4" s="954"/>
      <c r="J4" s="954"/>
      <c r="K4" s="955"/>
    </row>
    <row r="5" spans="1:33" s="960" customFormat="1" ht="15">
      <c r="A5" s="957" t="s">
        <v>2464</v>
      </c>
      <c r="B5" s="958" t="s">
        <v>2465</v>
      </c>
      <c r="C5" s="2557" t="s">
        <v>27</v>
      </c>
      <c r="D5" s="2557" t="s">
        <v>1373</v>
      </c>
      <c r="E5" s="2557" t="s">
        <v>3061</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f ca="1">'收益法-办公'!C43</f>
        <v>15546</v>
      </c>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SUMIF('数据-汇总表'!$C19:$C33,'假设开发法-办公'!C5,'数据-汇总表'!$E19:$E33)</f>
        <v>18730.47</v>
      </c>
      <c r="D7" s="321">
        <f>SUMIF('数据-汇总表'!$C19:$C33,'假设开发法-办公'!D5,'数据-汇总表'!$E19:$E33)</f>
        <v>2330.23</v>
      </c>
      <c r="E7" s="321">
        <f>SUMIF('数据-汇总表'!$C19:$C33,'假设开发法-办公'!E5,'数据-汇总表'!$E19:$E33)</f>
        <v>617.01</v>
      </c>
      <c r="F7" s="321">
        <f>SUMIF('数据-汇总表'!$C19:$C33,'假设开发法-办公'!F5,'数据-汇总表'!$E19:$E33)</f>
        <v>0</v>
      </c>
      <c r="G7" s="321">
        <f>SUMIF('数据-汇总表'!$C19:$C33,'假设开发法-办公'!G5,'数据-汇总表'!$E19:$E33)</f>
        <v>0</v>
      </c>
      <c r="H7" s="321">
        <f>SUMIF('数据-汇总表'!$C19:$C33,'假设开发法-办公'!H5,'数据-汇总表'!$E19:$E33)</f>
        <v>0</v>
      </c>
      <c r="I7" s="321">
        <f>SUMIF('数据-汇总表'!$C19:$C33,'假设开发法-办公'!I5,'数据-汇总表'!$E19:$E33)</f>
        <v>0</v>
      </c>
      <c r="J7" s="321">
        <f>SUMIF('数据-汇总表'!$C19:$C33,'假设开发法-办公'!J5,'数据-汇总表'!$E19:$E33)</f>
        <v>0</v>
      </c>
      <c r="K7" s="322">
        <f>SUMIF('数据-汇总表'!$C19:$C33,'假设开发法-办公'!K5,'数据-汇总表'!$E19:$E33)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2469</v>
      </c>
      <c r="B8" s="177" t="s">
        <v>2470</v>
      </c>
      <c r="C8" s="997">
        <f ca="1">C6*C7/10000</f>
        <v>29118.388662000001</v>
      </c>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1330</v>
      </c>
      <c r="B11" s="972" t="s">
        <v>2478</v>
      </c>
      <c r="C11" s="323" t="e">
        <f ca="1">IF(C1="",'数据-取费表'!P16,INDIRECT("'数据-取费表'!p"&amp;$K$1)+INDIRECT("'数据-取费表'!ar"&amp;$K$1))</f>
        <v>#VALUE!</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2479</v>
      </c>
      <c r="C12" s="24" t="e">
        <f ca="1">ROUND(C11*F12,0)</f>
        <v>#VALUE!</v>
      </c>
      <c r="D12" s="973"/>
      <c r="E12" s="375"/>
      <c r="F12" s="976">
        <f>'数据-取费表'!B33</f>
        <v>0.03</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0</v>
      </c>
      <c r="D13" s="1033"/>
      <c r="E13" s="375"/>
      <c r="F13" s="976">
        <f>'数据-取费表'!B34</f>
        <v>0</v>
      </c>
      <c r="G13" s="8" t="s">
        <v>2482</v>
      </c>
      <c r="H13" s="968"/>
      <c r="I13" s="968"/>
      <c r="J13" s="968"/>
      <c r="K13" s="969"/>
    </row>
    <row r="14" spans="1:33" s="977" customFormat="1" ht="13.5" customHeight="1">
      <c r="A14" s="971" t="s">
        <v>1333</v>
      </c>
      <c r="B14" s="972" t="s">
        <v>2483</v>
      </c>
      <c r="C14" s="24">
        <f ca="1">ROUND(D14*E14*F11/10000,0)</f>
        <v>0</v>
      </c>
      <c r="D14" s="1033">
        <f ca="1">IF(C1="",'数据-汇总表'!E3,INDIRECT("'数据-取费表'!K"&amp;$K$1)+INDIRECT("'数据-取费表'!S"&amp;$K$1))</f>
        <v>22772.83</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t="e">
        <f ca="1">ROUND(C11*F15,0)</f>
        <v>#VALUE!</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t="e">
        <f ca="1">SUM(C11:C15)</f>
        <v>#VALUE!</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22772.83</v>
      </c>
      <c r="E17" s="24">
        <f>'数据-取费表'!B32</f>
        <v>0</v>
      </c>
      <c r="F17" s="978"/>
      <c r="G17" s="140" t="s">
        <v>2489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455</v>
      </c>
      <c r="D18" s="1033"/>
      <c r="E18" s="24"/>
      <c r="F18" s="976"/>
      <c r="G18" s="2559"/>
      <c r="H18" s="1577"/>
      <c r="I18" s="2560"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2493</v>
      </c>
      <c r="C20" s="24">
        <f ca="1">ROUND(D20*E20/10000,0)</f>
        <v>455</v>
      </c>
      <c r="D20" s="1033">
        <f ca="1">IF(C1="",'数据-汇总表'!E6,IF(INDIRECT("'数据-取费表'!c"&amp;$K$1)="住宅",INDIRECT("'数据-取费表'!s"&amp;$K$1),INDIRECT("'数据-取费表'!k"&amp;$K$1)+INDIRECT("'数据-取费表'!s"&amp;$K$1)))</f>
        <v>22772.83</v>
      </c>
      <c r="E20" s="24">
        <f>'数据-取费表'!B28</f>
        <v>200</v>
      </c>
      <c r="F20" s="976"/>
      <c r="G20" s="15"/>
      <c r="H20" s="981"/>
      <c r="I20" s="981"/>
      <c r="J20" s="981"/>
      <c r="K20" s="982"/>
    </row>
    <row r="21" spans="1:33" s="975" customFormat="1" ht="13.5" customHeight="1">
      <c r="A21" s="961" t="s">
        <v>802</v>
      </c>
      <c r="B21" s="985" t="s">
        <v>2494</v>
      </c>
      <c r="C21" s="986" t="e">
        <f ca="1">C16+C17+C18</f>
        <v>#VALUE!</v>
      </c>
      <c r="D21" s="987"/>
      <c r="E21" s="325"/>
      <c r="F21" s="325"/>
      <c r="G21" s="140" t="s">
        <v>2495</v>
      </c>
      <c r="H21" s="979"/>
      <c r="I21" s="979"/>
      <c r="J21" s="979"/>
      <c r="K21" s="980"/>
    </row>
    <row r="22" spans="1:33" s="975" customFormat="1" ht="13.5" customHeight="1">
      <c r="A22" s="961" t="s">
        <v>2467</v>
      </c>
      <c r="B22" s="985" t="s">
        <v>2496</v>
      </c>
      <c r="C22" s="986" t="e">
        <f ca="1">ROUND(C21*F22,0)</f>
        <v>#VALUE!</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0</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'数据-取费表'!B48+'数据-取费表'!B49</f>
        <v>3.0499999999999999E-2</v>
      </c>
      <c r="G24" s="8" t="s">
        <v>2502</v>
      </c>
      <c r="H24" s="990"/>
      <c r="I24" s="990"/>
      <c r="J24" s="990"/>
      <c r="K24" s="991"/>
    </row>
    <row r="25" spans="1:33" s="975" customFormat="1" ht="13.5" customHeight="1">
      <c r="A25" s="961" t="s">
        <v>2503</v>
      </c>
      <c r="B25" s="987" t="s">
        <v>2504</v>
      </c>
      <c r="C25" s="1356" t="e">
        <f ca="1">C27</f>
        <v>#VALUE!</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t="e">
        <f ca="1">ROUND(IF('数据-取费表'!B22&lt;=1,(C21+C22+C23)*F25*'数据-取费表'!B24/2,(C21+C22+C23)*(POWER((1+F25),'数据-取费表'!B24/2)-1)),0)</f>
        <v>#VALUE!</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2507</v>
      </c>
      <c r="B28" s="2562" t="s">
        <v>2508</v>
      </c>
      <c r="C28" s="331" t="e">
        <f ca="1">C30</f>
        <v>#VALUE!</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2509</v>
      </c>
      <c r="C29" s="328">
        <f ca="1">ROUND((1+C24)*F28*'数据-取费表'!B24/'数据-取费表'!B20,4)</f>
        <v>0</v>
      </c>
      <c r="D29" s="328"/>
      <c r="E29" s="329"/>
      <c r="F29" s="334"/>
      <c r="G29" s="140" t="s">
        <v>2510</v>
      </c>
      <c r="H29" s="979"/>
      <c r="I29" s="979"/>
      <c r="J29" s="979"/>
      <c r="K29" s="980"/>
    </row>
    <row r="30" spans="1:33" s="335" customFormat="1" ht="13.5" customHeight="1">
      <c r="A30" s="971" t="s">
        <v>804</v>
      </c>
      <c r="B30" s="994" t="s">
        <v>2511</v>
      </c>
      <c r="C30" s="336" t="e">
        <f ca="1">ROUND((C21+C22+C23)*F28,0)</f>
        <v>#VALUE!</v>
      </c>
      <c r="D30" s="328"/>
      <c r="E30" s="329"/>
      <c r="F30" s="334"/>
      <c r="G30" s="140"/>
      <c r="H30" s="979"/>
      <c r="I30" s="979"/>
      <c r="J30" s="979"/>
      <c r="K30" s="980"/>
    </row>
    <row r="31" spans="1:33" s="975" customFormat="1" ht="13.5" customHeight="1" thickBot="1">
      <c r="A31" s="2563" t="s">
        <v>2512</v>
      </c>
      <c r="B31" s="1005" t="s">
        <v>2513</v>
      </c>
      <c r="C31" s="1006">
        <f ca="1">ROUND(C4*F31/(1+'数据-取费表'!C42),0)</f>
        <v>1525</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t="e">
        <f ca="1">ROUND((C4-C21-C22-C23-C25-C28-C31)/(1+C24+D25+D28),0)</f>
        <v>#VALUE!</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B11" sqref="B11"/>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t="s">
        <v>1373</v>
      </c>
      <c r="D1" s="1580"/>
      <c r="E1" s="320"/>
      <c r="F1" s="320"/>
      <c r="G1" s="1581"/>
      <c r="H1" s="320"/>
      <c r="I1" s="320"/>
      <c r="J1" s="320"/>
      <c r="K1" s="320">
        <f>MATCH(C1,'数据-取费表'!A6:A16,0)+5</f>
        <v>7</v>
      </c>
    </row>
    <row r="2" spans="1:33" ht="18" customHeight="1">
      <c r="A2" s="245" t="s">
        <v>2328</v>
      </c>
      <c r="B2" s="248" t="e">
        <f ca="1">C32</f>
        <v>#VALUE!</v>
      </c>
      <c r="C2" s="320" t="s">
        <v>2461</v>
      </c>
      <c r="D2" s="320"/>
      <c r="E2" s="320"/>
      <c r="F2" s="320"/>
      <c r="G2" s="320"/>
      <c r="H2" s="320"/>
      <c r="I2" s="320"/>
      <c r="J2" s="320"/>
      <c r="K2" s="320"/>
    </row>
    <row r="3" spans="1:33" ht="18" customHeight="1" thickBot="1">
      <c r="A3" s="247" t="s">
        <v>2330</v>
      </c>
      <c r="B3" s="248" t="e">
        <f ca="1">ROUND(B2*10000/IF(C1="",'数据-汇总表'!E3,INDIRECT("'数据-取费表'!K"&amp;$K$1)),0)</f>
        <v>#VALUE!</v>
      </c>
      <c r="C3" s="320" t="s">
        <v>2462</v>
      </c>
      <c r="D3" s="320"/>
      <c r="E3" s="320"/>
      <c r="F3" s="320"/>
      <c r="G3" s="320"/>
      <c r="H3" s="320"/>
      <c r="I3" s="320"/>
      <c r="J3" s="320"/>
      <c r="K3" s="320"/>
    </row>
    <row r="4" spans="1:33" s="956" customFormat="1" ht="16.5" customHeight="1">
      <c r="A4" s="953" t="s">
        <v>2463</v>
      </c>
      <c r="B4" s="954"/>
      <c r="C4" s="996">
        <f ca="1">SUM(C8:K8)</f>
        <v>3829.9660280000003</v>
      </c>
      <c r="D4" s="954"/>
      <c r="E4" s="954"/>
      <c r="F4" s="954"/>
      <c r="G4" s="954"/>
      <c r="H4" s="954"/>
      <c r="I4" s="954"/>
      <c r="J4" s="954"/>
      <c r="K4" s="955"/>
    </row>
    <row r="5" spans="1:33" s="960" customFormat="1" ht="15">
      <c r="A5" s="957" t="s">
        <v>2464</v>
      </c>
      <c r="B5" s="958" t="s">
        <v>2465</v>
      </c>
      <c r="C5" s="2557" t="s">
        <v>1373</v>
      </c>
      <c r="D5" s="2557" t="s">
        <v>1373</v>
      </c>
      <c r="E5" s="2557" t="s">
        <v>3061</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f ca="1">'收益法-商业'!C43</f>
        <v>16436</v>
      </c>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SUMIF('数据-汇总表'!$C19:$C33,'假设开发法-商业'!C5,'数据-汇总表'!$E19:$E33)</f>
        <v>2330.23</v>
      </c>
      <c r="D7" s="321">
        <f>SUMIF('数据-汇总表'!$C19:$C33,'假设开发法-商业'!D5,'数据-汇总表'!$E19:$E33)</f>
        <v>2330.23</v>
      </c>
      <c r="E7" s="321">
        <f>SUMIF('数据-汇总表'!$C19:$C33,'假设开发法-商业'!E5,'数据-汇总表'!$E19:$E33)</f>
        <v>617.01</v>
      </c>
      <c r="F7" s="321">
        <f>SUMIF('数据-汇总表'!$C19:$C33,'假设开发法-商业'!F5,'数据-汇总表'!$E19:$E33)</f>
        <v>0</v>
      </c>
      <c r="G7" s="321">
        <f>SUMIF('数据-汇总表'!$C19:$C33,'假设开发法-商业'!G5,'数据-汇总表'!$E19:$E33)</f>
        <v>0</v>
      </c>
      <c r="H7" s="321">
        <f>SUMIF('数据-汇总表'!$C19:$C33,'假设开发法-商业'!H5,'数据-汇总表'!$E19:$E33)</f>
        <v>0</v>
      </c>
      <c r="I7" s="321">
        <f>SUMIF('数据-汇总表'!$C19:$C33,'假设开发法-商业'!I5,'数据-汇总表'!$E19:$E33)</f>
        <v>0</v>
      </c>
      <c r="J7" s="321">
        <f>SUMIF('数据-汇总表'!$C19:$C33,'假设开发法-商业'!J5,'数据-汇总表'!$E19:$E33)</f>
        <v>0</v>
      </c>
      <c r="K7" s="322">
        <f>SUMIF('数据-汇总表'!$C19:$C33,'假设开发法-商业'!K5,'数据-汇总表'!$E19:$E33)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2469</v>
      </c>
      <c r="B8" s="177" t="s">
        <v>2470</v>
      </c>
      <c r="C8" s="997">
        <f ca="1">C6*C7/10000</f>
        <v>3829.9660280000003</v>
      </c>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2464</v>
      </c>
      <c r="B10" s="8" t="s">
        <v>2473</v>
      </c>
      <c r="C10" s="966" t="s">
        <v>2474</v>
      </c>
      <c r="D10" s="2943" t="s">
        <v>2475</v>
      </c>
      <c r="E10" s="2943" t="s">
        <v>2476</v>
      </c>
      <c r="F10" s="2943" t="s">
        <v>2477</v>
      </c>
      <c r="G10" s="8"/>
      <c r="H10" s="968"/>
      <c r="I10" s="968"/>
      <c r="J10" s="968"/>
      <c r="K10" s="969"/>
    </row>
    <row r="11" spans="1:33" s="975" customFormat="1" ht="13.5" customHeight="1">
      <c r="A11" s="971" t="s">
        <v>1330</v>
      </c>
      <c r="B11" s="972" t="s">
        <v>2478</v>
      </c>
      <c r="C11" s="323" t="e">
        <f ca="1">IF(C1="",'数据-取费表'!P16,INDIRECT("'数据-取费表'!p"&amp;$K$1)+INDIRECT("'数据-取费表'!ar"&amp;$K$1))</f>
        <v>#VALUE!</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2479</v>
      </c>
      <c r="C12" s="24" t="e">
        <f ca="1">ROUND(C11*F12,0)</f>
        <v>#VALUE!</v>
      </c>
      <c r="D12" s="973"/>
      <c r="E12" s="375"/>
      <c r="F12" s="976">
        <f>'数据-取费表'!B33</f>
        <v>0.03</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0</v>
      </c>
      <c r="D13" s="1033"/>
      <c r="E13" s="375"/>
      <c r="F13" s="976">
        <f>'数据-取费表'!B34</f>
        <v>0</v>
      </c>
      <c r="G13" s="8" t="s">
        <v>2482</v>
      </c>
      <c r="H13" s="968"/>
      <c r="I13" s="968"/>
      <c r="J13" s="968"/>
      <c r="K13" s="969"/>
    </row>
    <row r="14" spans="1:33" s="977" customFormat="1" ht="13.5" customHeight="1">
      <c r="A14" s="971" t="s">
        <v>1333</v>
      </c>
      <c r="B14" s="972" t="s">
        <v>2483</v>
      </c>
      <c r="C14" s="24">
        <f ca="1">ROUND(D14*E14*F11/10000,0)</f>
        <v>0</v>
      </c>
      <c r="D14" s="1033">
        <f ca="1">IF(C1="",'数据-汇总表'!E3,INDIRECT("'数据-取费表'!K"&amp;$K$1)+INDIRECT("'数据-取费表'!S"&amp;$K$1))</f>
        <v>2833.13</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t="e">
        <f ca="1">ROUND(C11*F15,0)</f>
        <v>#VALUE!</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t="e">
        <f ca="1">SUM(C11:C15)</f>
        <v>#VALUE!</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2833.13</v>
      </c>
      <c r="E17" s="24">
        <f>'数据-取费表'!B32</f>
        <v>0</v>
      </c>
      <c r="F17" s="978"/>
      <c r="G17" s="140" t="s">
        <v>2489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57</v>
      </c>
      <c r="D18" s="1033"/>
      <c r="E18" s="24"/>
      <c r="F18" s="976"/>
      <c r="G18" s="2559"/>
      <c r="H18" s="1577"/>
      <c r="I18" s="2560"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160</v>
      </c>
      <c r="F19" s="976"/>
      <c r="G19" s="2946"/>
      <c r="H19" s="1579"/>
      <c r="I19" s="981"/>
      <c r="J19" s="981"/>
      <c r="K19" s="982"/>
    </row>
    <row r="20" spans="1:33" s="975" customFormat="1" ht="13.5" customHeight="1">
      <c r="A20" s="971" t="s">
        <v>806</v>
      </c>
      <c r="B20" s="972" t="s">
        <v>2493</v>
      </c>
      <c r="C20" s="24">
        <f ca="1">ROUND(D20*E20/10000,0)</f>
        <v>57</v>
      </c>
      <c r="D20" s="1033">
        <f ca="1">IF(C1="",'数据-汇总表'!E6,IF(INDIRECT("'数据-取费表'!c"&amp;$K$1)="住宅",INDIRECT("'数据-取费表'!s"&amp;$K$1),INDIRECT("'数据-取费表'!k"&amp;$K$1)+INDIRECT("'数据-取费表'!s"&amp;$K$1)))</f>
        <v>2833.13</v>
      </c>
      <c r="E20" s="24">
        <f>'数据-取费表'!B28</f>
        <v>200</v>
      </c>
      <c r="F20" s="976"/>
      <c r="G20" s="2946"/>
      <c r="H20" s="981"/>
      <c r="I20" s="981"/>
      <c r="J20" s="981"/>
      <c r="K20" s="982"/>
    </row>
    <row r="21" spans="1:33" s="975" customFormat="1" ht="13.5" customHeight="1">
      <c r="A21" s="961" t="s">
        <v>802</v>
      </c>
      <c r="B21" s="985" t="s">
        <v>2494</v>
      </c>
      <c r="C21" s="986" t="e">
        <f ca="1">C16+C17+C18</f>
        <v>#VALUE!</v>
      </c>
      <c r="D21" s="987"/>
      <c r="E21" s="325"/>
      <c r="F21" s="325"/>
      <c r="G21" s="140" t="s">
        <v>2495</v>
      </c>
      <c r="H21" s="979"/>
      <c r="I21" s="979"/>
      <c r="J21" s="979"/>
      <c r="K21" s="980"/>
    </row>
    <row r="22" spans="1:33" s="975" customFormat="1" ht="13.5" customHeight="1">
      <c r="A22" s="961" t="s">
        <v>2467</v>
      </c>
      <c r="B22" s="985" t="s">
        <v>2496</v>
      </c>
      <c r="C22" s="986" t="e">
        <f ca="1">ROUND(C21*F22,0)</f>
        <v>#VALUE!</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0</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'数据-取费表'!B48+'数据-取费表'!B49</f>
        <v>3.0499999999999999E-2</v>
      </c>
      <c r="G24" s="8" t="s">
        <v>2502</v>
      </c>
      <c r="H24" s="990"/>
      <c r="I24" s="990"/>
      <c r="J24" s="990"/>
      <c r="K24" s="991"/>
    </row>
    <row r="25" spans="1:33" s="975" customFormat="1" ht="13.5" customHeight="1">
      <c r="A25" s="961" t="s">
        <v>2503</v>
      </c>
      <c r="B25" s="987" t="s">
        <v>2504</v>
      </c>
      <c r="C25" s="1356" t="e">
        <f ca="1">C27</f>
        <v>#VALUE!</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t="e">
        <f ca="1">ROUND(IF('数据-取费表'!B22&lt;=1,(C21+C22+C23)*F25*'数据-取费表'!B24/2,(C21+C22+C23)*(POWER((1+F25),'数据-取费表'!B24/2)-1)),0)</f>
        <v>#VALUE!</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2507</v>
      </c>
      <c r="B28" s="2562" t="s">
        <v>2508</v>
      </c>
      <c r="C28" s="331" t="e">
        <f ca="1">C30</f>
        <v>#VALUE!</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2509</v>
      </c>
      <c r="C29" s="328">
        <f ca="1">ROUND((1+C24)*F28*'数据-取费表'!B24/'数据-取费表'!B20,4)</f>
        <v>0</v>
      </c>
      <c r="D29" s="328"/>
      <c r="E29" s="329"/>
      <c r="F29" s="334"/>
      <c r="G29" s="140" t="s">
        <v>2510</v>
      </c>
      <c r="H29" s="979"/>
      <c r="I29" s="979"/>
      <c r="J29" s="979"/>
      <c r="K29" s="980"/>
    </row>
    <row r="30" spans="1:33" s="335" customFormat="1" ht="13.5" customHeight="1">
      <c r="A30" s="971" t="s">
        <v>804</v>
      </c>
      <c r="B30" s="994" t="s">
        <v>2511</v>
      </c>
      <c r="C30" s="336" t="e">
        <f ca="1">ROUND((C21+C22+C23)*F28,0)</f>
        <v>#VALUE!</v>
      </c>
      <c r="D30" s="328"/>
      <c r="E30" s="329"/>
      <c r="F30" s="334"/>
      <c r="G30" s="140"/>
      <c r="H30" s="979"/>
      <c r="I30" s="979"/>
      <c r="J30" s="979"/>
      <c r="K30" s="980"/>
    </row>
    <row r="31" spans="1:33" s="975" customFormat="1" ht="13.5" customHeight="1" thickBot="1">
      <c r="A31" s="2563" t="s">
        <v>2512</v>
      </c>
      <c r="B31" s="1005" t="s">
        <v>2513</v>
      </c>
      <c r="C31" s="1006">
        <f ca="1">ROUND(C4*F31/(1+'数据-取费表'!C42),0)</f>
        <v>201</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t="e">
        <f ca="1">ROUND((C4-C21-C22-C23-C25-C28-C31)/(1+C24+D25+D28),0)</f>
        <v>#VALUE!</v>
      </c>
      <c r="D32" s="1001"/>
      <c r="E32" s="1001"/>
      <c r="F32" s="1001"/>
      <c r="G32" s="1003" t="s">
        <v>2516</v>
      </c>
      <c r="H32" s="1001"/>
      <c r="I32" s="1001"/>
      <c r="J32" s="1001"/>
      <c r="K32" s="1004"/>
    </row>
    <row r="34" ht="12.75" customHeight="1"/>
  </sheetData>
  <sheetProtection password="C66D" sheet="1" objects="1" scenarios="1" formatCells="0" formatColumns="0" formatRows="0"/>
  <phoneticPr fontId="143" type="noConversion"/>
  <dataValidations count="2">
    <dataValidation type="list" allowBlank="1" showInputMessage="1" showErrorMessage="1" sqref="G18">
      <formula1>"已部分缴纳,已全部缴纳"</formula1>
    </dataValidation>
    <dataValidation type="list" allowBlank="1" showInputMessage="1" showErrorMessage="1" sqref="C5:K5 C1">
      <formula1>项目类型</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C1" sqref="C1"/>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t="s">
        <v>3061</v>
      </c>
      <c r="D1" s="1580"/>
      <c r="E1" s="320"/>
      <c r="F1" s="320"/>
      <c r="G1" s="1581"/>
      <c r="H1" s="320"/>
      <c r="I1" s="320"/>
      <c r="J1" s="320"/>
      <c r="K1" s="320">
        <f>MATCH(C1,'数据-取费表'!A6:A16,0)+5</f>
        <v>8</v>
      </c>
    </row>
    <row r="2" spans="1:33" ht="18" customHeight="1">
      <c r="A2" s="245" t="s">
        <v>2328</v>
      </c>
      <c r="B2" s="248" t="e">
        <f ca="1">C32</f>
        <v>#VALUE!</v>
      </c>
      <c r="C2" s="320" t="s">
        <v>2461</v>
      </c>
      <c r="D2" s="320"/>
      <c r="E2" s="320"/>
      <c r="F2" s="320"/>
      <c r="G2" s="320"/>
      <c r="H2" s="320"/>
      <c r="I2" s="320"/>
      <c r="J2" s="320"/>
      <c r="K2" s="320"/>
    </row>
    <row r="3" spans="1:33" ht="18" customHeight="1" thickBot="1">
      <c r="A3" s="247" t="s">
        <v>2330</v>
      </c>
      <c r="B3" s="248" t="e">
        <f ca="1">ROUND(B2*10000/IF(C1="",'数据-汇总表'!E3,INDIRECT("'数据-取费表'!K"&amp;$K$1)),0)</f>
        <v>#VALUE!</v>
      </c>
      <c r="C3" s="320" t="s">
        <v>2462</v>
      </c>
      <c r="D3" s="320"/>
      <c r="E3" s="320"/>
      <c r="F3" s="320"/>
      <c r="G3" s="320"/>
      <c r="H3" s="320"/>
      <c r="I3" s="320"/>
      <c r="J3" s="320"/>
      <c r="K3" s="320"/>
    </row>
    <row r="4" spans="1:33" s="956" customFormat="1" ht="16.5" customHeight="1">
      <c r="A4" s="953" t="s">
        <v>2463</v>
      </c>
      <c r="B4" s="954"/>
      <c r="C4" s="996">
        <f ca="1">SUM(C8:K8)</f>
        <v>135.98900399999999</v>
      </c>
      <c r="D4" s="954"/>
      <c r="E4" s="954"/>
      <c r="F4" s="954"/>
      <c r="G4" s="954"/>
      <c r="H4" s="954"/>
      <c r="I4" s="954"/>
      <c r="J4" s="954"/>
      <c r="K4" s="955"/>
    </row>
    <row r="5" spans="1:33" s="960" customFormat="1" ht="15">
      <c r="A5" s="957" t="s">
        <v>2464</v>
      </c>
      <c r="B5" s="958" t="s">
        <v>2465</v>
      </c>
      <c r="C5" s="2557" t="s">
        <v>3061</v>
      </c>
      <c r="D5" s="2557"/>
      <c r="E5" s="2557"/>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f ca="1">'收益法-仓储'!C43</f>
        <v>2204</v>
      </c>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SUMIF('数据-汇总表'!$C19:$C33,'假设开发法-仓储'!C5,'数据-汇总表'!$E19:$E33)</f>
        <v>617.01</v>
      </c>
      <c r="D7" s="321">
        <f>SUMIF('数据-汇总表'!$C19:$C33,'假设开发法-仓储'!D5,'数据-汇总表'!$E19:$E33)</f>
        <v>0</v>
      </c>
      <c r="E7" s="321">
        <f>SUMIF('数据-汇总表'!$C19:$C33,'假设开发法-仓储'!E5,'数据-汇总表'!$E19:$E33)</f>
        <v>0</v>
      </c>
      <c r="F7" s="321">
        <f>SUMIF('数据-汇总表'!$C19:$C33,'假设开发法-仓储'!F5,'数据-汇总表'!$E19:$E33)</f>
        <v>0</v>
      </c>
      <c r="G7" s="321">
        <f>SUMIF('数据-汇总表'!$C19:$C33,'假设开发法-仓储'!G5,'数据-汇总表'!$E19:$E33)</f>
        <v>0</v>
      </c>
      <c r="H7" s="321">
        <f>SUMIF('数据-汇总表'!$C19:$C33,'假设开发法-仓储'!H5,'数据-汇总表'!$E19:$E33)</f>
        <v>0</v>
      </c>
      <c r="I7" s="321">
        <f>SUMIF('数据-汇总表'!$C19:$C33,'假设开发法-仓储'!I5,'数据-汇总表'!$E19:$E33)</f>
        <v>0</v>
      </c>
      <c r="J7" s="321">
        <f>SUMIF('数据-汇总表'!$C19:$C33,'假设开发法-仓储'!J5,'数据-汇总表'!$E19:$E33)</f>
        <v>0</v>
      </c>
      <c r="K7" s="322">
        <f>SUMIF('数据-汇总表'!$C19:$C33,'假设开发法-仓储'!K5,'数据-汇总表'!$E19:$E33)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2469</v>
      </c>
      <c r="B8" s="177" t="s">
        <v>2470</v>
      </c>
      <c r="C8" s="997">
        <f ca="1">C6*C7/10000</f>
        <v>135.98900399999999</v>
      </c>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2464</v>
      </c>
      <c r="B10" s="8" t="s">
        <v>2473</v>
      </c>
      <c r="C10" s="966" t="s">
        <v>2474</v>
      </c>
      <c r="D10" s="2943" t="s">
        <v>2475</v>
      </c>
      <c r="E10" s="2943" t="s">
        <v>2476</v>
      </c>
      <c r="F10" s="2943" t="s">
        <v>2477</v>
      </c>
      <c r="G10" s="8"/>
      <c r="H10" s="968"/>
      <c r="I10" s="968"/>
      <c r="J10" s="968"/>
      <c r="K10" s="969"/>
    </row>
    <row r="11" spans="1:33" s="975" customFormat="1" ht="13.5" customHeight="1">
      <c r="A11" s="971" t="s">
        <v>1330</v>
      </c>
      <c r="B11" s="972" t="s">
        <v>2478</v>
      </c>
      <c r="C11" s="323" t="e">
        <f ca="1">IF(C1="",'数据-取费表'!P16,INDIRECT("'数据-取费表'!p"&amp;$K$1)+INDIRECT("'数据-取费表'!ar"&amp;$K$1))</f>
        <v>#VALUE!</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2479</v>
      </c>
      <c r="C12" s="24" t="e">
        <f ca="1">ROUND(C11*F12,0)</f>
        <v>#VALUE!</v>
      </c>
      <c r="D12" s="973"/>
      <c r="E12" s="375"/>
      <c r="F12" s="976">
        <f>'数据-取费表'!B33</f>
        <v>0.03</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0</v>
      </c>
      <c r="D13" s="1033"/>
      <c r="E13" s="375"/>
      <c r="F13" s="976">
        <f>'数据-取费表'!B34</f>
        <v>0</v>
      </c>
      <c r="G13" s="8" t="s">
        <v>2482</v>
      </c>
      <c r="H13" s="968"/>
      <c r="I13" s="968"/>
      <c r="J13" s="968"/>
      <c r="K13" s="969"/>
    </row>
    <row r="14" spans="1:33" s="977" customFormat="1" ht="13.5" customHeight="1">
      <c r="A14" s="971" t="s">
        <v>1333</v>
      </c>
      <c r="B14" s="972" t="s">
        <v>2483</v>
      </c>
      <c r="C14" s="24">
        <f ca="1">ROUND(D14*E14*F11/10000,0)</f>
        <v>0</v>
      </c>
      <c r="D14" s="1033">
        <f ca="1">IF(C1="",'数据-汇总表'!E3,INDIRECT("'数据-取费表'!K"&amp;$K$1)+INDIRECT("'数据-取费表'!S"&amp;$K$1))</f>
        <v>750.17</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t="e">
        <f ca="1">ROUND(C11*F15,0)</f>
        <v>#VALUE!</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t="e">
        <f ca="1">SUM(C11:C15)</f>
        <v>#VALUE!</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750.17</v>
      </c>
      <c r="E17" s="24">
        <f>'数据-取费表'!B32</f>
        <v>0</v>
      </c>
      <c r="F17" s="978"/>
      <c r="G17" s="140" t="s">
        <v>2489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15</v>
      </c>
      <c r="D18" s="1033"/>
      <c r="E18" s="24"/>
      <c r="F18" s="976"/>
      <c r="G18" s="2559"/>
      <c r="H18" s="1577"/>
      <c r="I18" s="2560"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160</v>
      </c>
      <c r="F19" s="976"/>
      <c r="G19" s="2946"/>
      <c r="H19" s="1579"/>
      <c r="I19" s="981"/>
      <c r="J19" s="981"/>
      <c r="K19" s="982"/>
    </row>
    <row r="20" spans="1:33" s="975" customFormat="1" ht="13.5" customHeight="1">
      <c r="A20" s="971" t="s">
        <v>806</v>
      </c>
      <c r="B20" s="972" t="s">
        <v>2493</v>
      </c>
      <c r="C20" s="24">
        <f ca="1">ROUND(D20*E20/10000,0)</f>
        <v>15</v>
      </c>
      <c r="D20" s="1033">
        <f ca="1">IF(C1="",'数据-汇总表'!E6,IF(INDIRECT("'数据-取费表'!c"&amp;$K$1)="住宅",INDIRECT("'数据-取费表'!s"&amp;$K$1),INDIRECT("'数据-取费表'!k"&amp;$K$1)+INDIRECT("'数据-取费表'!s"&amp;$K$1)))</f>
        <v>750.17</v>
      </c>
      <c r="E20" s="24">
        <f>'数据-取费表'!B28</f>
        <v>200</v>
      </c>
      <c r="F20" s="976"/>
      <c r="G20" s="2946"/>
      <c r="H20" s="981"/>
      <c r="I20" s="981"/>
      <c r="J20" s="981"/>
      <c r="K20" s="982"/>
    </row>
    <row r="21" spans="1:33" s="975" customFormat="1" ht="13.5" customHeight="1">
      <c r="A21" s="961" t="s">
        <v>802</v>
      </c>
      <c r="B21" s="985" t="s">
        <v>2494</v>
      </c>
      <c r="C21" s="986" t="e">
        <f ca="1">C16+C17+C18</f>
        <v>#VALUE!</v>
      </c>
      <c r="D21" s="987"/>
      <c r="E21" s="325"/>
      <c r="F21" s="325"/>
      <c r="G21" s="140" t="s">
        <v>2495</v>
      </c>
      <c r="H21" s="979"/>
      <c r="I21" s="979"/>
      <c r="J21" s="979"/>
      <c r="K21" s="980"/>
    </row>
    <row r="22" spans="1:33" s="975" customFormat="1" ht="13.5" customHeight="1">
      <c r="A22" s="961" t="s">
        <v>2467</v>
      </c>
      <c r="B22" s="985" t="s">
        <v>2496</v>
      </c>
      <c r="C22" s="986" t="e">
        <f ca="1">ROUND(C21*F22,0)</f>
        <v>#VALUE!</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0</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'数据-取费表'!B48+'数据-取费表'!B49</f>
        <v>3.0499999999999999E-2</v>
      </c>
      <c r="G24" s="8" t="s">
        <v>2502</v>
      </c>
      <c r="H24" s="990"/>
      <c r="I24" s="990"/>
      <c r="J24" s="990"/>
      <c r="K24" s="991"/>
    </row>
    <row r="25" spans="1:33" s="975" customFormat="1" ht="13.5" customHeight="1">
      <c r="A25" s="961" t="s">
        <v>2503</v>
      </c>
      <c r="B25" s="987" t="s">
        <v>2504</v>
      </c>
      <c r="C25" s="1356" t="e">
        <f ca="1">C27</f>
        <v>#VALUE!</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t="e">
        <f ca="1">ROUND(IF('数据-取费表'!B22&lt;=1,(C21+C22+C23)*F25*'数据-取费表'!B24/2,(C21+C22+C23)*(POWER((1+F25),'数据-取费表'!B24/2)-1)),0)</f>
        <v>#VALUE!</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2507</v>
      </c>
      <c r="B28" s="2562" t="s">
        <v>2508</v>
      </c>
      <c r="C28" s="331" t="e">
        <f ca="1">C30</f>
        <v>#VALUE!</v>
      </c>
      <c r="D28" s="324">
        <f ca="1">C29</f>
        <v>0</v>
      </c>
      <c r="E28" s="326" t="s">
        <v>15</v>
      </c>
      <c r="F28" s="332">
        <f ca="1">IF(C1="",'数据-取费表'!Q16,INDIRECT("'数据-取费表'!q"&amp;$K$1))</f>
        <v>0.05</v>
      </c>
      <c r="G28" s="989"/>
      <c r="H28" s="990"/>
      <c r="I28" s="990"/>
      <c r="J28" s="990"/>
      <c r="K28" s="991"/>
    </row>
    <row r="29" spans="1:33" s="335" customFormat="1" ht="13.5" customHeight="1">
      <c r="A29" s="971" t="s">
        <v>803</v>
      </c>
      <c r="B29" s="994" t="s">
        <v>2509</v>
      </c>
      <c r="C29" s="328">
        <f ca="1">ROUND((1+C24)*F28*'数据-取费表'!B24/'数据-取费表'!B20,4)</f>
        <v>0</v>
      </c>
      <c r="D29" s="328"/>
      <c r="E29" s="329"/>
      <c r="F29" s="334"/>
      <c r="G29" s="140" t="s">
        <v>2510</v>
      </c>
      <c r="H29" s="979"/>
      <c r="I29" s="979"/>
      <c r="J29" s="979"/>
      <c r="K29" s="980"/>
    </row>
    <row r="30" spans="1:33" s="335" customFormat="1" ht="13.5" customHeight="1">
      <c r="A30" s="971" t="s">
        <v>804</v>
      </c>
      <c r="B30" s="994" t="s">
        <v>2511</v>
      </c>
      <c r="C30" s="336" t="e">
        <f ca="1">ROUND((C21+C22+C23)*F28,0)</f>
        <v>#VALUE!</v>
      </c>
      <c r="D30" s="328"/>
      <c r="E30" s="329"/>
      <c r="F30" s="334"/>
      <c r="G30" s="140"/>
      <c r="H30" s="979"/>
      <c r="I30" s="979"/>
      <c r="J30" s="979"/>
      <c r="K30" s="980"/>
    </row>
    <row r="31" spans="1:33" s="975" customFormat="1" ht="13.5" customHeight="1" thickBot="1">
      <c r="A31" s="2563" t="s">
        <v>2512</v>
      </c>
      <c r="B31" s="1005" t="s">
        <v>2513</v>
      </c>
      <c r="C31" s="1006">
        <f ca="1">ROUND(C4*F31/(1+'数据-取费表'!C42),0)</f>
        <v>7</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t="e">
        <f ca="1">ROUND((C4-C21-C22-C23-C25-C28-C31)/(1+C24+D25+D28),0)</f>
        <v>#VALUE!</v>
      </c>
      <c r="D32" s="1001"/>
      <c r="E32" s="1001"/>
      <c r="F32" s="1001"/>
      <c r="G32" s="1003" t="s">
        <v>2516</v>
      </c>
      <c r="H32" s="1001"/>
      <c r="I32" s="1001"/>
      <c r="J32" s="1001"/>
      <c r="K32" s="1004"/>
    </row>
    <row r="34" ht="12.75" customHeight="1"/>
  </sheetData>
  <sheetProtection password="C66D" sheet="1" objects="1" scenarios="1" formatCells="0" formatColumns="0" formatRows="0"/>
  <phoneticPr fontId="143" type="noConversion"/>
  <dataValidations count="2">
    <dataValidation type="list" allowBlank="1" showInputMessage="1" showErrorMessage="1" sqref="G18">
      <formula1>"已部分缴纳,已全部缴纳"</formula1>
    </dataValidation>
    <dataValidation type="list" allowBlank="1" showInputMessage="1" showErrorMessage="1" sqref="C5:K5 C1">
      <formula1>项目类型</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90" zoomScaleNormal="90" zoomScaleSheetLayoutView="90" workbookViewId="0">
      <selection activeCell="D33" sqref="D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27</v>
      </c>
      <c r="D1" s="1820" t="s">
        <v>70</v>
      </c>
      <c r="E1" s="1821" t="s">
        <v>1383</v>
      </c>
      <c r="F1" s="1283">
        <f ca="1">J53</f>
        <v>39.24</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29119</v>
      </c>
      <c r="C2" s="1845" t="s">
        <v>1512</v>
      </c>
      <c r="D2" s="1845"/>
      <c r="E2" s="1846"/>
      <c r="F2" s="1847"/>
      <c r="G2" s="1848"/>
      <c r="H2" s="1840"/>
      <c r="I2" s="1840"/>
      <c r="J2" s="1840"/>
      <c r="K2" s="1841"/>
      <c r="L2" s="1840"/>
      <c r="M2" s="1840"/>
    </row>
    <row r="3" spans="1:37" ht="18" customHeight="1" thickBot="1">
      <c r="A3" s="1849" t="s">
        <v>1513</v>
      </c>
      <c r="B3" s="1850">
        <f ca="1">IF(ISERROR(B2*10000/F43),0,ROUND(B2*10000/F43,0))</f>
        <v>15546</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2464</v>
      </c>
      <c r="D5" s="1822" t="s">
        <v>1398</v>
      </c>
      <c r="E5" s="1293"/>
      <c r="F5" s="1294"/>
      <c r="G5" s="1851"/>
      <c r="H5" s="344">
        <v>1</v>
      </c>
      <c r="I5" s="345" t="s">
        <v>1397</v>
      </c>
      <c r="J5" s="1292">
        <f ca="1">J6+J10+J12</f>
        <v>0</v>
      </c>
      <c r="K5" s="1822" t="s">
        <v>1398</v>
      </c>
      <c r="L5" s="1293"/>
      <c r="M5" s="1294"/>
    </row>
    <row r="6" spans="1:37" ht="18" customHeight="1">
      <c r="A6" s="1291" t="s">
        <v>1032</v>
      </c>
      <c r="B6" s="3159" t="s">
        <v>1399</v>
      </c>
      <c r="C6" s="1296">
        <f ca="1">ROUND(F6*F8*F7*(1-F9)/10000,0)</f>
        <v>2461</v>
      </c>
      <c r="D6" s="164" t="s">
        <v>3029</v>
      </c>
      <c r="E6" s="347" t="s">
        <v>1401</v>
      </c>
      <c r="F6" s="348">
        <f ca="1">INDIRECT("'数据-取费表'!u"&amp;$G$1)</f>
        <v>4.5</v>
      </c>
      <c r="G6" s="1851"/>
      <c r="H6" s="1291" t="s">
        <v>1032</v>
      </c>
      <c r="I6" s="3159" t="s">
        <v>1399</v>
      </c>
      <c r="J6" s="346">
        <f ca="1">ROUND(M6*M8*M7*(1-M9)/10000,0)</f>
        <v>0</v>
      </c>
      <c r="K6" s="164" t="s">
        <v>3028</v>
      </c>
      <c r="L6" s="347" t="s">
        <v>1401</v>
      </c>
      <c r="M6" s="348">
        <f ca="1">INDIRECT("'数据-取费表'!z"&amp;$G$1)</f>
        <v>0</v>
      </c>
    </row>
    <row r="7" spans="1:37" ht="18" customHeight="1">
      <c r="A7" s="1295"/>
      <c r="B7" s="3160"/>
      <c r="C7" s="1297"/>
      <c r="D7" s="352"/>
      <c r="E7" s="1298" t="s">
        <v>1402</v>
      </c>
      <c r="F7" s="348">
        <f ca="1">IF(INDIRECT("'数据-取费表'!ah"&amp;$G$1)="",INDIRECT("'数据-取费表'!k"&amp;$G$1),INDIRECT("'数据-取费表'!ah"&amp;$G$1))</f>
        <v>18730.47</v>
      </c>
      <c r="G7" s="1851"/>
      <c r="H7" s="349"/>
      <c r="I7" s="3160"/>
      <c r="J7" s="351"/>
      <c r="K7" s="352"/>
      <c r="L7" s="347" t="s">
        <v>1402</v>
      </c>
      <c r="M7" s="348">
        <f ca="1">F7</f>
        <v>18730.47</v>
      </c>
    </row>
    <row r="8" spans="1:37" ht="18" customHeight="1">
      <c r="A8" s="349"/>
      <c r="B8" s="3160"/>
      <c r="C8" s="351"/>
      <c r="D8" s="352"/>
      <c r="E8" s="347" t="s">
        <v>1403</v>
      </c>
      <c r="F8" s="348">
        <f ca="1">INDIRECT("'数据-取费表'!ai"&amp;$G$1)</f>
        <v>365</v>
      </c>
      <c r="G8" s="1851"/>
      <c r="H8" s="349"/>
      <c r="I8" s="3160"/>
      <c r="J8" s="351"/>
      <c r="K8" s="352"/>
      <c r="L8" s="347" t="s">
        <v>1403</v>
      </c>
      <c r="M8" s="348">
        <f ca="1">INDIRECT("'数据-取费表'!ai"&amp;$G$1)</f>
        <v>365</v>
      </c>
    </row>
    <row r="9" spans="1:37" ht="18" customHeight="1">
      <c r="A9" s="349"/>
      <c r="B9" s="3161"/>
      <c r="C9" s="351"/>
      <c r="D9" s="352"/>
      <c r="E9" s="347" t="s">
        <v>1404</v>
      </c>
      <c r="F9" s="357">
        <f ca="1">INDIRECT("'数据-取费表'!w"&amp;$G$1)</f>
        <v>0.2</v>
      </c>
      <c r="G9" s="1851"/>
      <c r="H9" s="349"/>
      <c r="I9" s="3161"/>
      <c r="J9" s="351"/>
      <c r="K9" s="352"/>
      <c r="L9" s="358" t="s">
        <v>1404</v>
      </c>
      <c r="M9" s="359">
        <f ca="1">INDIRECT("'数据-取费表'!ab"&amp;$G$1)</f>
        <v>0</v>
      </c>
    </row>
    <row r="10" spans="1:37" ht="18" customHeight="1">
      <c r="A10" s="1291" t="s">
        <v>1036</v>
      </c>
      <c r="B10" s="1823" t="s">
        <v>1405</v>
      </c>
      <c r="C10" s="361">
        <f ca="1">ROUND(IF(F10="押一",C6/12*F11,IF(F10="押二",C6/12*2*F11,IF(F10="押三",C6/12*3*F11,C11*F11))),0)</f>
        <v>3</v>
      </c>
      <c r="D10" s="1824" t="s">
        <v>3038</v>
      </c>
      <c r="E10" s="358" t="s">
        <v>1406</v>
      </c>
      <c r="F10" s="1366" t="s">
        <v>3098</v>
      </c>
      <c r="G10" s="1851"/>
      <c r="H10" s="1291" t="s">
        <v>1036</v>
      </c>
      <c r="I10" s="1823" t="s">
        <v>1405</v>
      </c>
      <c r="J10" s="346">
        <f ca="1">ROUND(IF(M10="押一",J6/12*M11,IF(M10="押二",J6/12*2*M11,IF(M10="押三",J6/12*3*M11,J11*M11))),0)</f>
        <v>0</v>
      </c>
      <c r="K10" s="1824" t="s">
        <v>3037</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5930</v>
      </c>
      <c r="D13" s="1331" t="s">
        <v>1411</v>
      </c>
      <c r="E13" s="1331" t="s">
        <v>1412</v>
      </c>
      <c r="F13" s="1332">
        <f ca="1">INDIRECT("'数据-取费表'!y"&amp;$G$1)</f>
        <v>0.8</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4929</v>
      </c>
      <c r="D14" s="1800" t="s">
        <v>1414</v>
      </c>
      <c r="E14" s="1794"/>
      <c r="F14" s="364"/>
      <c r="G14" s="1851"/>
      <c r="H14" s="1201" t="s">
        <v>1032</v>
      </c>
      <c r="I14" s="347" t="s">
        <v>1415</v>
      </c>
      <c r="J14" s="24">
        <f ca="1">C29</f>
        <v>7413</v>
      </c>
      <c r="K14" s="15"/>
      <c r="L14" s="979"/>
      <c r="M14" s="980"/>
    </row>
    <row r="15" spans="1:37" s="1858" customFormat="1" ht="18" customHeight="1" thickBot="1">
      <c r="A15" s="1201" t="s">
        <v>1033</v>
      </c>
      <c r="B15" s="347" t="s">
        <v>1416</v>
      </c>
      <c r="C15" s="24">
        <f ca="1">ROUND(C14*F15,0)</f>
        <v>148</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211</v>
      </c>
      <c r="K16" s="1337" t="s">
        <v>1421</v>
      </c>
      <c r="L16" s="1338"/>
      <c r="M16" s="1294"/>
    </row>
    <row r="17" spans="1:37" s="1858" customFormat="1" ht="18" customHeight="1">
      <c r="A17" s="1201" t="s">
        <v>1386</v>
      </c>
      <c r="B17" s="347" t="s">
        <v>1422</v>
      </c>
      <c r="C17" s="24">
        <f ca="1">ROUND(F17*(F43+INDIRECT("'数据-取费表'!S"&amp;$G$1))/10000,0)</f>
        <v>455</v>
      </c>
      <c r="D17" s="347" t="s">
        <v>1423</v>
      </c>
      <c r="E17" s="347" t="s">
        <v>1424</v>
      </c>
      <c r="F17" s="26">
        <f>'数据-取费表'!B35</f>
        <v>200</v>
      </c>
      <c r="G17" s="1854"/>
      <c r="H17" s="1201" t="s">
        <v>1032</v>
      </c>
      <c r="I17" s="347" t="s">
        <v>1425</v>
      </c>
      <c r="J17" s="24">
        <f ca="1">ROUND(IF(项目基本情况!B11="自然人",J5*M17,J18+J19+J20),1)</f>
        <v>62.3</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74</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5606</v>
      </c>
      <c r="D19" s="140" t="s">
        <v>1432</v>
      </c>
      <c r="E19" s="1818"/>
      <c r="F19" s="26"/>
      <c r="G19" s="1851"/>
      <c r="H19" s="1201" t="s">
        <v>1033</v>
      </c>
      <c r="I19" s="347" t="s">
        <v>1433</v>
      </c>
      <c r="J19" s="24">
        <f ca="1">IF(K19="按租金收入计税",ROUND(J5*M19,2),ROUND(C29*M19*0.7,2))</f>
        <v>62.27</v>
      </c>
      <c r="K19" s="1828" t="s">
        <v>1434</v>
      </c>
      <c r="L19" s="347" t="s">
        <v>1418</v>
      </c>
      <c r="M19" s="367">
        <f>IF(K19="按租金收入计税",'数据-取费表'!B51,'数据-取费表'!B50)</f>
        <v>1.2E-2</v>
      </c>
    </row>
    <row r="20" spans="1:37" s="1858" customFormat="1" ht="18" customHeight="1">
      <c r="A20" s="1201" t="s">
        <v>1036</v>
      </c>
      <c r="B20" s="347" t="s">
        <v>1435</v>
      </c>
      <c r="C20" s="24">
        <f ca="1">ROUND(C19*F20,0)</f>
        <v>112</v>
      </c>
      <c r="D20" s="369" t="s">
        <v>1436</v>
      </c>
      <c r="E20" s="347" t="s">
        <v>1418</v>
      </c>
      <c r="F20" s="367">
        <f>'数据-取费表'!B37</f>
        <v>0.02</v>
      </c>
      <c r="G20" s="1854"/>
      <c r="H20" s="1201" t="s">
        <v>1385</v>
      </c>
      <c r="I20" s="164" t="s">
        <v>1437</v>
      </c>
      <c r="J20" s="25">
        <f ca="1">ROUND(M20*M21/10000,2)</f>
        <v>0</v>
      </c>
      <c r="K20" s="370" t="s">
        <v>1438</v>
      </c>
      <c r="L20" s="347" t="s">
        <v>1439</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6134.7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ROUND(J14*M22,1)</f>
        <v>148.30000000000001</v>
      </c>
      <c r="K22" s="1798" t="s">
        <v>1446</v>
      </c>
      <c r="L22" s="347" t="s">
        <v>1418</v>
      </c>
      <c r="M22" s="374">
        <f ca="1">INDIRECT("'数据-取费表'!Ak"&amp;$G$1)</f>
        <v>0.02</v>
      </c>
    </row>
    <row r="23" spans="1:37" s="1858" customFormat="1" ht="18" customHeight="1">
      <c r="A23" s="1201" t="s">
        <v>1031</v>
      </c>
      <c r="B23" s="347" t="s">
        <v>1447</v>
      </c>
      <c r="C23" s="24">
        <f ca="1">IF('数据-取费表'!B22&lt;=1,ROUND(C19*F24*F23/2,0)+ROUND(C20*F24*F23/2,0),ROUND(C19*(POWER((1+F24),F23/2)-1),0)+ROUND(C20*(POWER((1+F24),F23/2)-1),0))</f>
        <v>271</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1798" t="s">
        <v>1450</v>
      </c>
      <c r="L23" s="347" t="s">
        <v>1451</v>
      </c>
      <c r="M23" s="376">
        <f ca="1">INDIRECT("'数据-取费表'!Al"&amp;$G$1)</f>
        <v>2E-3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-211</v>
      </c>
      <c r="K25" s="1345" t="s">
        <v>1460</v>
      </c>
      <c r="L25" s="1346"/>
      <c r="M25" s="1347"/>
    </row>
    <row r="26" spans="1:37">
      <c r="A26" s="1201" t="s">
        <v>1031</v>
      </c>
      <c r="B26" s="347" t="s">
        <v>1461</v>
      </c>
      <c r="C26" s="24">
        <f ca="1">ROUND((C19+C20)*F26,0)</f>
        <v>858</v>
      </c>
      <c r="D26" s="369" t="s">
        <v>1462</v>
      </c>
      <c r="E26" s="358" t="s">
        <v>1463</v>
      </c>
      <c r="F26" s="357">
        <f ca="1">INDIRECT("'数据-取费表'!q"&amp;$G$1)</f>
        <v>0.15</v>
      </c>
      <c r="G26" s="1851"/>
      <c r="H26" s="344" t="s">
        <v>1029</v>
      </c>
      <c r="I26" s="345" t="s">
        <v>1464</v>
      </c>
      <c r="J26" s="346">
        <f ca="1">IF(J5&lt;&gt;0,ROUND(J25*(1-((1+M28)/(1+M26))^M27)/(M26-M28),0),0)</f>
        <v>0</v>
      </c>
      <c r="K26" s="370" t="s">
        <v>1465</v>
      </c>
      <c r="L26" s="347" t="s">
        <v>1466</v>
      </c>
      <c r="M26" s="357">
        <f ca="1">INDIRECT("'数据-取费表'!I"&amp;$G$1)</f>
        <v>6.5000000000000002E-2</v>
      </c>
    </row>
    <row r="27" spans="1:37" ht="18" customHeight="1">
      <c r="A27" s="1201" t="s">
        <v>1033</v>
      </c>
      <c r="B27" s="347" t="s">
        <v>1467</v>
      </c>
      <c r="C27" s="24">
        <f ca="1">ROUND(F21*F26,4)</f>
        <v>3.0000000000000001E-3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7413</v>
      </c>
      <c r="D29" s="1342"/>
      <c r="E29" s="1340"/>
      <c r="F29" s="1343"/>
      <c r="G29" s="1854"/>
      <c r="H29" s="380" t="s">
        <v>1030</v>
      </c>
      <c r="I29" s="381" t="s">
        <v>1475</v>
      </c>
      <c r="J29" s="382">
        <f ca="1">ROUND(J26/(1+F40)^F41,0)</f>
        <v>0</v>
      </c>
      <c r="K29" s="383" t="s">
        <v>1476</v>
      </c>
      <c r="L29" s="384"/>
      <c r="M29" s="385">
        <f ca="1">INDIRECT("'数据-取费表'!k"&amp;$G$1)</f>
        <v>18730.47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634</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424.8</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129.07</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295.68</v>
      </c>
      <c r="D33" s="1828" t="s">
        <v>3100</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v>
      </c>
      <c r="D34" s="370" t="s">
        <v>1438</v>
      </c>
      <c r="E34" s="347" t="s">
        <v>1439</v>
      </c>
      <c r="F34" s="371">
        <f>'数据-取费表'!B52</f>
        <v>0</v>
      </c>
      <c r="G34" s="1851"/>
      <c r="H34" s="745"/>
      <c r="I34" s="1860"/>
      <c r="J34" s="1861"/>
      <c r="K34" s="1863"/>
      <c r="L34" s="1864"/>
      <c r="M34" s="1864"/>
    </row>
    <row r="35" spans="1:18" ht="18" customHeight="1">
      <c r="A35" s="1353"/>
      <c r="B35" s="1351"/>
      <c r="C35" s="29"/>
      <c r="D35" s="373"/>
      <c r="E35" s="347" t="s">
        <v>1443</v>
      </c>
      <c r="F35" s="348">
        <f ca="1">INDIRECT("'数据-取费表'!r"&amp;$G$1)</f>
        <v>6134.7</v>
      </c>
      <c r="G35" s="1851"/>
      <c r="H35" s="745"/>
      <c r="I35" s="1860"/>
      <c r="J35" s="1861"/>
      <c r="K35" s="1862"/>
      <c r="L35" s="1859"/>
      <c r="M35" s="1859"/>
    </row>
    <row r="36" spans="1:18" ht="18" customHeight="1">
      <c r="A36" s="1352" t="s">
        <v>1036</v>
      </c>
      <c r="B36" s="347" t="s">
        <v>1445</v>
      </c>
      <c r="C36" s="24">
        <f ca="1">ROUND(C29*F36,1)</f>
        <v>148.30000000000001</v>
      </c>
      <c r="D36" s="1798" t="s">
        <v>1478</v>
      </c>
      <c r="E36" s="347" t="s">
        <v>1418</v>
      </c>
      <c r="F36" s="374">
        <f ca="1">INDIRECT("'数据-取费表'!Ak"&amp;$G$1)</f>
        <v>0.02</v>
      </c>
      <c r="G36" s="1851"/>
      <c r="H36" s="1859"/>
      <c r="I36" s="1860"/>
      <c r="J36" s="1861"/>
      <c r="K36" s="751"/>
      <c r="L36" s="1859"/>
      <c r="M36" s="1859"/>
    </row>
    <row r="37" spans="1:18" ht="18" customHeight="1">
      <c r="A37" s="1201" t="s">
        <v>1072</v>
      </c>
      <c r="B37" s="347" t="s">
        <v>1449</v>
      </c>
      <c r="C37" s="24">
        <f ca="1">ROUND(C13*F37,1)</f>
        <v>11.9</v>
      </c>
      <c r="D37" s="1798" t="s">
        <v>1450</v>
      </c>
      <c r="E37" s="347" t="s">
        <v>1451</v>
      </c>
      <c r="F37" s="376">
        <f ca="1">INDIRECT("'数据-取费表'!Al"&amp;$G$1)</f>
        <v>2E-3</v>
      </c>
      <c r="G37" s="1851"/>
      <c r="H37" s="1859"/>
      <c r="I37" s="1860"/>
      <c r="J37" s="1861"/>
      <c r="K37" s="751"/>
      <c r="L37" s="1859"/>
      <c r="M37" s="1859"/>
    </row>
    <row r="38" spans="1:18" ht="18" customHeight="1" thickBot="1">
      <c r="A38" s="1339" t="s">
        <v>1389</v>
      </c>
      <c r="B38" s="1340" t="s">
        <v>1435</v>
      </c>
      <c r="C38" s="1341">
        <f ca="1">ROUND(C5*F38,1)</f>
        <v>49.3</v>
      </c>
      <c r="D38" s="1342" t="s">
        <v>1455</v>
      </c>
      <c r="E38" s="1340" t="s">
        <v>1451</v>
      </c>
      <c r="F38" s="1336">
        <f ca="1">INDIRECT("'数据-取费表'!Am"&amp;$G$1)</f>
        <v>0.02</v>
      </c>
      <c r="G38" s="1851"/>
      <c r="H38" s="1859"/>
      <c r="I38" s="1860"/>
      <c r="J38" s="1861"/>
      <c r="K38" s="1865"/>
      <c r="L38" s="1859"/>
      <c r="M38" s="1859"/>
    </row>
    <row r="39" spans="1:18" ht="24.6" customHeight="1" thickTop="1">
      <c r="A39" s="1329" t="s">
        <v>1028</v>
      </c>
      <c r="B39" s="1344" t="s">
        <v>1479</v>
      </c>
      <c r="C39" s="355">
        <f ca="1">C5-C30</f>
        <v>1830</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29119</v>
      </c>
      <c r="D40" s="370" t="s">
        <v>1465</v>
      </c>
      <c r="E40" s="347" t="s">
        <v>1466</v>
      </c>
      <c r="F40" s="357">
        <f ca="1">INDIRECT("'数据-取费表'!I"&amp;$G$1)</f>
        <v>6.5000000000000002E-2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39.24</v>
      </c>
      <c r="G41" s="1851"/>
      <c r="H41" s="732"/>
      <c r="I41" s="1860"/>
      <c r="J41" s="1861"/>
      <c r="K41" s="751"/>
      <c r="L41" s="732"/>
      <c r="M41" s="732"/>
    </row>
    <row r="42" spans="1:18" ht="18" customHeight="1">
      <c r="A42" s="353"/>
      <c r="B42" s="354"/>
      <c r="C42" s="355"/>
      <c r="D42" s="373"/>
      <c r="E42" s="347" t="s">
        <v>1473</v>
      </c>
      <c r="F42" s="357">
        <f ca="1">INDIRECT("'数据-取费表'!v"&amp;$G$1)</f>
        <v>0.01</v>
      </c>
      <c r="G42" s="1851"/>
      <c r="H42" s="732"/>
      <c r="I42" s="1860"/>
      <c r="J42" s="1861"/>
      <c r="K42" s="751"/>
      <c r="L42" s="732"/>
      <c r="M42" s="732"/>
    </row>
    <row r="43" spans="1:18" ht="18" customHeight="1" thickBot="1">
      <c r="A43" s="380" t="s">
        <v>1030</v>
      </c>
      <c r="B43" s="381" t="s">
        <v>1483</v>
      </c>
      <c r="C43" s="382">
        <f ca="1">ROUND(C40*10000/F43,0)</f>
        <v>15546</v>
      </c>
      <c r="D43" s="383" t="s">
        <v>1484</v>
      </c>
      <c r="E43" s="384" t="s">
        <v>1485</v>
      </c>
      <c r="F43" s="385">
        <f ca="1">INDIRECT("'数据-取费表'!k"&amp;$G$1)</f>
        <v>18730.47</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-40147</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3076</v>
      </c>
      <c r="K47" s="1882" t="s">
        <v>1523</v>
      </c>
      <c r="L47" s="1883">
        <f ca="1">INDIRECT("'数据-取费表'!d"&amp;$G$1)</f>
        <v>50</v>
      </c>
      <c r="M47" s="1838" t="str">
        <f>IF(ISNUMBER(FIND("住宅",C1)),"住宅","非住宅")</f>
        <v>非住宅</v>
      </c>
      <c r="O47" s="1884" t="s">
        <v>1037</v>
      </c>
      <c r="P47" s="1885" t="s">
        <v>1524</v>
      </c>
      <c r="Q47" s="1886">
        <f ca="1">C40+J29</f>
        <v>29119</v>
      </c>
      <c r="R47" s="1886" t="s">
        <v>1525</v>
      </c>
    </row>
    <row r="48" spans="1:18" s="1842" customFormat="1" ht="28.5" thickBot="1">
      <c r="A48" s="1360" t="s">
        <v>1132</v>
      </c>
      <c r="B48" s="345" t="s">
        <v>1397</v>
      </c>
      <c r="C48" s="1817">
        <f ca="1">C49+C53+C55</f>
        <v>0</v>
      </c>
      <c r="D48" s="1362"/>
      <c r="E48" s="1363"/>
      <c r="F48" s="1181"/>
      <c r="G48" s="792"/>
      <c r="H48" s="793"/>
      <c r="I48" s="1887" t="s">
        <v>1526</v>
      </c>
      <c r="J48" s="1888" t="s">
        <v>3077</v>
      </c>
      <c r="K48" s="1889" t="s">
        <v>1527</v>
      </c>
      <c r="L48" s="1890">
        <f ca="1">INDIRECT("'数据-取费表'!f"&amp;$G$1)</f>
        <v>39.24</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3030</v>
      </c>
      <c r="E49" s="1830" t="s">
        <v>1487</v>
      </c>
      <c r="F49" s="1281"/>
      <c r="G49" s="1891"/>
      <c r="H49" s="793"/>
      <c r="I49" s="1887" t="s">
        <v>1530</v>
      </c>
      <c r="J49" s="1892"/>
      <c r="K49" s="1889" t="s">
        <v>1531</v>
      </c>
      <c r="L49" s="1893"/>
      <c r="O49" s="1894" t="s">
        <v>1039</v>
      </c>
      <c r="P49" s="1885" t="s">
        <v>1532</v>
      </c>
      <c r="Q49" s="1886">
        <f ca="1">C29</f>
        <v>7413</v>
      </c>
      <c r="R49" s="1886" t="s">
        <v>1525</v>
      </c>
    </row>
    <row r="50" spans="1:18" s="1842" customFormat="1" ht="13.5" thickBot="1">
      <c r="A50" s="1195"/>
      <c r="B50" s="1198"/>
      <c r="C50" s="1368"/>
      <c r="D50" s="1172"/>
      <c r="E50" s="1277" t="s">
        <v>1402</v>
      </c>
      <c r="F50" s="1278">
        <f ca="1">F7</f>
        <v>18730.47</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26618</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39.24</v>
      </c>
      <c r="R52" s="1886" t="s">
        <v>1542</v>
      </c>
    </row>
    <row r="53" spans="1:18" s="1842" customFormat="1" ht="24.75" thickBot="1">
      <c r="A53" s="1405" t="s">
        <v>1134</v>
      </c>
      <c r="B53" s="1831" t="s">
        <v>1405</v>
      </c>
      <c r="C53" s="361">
        <f ca="1">ROUND(IF(F53="押一",C49/12*F11,IF(F53="押二",C49/12*2*F11,IF(F53="押三",C49/12*3*F11,C54*F11))),0)</f>
        <v>0</v>
      </c>
      <c r="D53" s="1824" t="s">
        <v>3037</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39.24</v>
      </c>
      <c r="K53" s="3157" t="s">
        <v>1544</v>
      </c>
      <c r="L53" s="3158"/>
      <c r="O53" s="1884" t="s">
        <v>1043</v>
      </c>
      <c r="P53" s="1885" t="s">
        <v>1545</v>
      </c>
      <c r="Q53" s="1886">
        <f ca="1">Q47+Q48</f>
        <v>29119</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5930</v>
      </c>
      <c r="D56" s="1914"/>
      <c r="E56" s="1915"/>
      <c r="F56" s="1907"/>
      <c r="I56" s="1916" t="s">
        <v>1550</v>
      </c>
      <c r="J56" s="1917" t="s">
        <v>3056</v>
      </c>
      <c r="K56" s="1887" t="s">
        <v>1551</v>
      </c>
      <c r="L56" s="1890" t="str">
        <f ca="1">IF(L48&lt;J51,"——",L48-J53)</f>
        <v>——</v>
      </c>
      <c r="O56" s="1884" t="s">
        <v>1037</v>
      </c>
      <c r="P56" s="1885" t="s">
        <v>1524</v>
      </c>
      <c r="Q56" s="1886">
        <f ca="1">C40+J29</f>
        <v>29119</v>
      </c>
      <c r="R56" s="1886" t="s">
        <v>1525</v>
      </c>
    </row>
    <row r="57" spans="1:18" s="1842" customFormat="1" ht="24.75" thickBot="1">
      <c r="A57" s="1918"/>
      <c r="B57" s="1169" t="s">
        <v>1474</v>
      </c>
      <c r="C57" s="282">
        <f ca="1">C29</f>
        <v>7413</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783</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622.70000000000005</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622.69000000000005</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0</v>
      </c>
      <c r="D62" s="1184" t="s">
        <v>1493</v>
      </c>
      <c r="E62" s="1169" t="s">
        <v>1494</v>
      </c>
      <c r="F62" s="371">
        <f t="shared" si="0"/>
        <v>0</v>
      </c>
      <c r="I62" s="1929" t="s">
        <v>1566</v>
      </c>
      <c r="J62" s="1930" t="s">
        <v>1567</v>
      </c>
      <c r="K62" s="1930" t="s">
        <v>1568</v>
      </c>
      <c r="L62" s="1930" t="s">
        <v>1569</v>
      </c>
      <c r="M62" s="1931" t="s">
        <v>1570</v>
      </c>
      <c r="O62" s="1884" t="s">
        <v>1043</v>
      </c>
      <c r="P62" s="1885" t="s">
        <v>1571</v>
      </c>
      <c r="Q62" s="1886">
        <f ca="1">Q56+Q57</f>
        <v>29119</v>
      </c>
      <c r="R62" s="1886" t="s">
        <v>1044</v>
      </c>
    </row>
    <row r="63" spans="1:18" s="1842" customFormat="1" ht="13.5" thickBot="1">
      <c r="A63" s="372"/>
      <c r="B63" s="1175"/>
      <c r="C63" s="29"/>
      <c r="D63" s="1185"/>
      <c r="E63" s="1169" t="s">
        <v>1495</v>
      </c>
      <c r="F63" s="348">
        <f t="shared" ca="1" si="0"/>
        <v>6134.7</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148.30000000000001</v>
      </c>
      <c r="D64" s="1183" t="s">
        <v>1498</v>
      </c>
      <c r="E64" s="1169" t="s">
        <v>1490</v>
      </c>
      <c r="F64" s="374">
        <f t="shared" ca="1" si="0"/>
        <v>0.02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11.9</v>
      </c>
      <c r="D65" s="1183" t="s">
        <v>1450</v>
      </c>
      <c r="E65" s="1169" t="s">
        <v>1451</v>
      </c>
      <c r="F65" s="376">
        <f t="shared" ca="1" si="0"/>
        <v>2E-3</v>
      </c>
      <c r="I65" s="1929" t="s">
        <v>1575</v>
      </c>
      <c r="J65" s="1930">
        <v>40</v>
      </c>
      <c r="K65" s="1930">
        <v>30</v>
      </c>
      <c r="L65" s="1930">
        <v>50</v>
      </c>
      <c r="M65" s="1932">
        <v>0.02</v>
      </c>
      <c r="O65" s="1884" t="s">
        <v>1037</v>
      </c>
      <c r="P65" s="1885" t="s">
        <v>1576</v>
      </c>
      <c r="Q65" s="1886">
        <f ca="1">C40+J29</f>
        <v>29119</v>
      </c>
      <c r="R65" s="1886" t="s">
        <v>1525</v>
      </c>
    </row>
    <row r="66" spans="1:18" s="1842" customFormat="1" ht="16.5" thickBot="1">
      <c r="A66" s="1201" t="s">
        <v>1500</v>
      </c>
      <c r="B66" s="1169" t="s">
        <v>1435</v>
      </c>
      <c r="C66" s="24">
        <f ca="1">ROUND(C48*F66,1)</f>
        <v>0</v>
      </c>
      <c r="D66" s="1183" t="s">
        <v>1501</v>
      </c>
      <c r="E66" s="1169" t="s">
        <v>1418</v>
      </c>
      <c r="F66" s="357">
        <f t="shared" ca="1" si="0"/>
        <v>0.02</v>
      </c>
      <c r="O66" s="1884" t="s">
        <v>1038</v>
      </c>
      <c r="P66" s="1885" t="s">
        <v>1554</v>
      </c>
      <c r="Q66" s="1886">
        <f ca="1">L60</f>
        <v>0</v>
      </c>
      <c r="R66" s="1886" t="s">
        <v>1577</v>
      </c>
    </row>
    <row r="67" spans="1:18" s="1842" customFormat="1" ht="16.5" thickBot="1">
      <c r="A67" s="1176" t="s">
        <v>1028</v>
      </c>
      <c r="B67" s="1186" t="s">
        <v>1459</v>
      </c>
      <c r="C67" s="361">
        <f ca="1">C48-C58</f>
        <v>-783</v>
      </c>
      <c r="D67" s="1182" t="s">
        <v>1460</v>
      </c>
      <c r="E67" s="1187"/>
      <c r="F67" s="1188"/>
      <c r="O67" s="1894" t="s">
        <v>1039</v>
      </c>
      <c r="P67" s="1885" t="s">
        <v>1558</v>
      </c>
      <c r="Q67" s="1933">
        <f ca="1">L51</f>
        <v>26618</v>
      </c>
      <c r="R67" s="1886" t="s">
        <v>1578</v>
      </c>
    </row>
    <row r="68" spans="1:18" s="1842" customFormat="1" ht="16.5" thickBot="1">
      <c r="A68" s="1166" t="s">
        <v>1029</v>
      </c>
      <c r="B68" s="1167" t="s">
        <v>1481</v>
      </c>
      <c r="C68" s="346">
        <f ca="1">ROUND(C67*(1-((1+F70)/(1+F68))^F69)/(F68-F70),0)</f>
        <v>-11028</v>
      </c>
      <c r="D68" s="1184" t="s">
        <v>1465</v>
      </c>
      <c r="E68" s="1169" t="s">
        <v>1466</v>
      </c>
      <c r="F68" s="357">
        <f ca="1">F40</f>
        <v>6.5000000000000002E-2</v>
      </c>
      <c r="O68" s="1894" t="s">
        <v>1040</v>
      </c>
      <c r="P68" s="1934" t="s">
        <v>1579</v>
      </c>
      <c r="Q68" s="1886">
        <f ca="1">ROUND(Q69-Q70*Q71,0)</f>
        <v>1356</v>
      </c>
      <c r="R68" s="1886" t="s">
        <v>1048</v>
      </c>
    </row>
    <row r="69" spans="1:18" s="1842" customFormat="1" ht="13.5" thickBot="1">
      <c r="A69" s="1170"/>
      <c r="B69" s="1171"/>
      <c r="C69" s="351"/>
      <c r="D69" s="1189" t="s">
        <v>1469</v>
      </c>
      <c r="E69" s="1169" t="s">
        <v>1470</v>
      </c>
      <c r="F69" s="379">
        <f ca="1">F41</f>
        <v>39.24</v>
      </c>
      <c r="O69" s="1894" t="s">
        <v>1045</v>
      </c>
      <c r="P69" s="1934" t="s">
        <v>1580</v>
      </c>
      <c r="Q69" s="1886">
        <f ca="1">C39</f>
        <v>1830</v>
      </c>
      <c r="R69" s="1886" t="s">
        <v>1525</v>
      </c>
    </row>
    <row r="70" spans="1:18" s="1842" customFormat="1" ht="13.5" thickBot="1">
      <c r="A70" s="1173"/>
      <c r="B70" s="1174"/>
      <c r="C70" s="355"/>
      <c r="D70" s="1185"/>
      <c r="E70" s="1169" t="s">
        <v>1473</v>
      </c>
      <c r="F70" s="1275"/>
      <c r="O70" s="1894" t="s">
        <v>1046</v>
      </c>
      <c r="P70" s="1934" t="s">
        <v>1581</v>
      </c>
      <c r="Q70" s="1886">
        <f ca="1">C13</f>
        <v>5930</v>
      </c>
      <c r="R70" s="1886" t="s">
        <v>1525</v>
      </c>
    </row>
    <row r="71" spans="1:18" s="1842" customFormat="1" ht="13.5" thickBot="1">
      <c r="A71" s="1190" t="s">
        <v>1030</v>
      </c>
      <c r="B71" s="1191" t="s">
        <v>1483</v>
      </c>
      <c r="C71" s="382">
        <f ca="1">ROUND(C68*10000/F71,0)</f>
        <v>-5888</v>
      </c>
      <c r="D71" s="1192" t="s">
        <v>1484</v>
      </c>
      <c r="E71" s="1193" t="s">
        <v>1485</v>
      </c>
      <c r="F71" s="385">
        <f ca="1">F43</f>
        <v>18730.47</v>
      </c>
      <c r="O71" s="1894" t="s">
        <v>1047</v>
      </c>
      <c r="P71" s="1934" t="s">
        <v>1582</v>
      </c>
      <c r="Q71" s="1897">
        <f ca="1">C76</f>
        <v>0.08</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474</v>
      </c>
      <c r="D75" s="1842"/>
      <c r="E75" s="1842"/>
      <c r="F75" s="1842"/>
      <c r="K75" s="1868"/>
      <c r="L75" s="1842"/>
      <c r="O75" s="1884" t="s">
        <v>1043</v>
      </c>
      <c r="P75" s="1885" t="s">
        <v>1545</v>
      </c>
      <c r="Q75" s="1886">
        <f ca="1">Q65+Q66</f>
        <v>29119</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0.74099999999999999</v>
      </c>
    </row>
    <row r="80" spans="1:18">
      <c r="B80" s="386" t="s">
        <v>1507</v>
      </c>
      <c r="C80" s="318">
        <f ca="1">ROUND(C75/C39,3)</f>
        <v>0.25900000000000001</v>
      </c>
    </row>
    <row r="81" spans="2:3">
      <c r="B81" s="314" t="s">
        <v>1508</v>
      </c>
      <c r="C81" s="282"/>
    </row>
    <row r="82" spans="2:3">
      <c r="B82" s="317" t="s">
        <v>1509</v>
      </c>
      <c r="C82" s="319">
        <f ca="1">1-C83</f>
        <v>0.79600000000000004</v>
      </c>
    </row>
    <row r="83" spans="2:3">
      <c r="B83" s="317" t="s">
        <v>1510</v>
      </c>
      <c r="C83" s="318">
        <f ca="1">ROUND(C13/C40,3)</f>
        <v>0.20399999999999999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c r="D1" s="1820"/>
      <c r="E1" s="1821" t="s">
        <v>1383</v>
      </c>
      <c r="F1" s="1283" t="b">
        <f>J53</f>
        <v>0</v>
      </c>
      <c r="G1" s="1836">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0</v>
      </c>
      <c r="D5" s="1822" t="s">
        <v>1597</v>
      </c>
      <c r="E5" s="1293"/>
      <c r="F5" s="1294"/>
      <c r="G5" s="1851"/>
      <c r="H5" s="344">
        <v>1</v>
      </c>
      <c r="I5" s="345" t="s">
        <v>1596</v>
      </c>
      <c r="J5" s="1292">
        <f ca="1">J6+J10+J12</f>
        <v>0</v>
      </c>
      <c r="K5" s="1822" t="s">
        <v>1597</v>
      </c>
      <c r="L5" s="1293"/>
      <c r="M5" s="1294"/>
    </row>
    <row r="6" spans="1:37" ht="18" customHeight="1">
      <c r="A6" s="1291" t="s">
        <v>1032</v>
      </c>
      <c r="B6" s="3159" t="s">
        <v>1399</v>
      </c>
      <c r="C6" s="1296">
        <f ca="1">ROUND(F6*F8*F7*(1-F9),0)</f>
        <v>0</v>
      </c>
      <c r="D6" s="164" t="s">
        <v>3026</v>
      </c>
      <c r="E6" s="347" t="s">
        <v>1401</v>
      </c>
      <c r="F6" s="348">
        <f ca="1">INDIRECT("'数据-取费表'!u"&amp;$G$1)</f>
        <v>0</v>
      </c>
      <c r="G6" s="1851"/>
      <c r="H6" s="1291" t="s">
        <v>1032</v>
      </c>
      <c r="I6" s="3159" t="s">
        <v>1399</v>
      </c>
      <c r="J6" s="346">
        <f ca="1">ROUND(M6*M8*M7*(1-M9),0)</f>
        <v>0</v>
      </c>
      <c r="K6" s="1834" t="s">
        <v>3027</v>
      </c>
      <c r="L6" s="347" t="s">
        <v>1401</v>
      </c>
      <c r="M6" s="348">
        <f ca="1">INDIRECT("'数据-取费表'!z"&amp;$G$1)</f>
        <v>0</v>
      </c>
    </row>
    <row r="7" spans="1:37" ht="18" customHeight="1">
      <c r="A7" s="1295"/>
      <c r="B7" s="3160"/>
      <c r="C7" s="1297"/>
      <c r="D7" s="352"/>
      <c r="E7" s="1298" t="s">
        <v>1402</v>
      </c>
      <c r="F7" s="348">
        <f ca="1">IF(INDIRECT("'数据-取费表'!ah"&amp;$G$1)="",INDIRECT("'数据-取费表'!k"&amp;$G$1),INDIRECT("'数据-取费表'!ah"&amp;$G$1))</f>
        <v>0</v>
      </c>
      <c r="G7" s="1851"/>
      <c r="H7" s="349"/>
      <c r="I7" s="3160"/>
      <c r="J7" s="351"/>
      <c r="K7" s="352"/>
      <c r="L7" s="347" t="s">
        <v>1402</v>
      </c>
      <c r="M7" s="348">
        <f ca="1">F7</f>
        <v>0</v>
      </c>
    </row>
    <row r="8" spans="1:37" ht="18" customHeight="1">
      <c r="A8" s="349"/>
      <c r="B8" s="3160"/>
      <c r="C8" s="351"/>
      <c r="D8" s="352"/>
      <c r="E8" s="347" t="s">
        <v>1403</v>
      </c>
      <c r="F8" s="348">
        <f ca="1">INDIRECT("'数据-取费表'!ai"&amp;$G$1)</f>
        <v>0</v>
      </c>
      <c r="G8" s="1851"/>
      <c r="H8" s="349"/>
      <c r="I8" s="3160"/>
      <c r="J8" s="351"/>
      <c r="K8" s="352"/>
      <c r="L8" s="347" t="s">
        <v>1403</v>
      </c>
      <c r="M8" s="348">
        <f ca="1">INDIRECT("'数据-取费表'!ai"&amp;$G$1)</f>
        <v>0</v>
      </c>
    </row>
    <row r="9" spans="1:37" ht="18" customHeight="1">
      <c r="A9" s="349"/>
      <c r="B9" s="3161"/>
      <c r="C9" s="351"/>
      <c r="D9" s="352"/>
      <c r="E9" s="347" t="s">
        <v>1404</v>
      </c>
      <c r="F9" s="357">
        <f ca="1">INDIRECT("'数据-取费表'!w"&amp;$G$1)</f>
        <v>0</v>
      </c>
      <c r="G9" s="1851"/>
      <c r="H9" s="349"/>
      <c r="I9" s="3161"/>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3037</v>
      </c>
      <c r="E10" s="358" t="s">
        <v>1406</v>
      </c>
      <c r="F10" s="1366"/>
      <c r="G10" s="1851"/>
      <c r="H10" s="1291" t="s">
        <v>1036</v>
      </c>
      <c r="I10" s="1823" t="s">
        <v>1405</v>
      </c>
      <c r="J10" s="346">
        <f ca="1">ROUND(IF(M10="押一",J6/12*M11,IF(M10="押二",J6/12*2*M11,IF(M10="押三",J6/12*3*M11,J11*M11))),0)</f>
        <v>0</v>
      </c>
      <c r="K10" s="1835" t="s">
        <v>3039</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0</v>
      </c>
      <c r="D14" s="1800" t="s">
        <v>1414</v>
      </c>
      <c r="E14" s="1794"/>
      <c r="F14" s="364"/>
      <c r="G14" s="1851"/>
      <c r="H14" s="1201" t="s">
        <v>1032</v>
      </c>
      <c r="I14" s="347" t="s">
        <v>1415</v>
      </c>
      <c r="J14" s="24">
        <f ca="1">C29</f>
        <v>0</v>
      </c>
      <c r="K14" s="15"/>
      <c r="L14" s="979"/>
      <c r="M14" s="980"/>
    </row>
    <row r="15" spans="1:37" s="1858" customFormat="1" ht="18" customHeight="1" thickBot="1">
      <c r="A15" s="1201" t="s">
        <v>1033</v>
      </c>
      <c r="B15" s="347" t="s">
        <v>1416</v>
      </c>
      <c r="C15" s="24">
        <f ca="1">ROUND(C14*F15,0)</f>
        <v>0</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0</v>
      </c>
      <c r="K16" s="1337" t="s">
        <v>1421</v>
      </c>
      <c r="L16" s="1338"/>
      <c r="M16" s="1294"/>
    </row>
    <row r="17" spans="1:37" s="1858" customFormat="1" ht="18" customHeight="1">
      <c r="A17" s="1201" t="s">
        <v>1386</v>
      </c>
      <c r="B17" s="347" t="s">
        <v>1422</v>
      </c>
      <c r="C17" s="24">
        <f ca="1">ROUND(F17*(F43+INDIRECT("'数据-取费表'!S"&amp;$G$1)),0)</f>
        <v>0</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0</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0</v>
      </c>
      <c r="D19" s="140" t="s">
        <v>1432</v>
      </c>
      <c r="E19" s="1818"/>
      <c r="F19" s="26"/>
      <c r="G19" s="1851"/>
      <c r="H19" s="1201" t="s">
        <v>1033</v>
      </c>
      <c r="I19" s="347" t="s">
        <v>1433</v>
      </c>
      <c r="J19" s="24">
        <f ca="1">IF(K19="按租金收入计税",ROUND(J5*M19,0),ROUND(C29*M19*0.7,0))</f>
        <v>0</v>
      </c>
      <c r="K19" s="1828" t="s">
        <v>1434</v>
      </c>
      <c r="L19" s="347" t="s">
        <v>1418</v>
      </c>
      <c r="M19" s="367">
        <f>IF(K19="按租金收入计税",'数据-取费表'!B51,'数据-取费表'!B50)</f>
        <v>1.2E-2</v>
      </c>
    </row>
    <row r="20" spans="1:37" s="1858" customFormat="1" ht="18" customHeight="1">
      <c r="A20" s="1201" t="s">
        <v>1036</v>
      </c>
      <c r="B20" s="347" t="s">
        <v>1435</v>
      </c>
      <c r="C20" s="24">
        <f ca="1">ROUND(C19*F20,0)</f>
        <v>0</v>
      </c>
      <c r="D20" s="369" t="s">
        <v>1436</v>
      </c>
      <c r="E20" s="347" t="s">
        <v>1418</v>
      </c>
      <c r="F20" s="367">
        <f>'数据-取费表'!B37</f>
        <v>0.02</v>
      </c>
      <c r="G20" s="1854"/>
      <c r="H20" s="1201" t="s">
        <v>1385</v>
      </c>
      <c r="I20" s="164" t="s">
        <v>1437</v>
      </c>
      <c r="J20" s="25">
        <f ca="1">ROUND(M20*M21,0)</f>
        <v>0</v>
      </c>
      <c r="K20" s="370" t="s">
        <v>1438</v>
      </c>
      <c r="L20" s="347" t="s">
        <v>1439</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ROUND(J14*M22,0)</f>
        <v>0</v>
      </c>
      <c r="K22" s="1798" t="s">
        <v>1446</v>
      </c>
      <c r="L22" s="347" t="s">
        <v>1418</v>
      </c>
      <c r="M22" s="374">
        <f ca="1">INDIRECT("'数据-取费表'!Ak"&amp;$G$1)</f>
        <v>0</v>
      </c>
    </row>
    <row r="23" spans="1:37" s="1858"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ROUND(J13*M23,0)</f>
        <v>0</v>
      </c>
      <c r="K23" s="1798" t="s">
        <v>1450</v>
      </c>
      <c r="L23" s="347" t="s">
        <v>1451</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1"/>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80" t="s">
        <v>1030</v>
      </c>
      <c r="I29" s="381" t="s">
        <v>1475</v>
      </c>
      <c r="J29" s="382">
        <f ca="1">ROUND(J26/(1+F40)^F41,0)</f>
        <v>0</v>
      </c>
      <c r="K29" s="383" t="s">
        <v>1476</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ROUND(IF(项目基本情况!B11="自然人",C5*F31,C32+C33+C34),0)</f>
        <v>0</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IF(项目基本情况!B11="自然人","——",ROUND(C5*F32/(1+'数据-取费表'!C42),0))</f>
        <v>0</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0</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ROUND(C29*F36,0)</f>
        <v>0</v>
      </c>
      <c r="D36" s="1798" t="s">
        <v>1478</v>
      </c>
      <c r="E36" s="347" t="s">
        <v>1418</v>
      </c>
      <c r="F36" s="374">
        <f ca="1">INDIRECT("'数据-取费表'!Ak"&amp;$G$1)</f>
        <v>0</v>
      </c>
      <c r="G36" s="1851"/>
      <c r="H36" s="1859"/>
      <c r="I36" s="1860"/>
      <c r="J36" s="1861"/>
      <c r="K36" s="751"/>
      <c r="L36" s="1859"/>
      <c r="M36" s="1859"/>
    </row>
    <row r="37" spans="1:18" ht="18" customHeight="1">
      <c r="A37" s="1201" t="s">
        <v>1072</v>
      </c>
      <c r="B37" s="347" t="s">
        <v>1449</v>
      </c>
      <c r="C37" s="24">
        <f ca="1">ROUND(C13*F37,0)</f>
        <v>0</v>
      </c>
      <c r="D37" s="1798" t="s">
        <v>1450</v>
      </c>
      <c r="E37" s="347" t="s">
        <v>1451</v>
      </c>
      <c r="F37" s="376">
        <f ca="1">INDIRECT("'数据-取费表'!Al"&amp;$G$1)</f>
        <v>0</v>
      </c>
      <c r="G37" s="1851"/>
      <c r="H37" s="1859"/>
      <c r="I37" s="1860"/>
      <c r="J37" s="1861"/>
      <c r="K37" s="751"/>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5">
        <f ca="1">C5-C30</f>
        <v>0</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#DIV/0!</v>
      </c>
      <c r="D40" s="370" t="s">
        <v>1465</v>
      </c>
      <c r="E40" s="347" t="s">
        <v>1466</v>
      </c>
      <c r="F40" s="357">
        <f ca="1">INDIRECT("'数据-取费表'!I"&amp;$G$1)</f>
        <v>0</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1473</v>
      </c>
      <c r="F42" s="357">
        <f ca="1">INDIRECT("'数据-取费表'!v"&amp;$G$1)</f>
        <v>0</v>
      </c>
      <c r="G42" s="1851"/>
      <c r="H42" s="732"/>
      <c r="I42" s="1860"/>
      <c r="J42" s="1861"/>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5"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92"/>
      <c r="I47" s="1880" t="s">
        <v>1522</v>
      </c>
      <c r="J47" s="1881"/>
      <c r="K47" s="1882" t="s">
        <v>1523</v>
      </c>
      <c r="L47" s="1883">
        <f ca="1">INDIRECT("'数据-取费表'!d"&amp;$G$1)</f>
        <v>0</v>
      </c>
      <c r="M47" s="1838" t="str">
        <f>IF(ISNUMBER(FIND("住宅",C1)),"住宅","非住宅")</f>
        <v>非住宅</v>
      </c>
      <c r="O47" s="1884" t="s">
        <v>1037</v>
      </c>
      <c r="P47" s="1885" t="s">
        <v>1524</v>
      </c>
      <c r="Q47" s="1886" t="e">
        <f ca="1">C40+J29</f>
        <v>#DIV/0!</v>
      </c>
      <c r="R47" s="1886" t="s">
        <v>1525</v>
      </c>
    </row>
    <row r="48" spans="1:18" s="1842" customFormat="1" ht="28.5" thickBot="1">
      <c r="A48" s="1360" t="s">
        <v>1132</v>
      </c>
      <c r="B48" s="345" t="s">
        <v>1397</v>
      </c>
      <c r="C48" s="1817">
        <f ca="1">C49+C53+C55</f>
        <v>0</v>
      </c>
      <c r="D48" s="1362"/>
      <c r="E48" s="1363"/>
      <c r="F48" s="1181"/>
      <c r="G48" s="792"/>
      <c r="H48" s="793"/>
      <c r="I48" s="1887" t="s">
        <v>1526</v>
      </c>
      <c r="J48" s="1888"/>
      <c r="K48" s="1889" t="s">
        <v>1527</v>
      </c>
      <c r="L48" s="1890">
        <f ca="1">INDIRECT("'数据-取费表'!f"&amp;$G$1)</f>
        <v>0</v>
      </c>
      <c r="O48" s="1884" t="s">
        <v>1038</v>
      </c>
      <c r="P48" s="1885" t="s">
        <v>1528</v>
      </c>
      <c r="Q48" s="1886" t="e">
        <f ca="1">J60</f>
        <v>#DIV/0!</v>
      </c>
      <c r="R48" s="1886" t="s">
        <v>1529</v>
      </c>
    </row>
    <row r="49" spans="1:18" s="1842" customFormat="1" ht="13.5" thickBot="1">
      <c r="A49" s="1194" t="s">
        <v>1133</v>
      </c>
      <c r="B49" s="1829" t="s">
        <v>1486</v>
      </c>
      <c r="C49" s="1364">
        <f ca="1">ROUND(F49*F51*F50*(1-F52),0)</f>
        <v>0</v>
      </c>
      <c r="D49" s="1276" t="s">
        <v>1400</v>
      </c>
      <c r="E49" s="1830" t="s">
        <v>1487</v>
      </c>
      <c r="F49" s="1281"/>
      <c r="G49" s="1891"/>
      <c r="H49" s="793"/>
      <c r="I49" s="1887" t="s">
        <v>1530</v>
      </c>
      <c r="J49" s="1892"/>
      <c r="K49" s="1889" t="s">
        <v>1531</v>
      </c>
      <c r="L49" s="1893"/>
      <c r="O49" s="1894" t="s">
        <v>1039</v>
      </c>
      <c r="P49" s="1885" t="s">
        <v>1532</v>
      </c>
      <c r="Q49" s="1886">
        <f ca="1">C29</f>
        <v>0</v>
      </c>
      <c r="R49" s="1886" t="s">
        <v>1525</v>
      </c>
    </row>
    <row r="50" spans="1:18" s="1842" customFormat="1" ht="13.5" thickBot="1">
      <c r="A50" s="1195"/>
      <c r="B50" s="1198"/>
      <c r="C50" s="1199"/>
      <c r="D50" s="1172"/>
      <c r="E50" s="1277" t="s">
        <v>1402</v>
      </c>
      <c r="F50" s="1278">
        <f ca="1">F7</f>
        <v>0</v>
      </c>
      <c r="H50" s="793"/>
      <c r="I50" s="1887" t="s">
        <v>1533</v>
      </c>
      <c r="J50" s="1895">
        <f>SUMPRODUCT((I63:I65=J47)*(J62:L62=J48)*(J63:L65))</f>
        <v>0</v>
      </c>
      <c r="K50" s="1889" t="s">
        <v>1534</v>
      </c>
      <c r="L50" s="1893"/>
      <c r="M50" s="1896"/>
      <c r="O50" s="1894" t="s">
        <v>1040</v>
      </c>
      <c r="P50" s="1885" t="s">
        <v>1535</v>
      </c>
      <c r="Q50" s="1897" t="e">
        <f ca="1">J58</f>
        <v>#DIV/0!</v>
      </c>
      <c r="R50" s="1886"/>
    </row>
    <row r="51" spans="1:18" s="1842" customFormat="1" ht="13.5" thickBot="1">
      <c r="A51" s="1196"/>
      <c r="B51" s="1198"/>
      <c r="C51" s="1199"/>
      <c r="D51" s="1172"/>
      <c r="E51" s="1200" t="s">
        <v>1403</v>
      </c>
      <c r="F51" s="348">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9" t="s">
        <v>1405</v>
      </c>
      <c r="C53" s="361">
        <f ca="1">ROUND(IF(F53="押一",C49/12*F11,IF(F53="押二",C49/12*2*F11,IF(F53="押三",C49/12*3*F11,C54*F11))),0)</f>
        <v>0</v>
      </c>
      <c r="D53" s="1824" t="s">
        <v>3040</v>
      </c>
      <c r="E53" s="358"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157" t="s">
        <v>1544</v>
      </c>
      <c r="L53" s="3158"/>
      <c r="O53" s="1884" t="s">
        <v>1043</v>
      </c>
      <c r="P53" s="1885" t="s">
        <v>1545</v>
      </c>
      <c r="Q53" s="1886" t="e">
        <f ca="1">Q47+Q48</f>
        <v>#DIV/0!</v>
      </c>
      <c r="R53" s="1886" t="s">
        <v>1044</v>
      </c>
    </row>
    <row r="54" spans="1:18" s="1842" customFormat="1" ht="13.5"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#DIV/0!</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0</v>
      </c>
      <c r="D56" s="1914"/>
      <c r="E56" s="1915"/>
      <c r="F56" s="1907"/>
      <c r="I56" s="1916" t="s">
        <v>1550</v>
      </c>
      <c r="J56" s="1917"/>
      <c r="K56" s="1887" t="s">
        <v>1551</v>
      </c>
      <c r="L56" s="1890">
        <f ca="1">IF(L48&lt;J51,"——",L48-J51)</f>
        <v>0</v>
      </c>
      <c r="O56" s="1884" t="s">
        <v>1037</v>
      </c>
      <c r="P56" s="1885" t="s">
        <v>1524</v>
      </c>
      <c r="Q56" s="1886" t="e">
        <f ca="1">C40+J29</f>
        <v>#DIV/0!</v>
      </c>
      <c r="R56" s="1886" t="s">
        <v>1525</v>
      </c>
    </row>
    <row r="57" spans="1:18" s="1842" customFormat="1" ht="24.75" thickBot="1">
      <c r="A57" s="1918"/>
      <c r="B57" s="1169" t="s">
        <v>1474</v>
      </c>
      <c r="C57" s="282">
        <f ca="1">C29</f>
        <v>0</v>
      </c>
      <c r="D57" s="1919"/>
      <c r="E57" s="1920"/>
      <c r="F57" s="1921"/>
      <c r="I57" s="1922" t="s">
        <v>1552</v>
      </c>
      <c r="J57" s="1923">
        <f ca="1">IF(OR(M47="住宅",J51&lt;L48,J56="是"),"——",J51-L48)</f>
        <v>0</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60" t="s">
        <v>1027</v>
      </c>
      <c r="B58" s="1177" t="s">
        <v>1420</v>
      </c>
      <c r="C58" s="361">
        <f ca="1">ROUND(C59+C64+C65+C66,0)</f>
        <v>0</v>
      </c>
      <c r="D58" s="1179" t="s">
        <v>1421</v>
      </c>
      <c r="E58" s="1180"/>
      <c r="F58" s="1181"/>
      <c r="I58" s="1922" t="s">
        <v>1556</v>
      </c>
      <c r="J58" s="1924" t="e">
        <f ca="1">IF(J55&lt;0.4,0.4,J55)</f>
        <v>#DIV/0!</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2" t="s">
        <v>1559</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IF(项目基本情况!B11="自然人","——",ROUND(C48*F60/(1+'数据-取费表'!C42),0))</f>
        <v>0</v>
      </c>
      <c r="D60" s="1183" t="s">
        <v>1430</v>
      </c>
      <c r="E60" s="1169" t="s">
        <v>1418</v>
      </c>
      <c r="F60" s="377">
        <f t="shared" ref="F60:F66" si="0">F32</f>
        <v>5.5000000000000007E-2</v>
      </c>
      <c r="I60" s="1925" t="s">
        <v>1561</v>
      </c>
      <c r="J60" s="1926" t="e">
        <f ca="1">IF(OR(M47="住宅",J51&lt;L48,J56="是"),"0",ROUND(J59/(1+J52)^J53,0))</f>
        <v>#DIV/0!</v>
      </c>
      <c r="K60" s="1927" t="s">
        <v>1562</v>
      </c>
      <c r="L60" s="1926" t="e">
        <f ca="1">IF(OR(M47="住宅",L48&lt;J51),0,ROUND(L57*(L58/L59-1),0))</f>
        <v>#DIV/0!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7">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IF(项目基本情况!B11="自然人","——",ROUND(F62*F63,0))</f>
        <v>0</v>
      </c>
      <c r="D62" s="1184" t="s">
        <v>1493</v>
      </c>
      <c r="E62" s="1169" t="s">
        <v>1494</v>
      </c>
      <c r="F62" s="371">
        <f t="shared" si="0"/>
        <v>0</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ROUND(C57*F64,0)</f>
        <v>0</v>
      </c>
      <c r="D64" s="1183" t="s">
        <v>1498</v>
      </c>
      <c r="E64" s="1169" t="s">
        <v>1490</v>
      </c>
      <c r="F64" s="374">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ROUND(C56*F65,0)</f>
        <v>0</v>
      </c>
      <c r="D65" s="1183" t="s">
        <v>1450</v>
      </c>
      <c r="E65" s="1169" t="s">
        <v>1451</v>
      </c>
      <c r="F65" s="376">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1" t="s">
        <v>1500</v>
      </c>
      <c r="B66" s="1169" t="s">
        <v>1435</v>
      </c>
      <c r="C66" s="24">
        <f ca="1">ROUND(C48*F66,0)</f>
        <v>0</v>
      </c>
      <c r="D66" s="1183" t="s">
        <v>1501</v>
      </c>
      <c r="E66" s="1169" t="s">
        <v>1418</v>
      </c>
      <c r="F66" s="357">
        <f t="shared" ca="1" si="0"/>
        <v>0</v>
      </c>
      <c r="O66" s="1884" t="s">
        <v>1038</v>
      </c>
      <c r="P66" s="1885" t="s">
        <v>1554</v>
      </c>
      <c r="Q66" s="1886" t="e">
        <f ca="1">L60</f>
        <v>#DIV/0!</v>
      </c>
      <c r="R66" s="1886" t="s">
        <v>1577</v>
      </c>
    </row>
    <row r="67" spans="1:18" s="1842" customFormat="1" ht="16.5" thickBot="1">
      <c r="A67" s="1176" t="s">
        <v>1028</v>
      </c>
      <c r="B67" s="1186" t="s">
        <v>1459</v>
      </c>
      <c r="C67" s="361">
        <f ca="1">C48-C58</f>
        <v>0</v>
      </c>
      <c r="D67" s="1182" t="s">
        <v>1460</v>
      </c>
      <c r="E67" s="1187"/>
      <c r="F67" s="1188"/>
      <c r="O67" s="1894" t="s">
        <v>1039</v>
      </c>
      <c r="P67" s="1885" t="s">
        <v>1558</v>
      </c>
      <c r="Q67" s="1933">
        <f ca="1">L51</f>
        <v>0</v>
      </c>
      <c r="R67" s="1886" t="s">
        <v>1578</v>
      </c>
    </row>
    <row r="68" spans="1:18" s="1842" customFormat="1" ht="16.5" thickBot="1">
      <c r="A68" s="1166" t="s">
        <v>1029</v>
      </c>
      <c r="B68" s="1167" t="s">
        <v>1481</v>
      </c>
      <c r="C68" s="346" t="e">
        <f ca="1">ROUND(C67*(1-((1+F70)/(1+F68))^F69)/(F68-F70),0)</f>
        <v>#DIV/0!</v>
      </c>
      <c r="D68" s="1184" t="s">
        <v>1465</v>
      </c>
      <c r="E68" s="1169" t="s">
        <v>1466</v>
      </c>
      <c r="F68" s="357">
        <f ca="1">F40</f>
        <v>0</v>
      </c>
      <c r="O68" s="1894" t="s">
        <v>1040</v>
      </c>
      <c r="P68" s="1934" t="s">
        <v>1579</v>
      </c>
      <c r="Q68" s="1886">
        <f ca="1">ROUND(Q69-Q70*Q71,0)</f>
        <v>0</v>
      </c>
      <c r="R68" s="1886" t="s">
        <v>1048</v>
      </c>
    </row>
    <row r="69" spans="1:18" s="1842" customFormat="1" ht="13.5" thickBot="1">
      <c r="A69" s="1170"/>
      <c r="B69" s="1171"/>
      <c r="C69" s="351"/>
      <c r="D69" s="1189" t="s">
        <v>1469</v>
      </c>
      <c r="E69" s="1169" t="s">
        <v>1470</v>
      </c>
      <c r="F69" s="379">
        <f ca="1">F41</f>
        <v>0</v>
      </c>
      <c r="O69" s="1894" t="s">
        <v>1045</v>
      </c>
      <c r="P69" s="1934" t="s">
        <v>1580</v>
      </c>
      <c r="Q69" s="1886">
        <f ca="1">C39</f>
        <v>0</v>
      </c>
      <c r="R69" s="1886" t="s">
        <v>1525</v>
      </c>
    </row>
    <row r="70" spans="1:18" s="1842" customFormat="1" ht="13.5" thickBot="1">
      <c r="A70" s="1173"/>
      <c r="B70" s="1174"/>
      <c r="C70" s="355"/>
      <c r="D70" s="1185"/>
      <c r="E70" s="1169" t="s">
        <v>1473</v>
      </c>
      <c r="F70" s="1275">
        <f ca="1">F42</f>
        <v>0</v>
      </c>
      <c r="O70" s="1894" t="s">
        <v>1046</v>
      </c>
      <c r="P70" s="1934" t="s">
        <v>1581</v>
      </c>
      <c r="Q70" s="1886">
        <f ca="1">C13</f>
        <v>0</v>
      </c>
      <c r="R70" s="1886" t="s">
        <v>1525</v>
      </c>
    </row>
    <row r="71" spans="1:18" s="1842" customFormat="1" ht="13.5" thickBot="1">
      <c r="A71" s="1190" t="s">
        <v>1030</v>
      </c>
      <c r="B71" s="1191" t="s">
        <v>1483</v>
      </c>
      <c r="C71" s="382" t="e">
        <f ca="1">ROUND(C68/F71,0)</f>
        <v>#DIV/0!</v>
      </c>
      <c r="D71" s="1192" t="s">
        <v>1484</v>
      </c>
      <c r="E71" s="1193" t="s">
        <v>1485</v>
      </c>
      <c r="F71" s="385">
        <f ca="1">F43</f>
        <v>0</v>
      </c>
      <c r="O71" s="1894" t="s">
        <v>1047</v>
      </c>
      <c r="P71" s="1934" t="s">
        <v>1582</v>
      </c>
      <c r="Q71" s="1897">
        <f ca="1">C76</f>
        <v>0</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6" t="s">
        <v>1502</v>
      </c>
      <c r="C75" s="387">
        <f ca="1">ROUND(C13*C76,0)</f>
        <v>0</v>
      </c>
      <c r="D75" s="1842"/>
      <c r="E75" s="1842"/>
      <c r="F75" s="1842"/>
      <c r="K75" s="1868"/>
      <c r="L75" s="1842"/>
      <c r="O75" s="1884" t="s">
        <v>1043</v>
      </c>
      <c r="P75" s="1885" t="s">
        <v>1545</v>
      </c>
      <c r="Q75" s="1886" t="e">
        <f ca="1">Q65+Q66</f>
        <v>#DIV/0!</v>
      </c>
      <c r="R75" s="1886" t="s">
        <v>1044</v>
      </c>
    </row>
    <row r="76" spans="1:18">
      <c r="B76" s="388" t="s">
        <v>1503</v>
      </c>
      <c r="C76" s="389">
        <f ca="1">INDIRECT("'数据-取费表'!j"&amp;$G$1)</f>
        <v>0</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8" t="s">
        <v>1073</v>
      </c>
      <c r="B1" s="3179"/>
      <c r="C1" s="3180"/>
      <c r="D1" s="3181">
        <f>SUM(I10,I15,I20,I21,I23)</f>
        <v>0</v>
      </c>
      <c r="E1" s="3181"/>
      <c r="F1" s="3181"/>
      <c r="G1" s="3181"/>
      <c r="H1" s="3181"/>
      <c r="I1" s="3182"/>
    </row>
    <row r="2" spans="1:9">
      <c r="A2" s="3168" t="s">
        <v>1074</v>
      </c>
      <c r="B2" s="3169" t="s">
        <v>1075</v>
      </c>
      <c r="C2" s="3169"/>
      <c r="D2" s="1301" t="s">
        <v>1076</v>
      </c>
      <c r="E2" s="1301" t="s">
        <v>1077</v>
      </c>
      <c r="F2" s="1301" t="s">
        <v>1078</v>
      </c>
      <c r="G2" s="1301" t="s">
        <v>1079</v>
      </c>
      <c r="H2" s="1301" t="s">
        <v>1080</v>
      </c>
      <c r="I2" s="1302" t="s">
        <v>1081</v>
      </c>
    </row>
    <row r="3" spans="1:9">
      <c r="A3" s="3168"/>
      <c r="B3" s="3169" t="s">
        <v>1082</v>
      </c>
      <c r="C3" s="3169"/>
      <c r="D3" s="1303"/>
      <c r="E3" s="1301"/>
      <c r="F3" s="1304"/>
      <c r="G3" s="1304"/>
      <c r="H3" s="1305"/>
      <c r="I3" s="1306">
        <f>ROUND(D3*E3*F3*G3*H3/10000,0)</f>
        <v>0</v>
      </c>
    </row>
    <row r="4" spans="1:9">
      <c r="A4" s="3168"/>
      <c r="B4" s="3169" t="s">
        <v>1083</v>
      </c>
      <c r="C4" s="3169"/>
      <c r="D4" s="1303"/>
      <c r="E4" s="1301"/>
      <c r="F4" s="1304"/>
      <c r="G4" s="1304"/>
      <c r="H4" s="1305"/>
      <c r="I4" s="1306">
        <f t="shared" ref="I4:I9" si="0">ROUND(D4*E4*F4*G4*H4/10000,0)</f>
        <v>0</v>
      </c>
    </row>
    <row r="5" spans="1:9">
      <c r="A5" s="3168"/>
      <c r="B5" s="3169" t="s">
        <v>1084</v>
      </c>
      <c r="C5" s="3169"/>
      <c r="D5" s="1303"/>
      <c r="E5" s="1301"/>
      <c r="F5" s="1304"/>
      <c r="G5" s="1304"/>
      <c r="H5" s="1305"/>
      <c r="I5" s="1306">
        <f t="shared" si="0"/>
        <v>0</v>
      </c>
    </row>
    <row r="6" spans="1:9">
      <c r="A6" s="3168"/>
      <c r="B6" s="3169" t="s">
        <v>1085</v>
      </c>
      <c r="C6" s="3169"/>
      <c r="D6" s="1303"/>
      <c r="E6" s="1301"/>
      <c r="F6" s="1304"/>
      <c r="G6" s="1304"/>
      <c r="H6" s="1305"/>
      <c r="I6" s="1306">
        <f t="shared" si="0"/>
        <v>0</v>
      </c>
    </row>
    <row r="7" spans="1:9">
      <c r="A7" s="3168"/>
      <c r="B7" s="3169" t="s">
        <v>1086</v>
      </c>
      <c r="C7" s="3169"/>
      <c r="D7" s="1303"/>
      <c r="E7" s="1301"/>
      <c r="F7" s="1304"/>
      <c r="G7" s="1304"/>
      <c r="H7" s="1305"/>
      <c r="I7" s="1306">
        <f t="shared" si="0"/>
        <v>0</v>
      </c>
    </row>
    <row r="8" spans="1:9">
      <c r="A8" s="3168"/>
      <c r="B8" s="3169" t="s">
        <v>1087</v>
      </c>
      <c r="C8" s="3169"/>
      <c r="D8" s="1303"/>
      <c r="E8" s="1301"/>
      <c r="F8" s="1304"/>
      <c r="G8" s="1304"/>
      <c r="H8" s="1305"/>
      <c r="I8" s="1306">
        <f t="shared" si="0"/>
        <v>0</v>
      </c>
    </row>
    <row r="9" spans="1:9">
      <c r="A9" s="3168"/>
      <c r="B9" s="3169" t="s">
        <v>1088</v>
      </c>
      <c r="C9" s="3169"/>
      <c r="D9" s="1303"/>
      <c r="E9" s="1301"/>
      <c r="F9" s="1304"/>
      <c r="G9" s="1304"/>
      <c r="H9" s="1305"/>
      <c r="I9" s="1306">
        <f t="shared" si="0"/>
        <v>0</v>
      </c>
    </row>
    <row r="10" spans="1:9">
      <c r="A10" s="3168"/>
      <c r="B10" s="3170" t="s">
        <v>1089</v>
      </c>
      <c r="C10" s="3170"/>
      <c r="D10" s="1307"/>
      <c r="E10" s="1307" t="e">
        <f>ROUND(D1*10000/D10/H9,0)</f>
        <v>#DIV/0!</v>
      </c>
      <c r="F10" s="1308"/>
      <c r="G10" s="1308"/>
      <c r="H10" s="1309"/>
      <c r="I10" s="1310">
        <f>SUM(I3:I9)</f>
        <v>0</v>
      </c>
    </row>
    <row r="11" spans="1:9" ht="14.25">
      <c r="A11" s="3168" t="s">
        <v>1090</v>
      </c>
      <c r="B11" s="3169" t="s">
        <v>1091</v>
      </c>
      <c r="C11" s="3169"/>
      <c r="D11" s="1303" t="s">
        <v>1092</v>
      </c>
      <c r="E11" s="1303" t="s">
        <v>1093</v>
      </c>
      <c r="F11" s="1304" t="s">
        <v>1094</v>
      </c>
      <c r="G11" s="1304" t="s">
        <v>1080</v>
      </c>
      <c r="H11" s="1311" t="s">
        <v>1095</v>
      </c>
      <c r="I11" s="1302" t="s">
        <v>1081</v>
      </c>
    </row>
    <row r="12" spans="1:9">
      <c r="A12" s="3168"/>
      <c r="B12" s="3169" t="s">
        <v>1096</v>
      </c>
      <c r="C12" s="3169"/>
      <c r="D12" s="1303"/>
      <c r="E12" s="1303"/>
      <c r="F12" s="1304"/>
      <c r="G12" s="1305"/>
      <c r="H12" s="1312"/>
      <c r="I12" s="1302">
        <f>ROUND(D12*E12*F12*G12/10000,0)</f>
        <v>0</v>
      </c>
    </row>
    <row r="13" spans="1:9">
      <c r="A13" s="3168"/>
      <c r="B13" s="3169" t="s">
        <v>1097</v>
      </c>
      <c r="C13" s="3169"/>
      <c r="D13" s="1303"/>
      <c r="E13" s="1303"/>
      <c r="F13" s="1304"/>
      <c r="G13" s="1305"/>
      <c r="H13" s="1312"/>
      <c r="I13" s="1302">
        <f>ROUND(D13*E13*F13*G13/10000,0)</f>
        <v>0</v>
      </c>
    </row>
    <row r="14" spans="1:9">
      <c r="A14" s="3168"/>
      <c r="B14" s="3169" t="s">
        <v>1098</v>
      </c>
      <c r="C14" s="3169"/>
      <c r="D14" s="1303"/>
      <c r="E14" s="1303"/>
      <c r="F14" s="1304"/>
      <c r="G14" s="1305"/>
      <c r="H14" s="1312"/>
      <c r="I14" s="1302">
        <f>ROUND(D14*E14*F14*G14/10000,0)</f>
        <v>0</v>
      </c>
    </row>
    <row r="15" spans="1:9">
      <c r="A15" s="3168"/>
      <c r="B15" s="3170" t="s">
        <v>1089</v>
      </c>
      <c r="C15" s="3170"/>
      <c r="D15" s="1307"/>
      <c r="E15" s="1307">
        <f>SUM(E12:E14)</f>
        <v>0</v>
      </c>
      <c r="F15" s="1308"/>
      <c r="G15" s="1305"/>
      <c r="H15" s="1312"/>
      <c r="I15" s="1313">
        <f>SUM(I12:I14)</f>
        <v>0</v>
      </c>
    </row>
    <row r="16" spans="1:9" ht="24">
      <c r="A16" s="3168" t="s">
        <v>1099</v>
      </c>
      <c r="B16" s="3169" t="s">
        <v>1100</v>
      </c>
      <c r="C16" s="3169"/>
      <c r="D16" s="1303" t="s">
        <v>1076</v>
      </c>
      <c r="E16" s="1314" t="s">
        <v>1101</v>
      </c>
      <c r="F16" s="1304" t="s">
        <v>1102</v>
      </c>
      <c r="G16" s="1305" t="s">
        <v>1080</v>
      </c>
      <c r="H16" s="1311" t="s">
        <v>1095</v>
      </c>
      <c r="I16" s="1302" t="s">
        <v>1081</v>
      </c>
    </row>
    <row r="17" spans="1:9" ht="14.25">
      <c r="A17" s="3168"/>
      <c r="B17" s="3169" t="s">
        <v>1103</v>
      </c>
      <c r="C17" s="3169"/>
      <c r="D17" s="1303"/>
      <c r="E17" s="1303"/>
      <c r="F17" s="1304"/>
      <c r="G17" s="1305"/>
      <c r="H17" s="1315"/>
      <c r="I17" s="1316">
        <f>ROUND(D17*E17*F17*G17/10000,0)</f>
        <v>0</v>
      </c>
    </row>
    <row r="18" spans="1:9" ht="14.25">
      <c r="A18" s="3168"/>
      <c r="B18" s="3169" t="s">
        <v>1104</v>
      </c>
      <c r="C18" s="3169"/>
      <c r="D18" s="1303"/>
      <c r="E18" s="1303"/>
      <c r="F18" s="1304"/>
      <c r="G18" s="1305"/>
      <c r="H18" s="1315"/>
      <c r="I18" s="1316">
        <f>ROUND(D18*E18*F18*G18/10000,0)</f>
        <v>0</v>
      </c>
    </row>
    <row r="19" spans="1:9" ht="14.25">
      <c r="A19" s="3168"/>
      <c r="B19" s="3169" t="s">
        <v>1105</v>
      </c>
      <c r="C19" s="3169"/>
      <c r="D19" s="1303"/>
      <c r="E19" s="1303"/>
      <c r="F19" s="1304"/>
      <c r="G19" s="1305"/>
      <c r="H19" s="1315"/>
      <c r="I19" s="1316">
        <f>ROUND(D19*E19*F19*G19/10000,0)</f>
        <v>0</v>
      </c>
    </row>
    <row r="20" spans="1:9">
      <c r="A20" s="3168"/>
      <c r="B20" s="3170" t="s">
        <v>1089</v>
      </c>
      <c r="C20" s="3170"/>
      <c r="D20" s="1307">
        <f>SUM(D17:D19)</f>
        <v>0</v>
      </c>
      <c r="E20" s="1307"/>
      <c r="F20" s="1308"/>
      <c r="G20" s="1305"/>
      <c r="H20" s="1312"/>
      <c r="I20" s="1313">
        <f>SUM(I17:I19)</f>
        <v>0</v>
      </c>
    </row>
    <row r="21" spans="1:9">
      <c r="A21" s="3168" t="s">
        <v>1106</v>
      </c>
      <c r="B21" s="3171"/>
      <c r="C21" s="3171"/>
      <c r="D21" s="3171"/>
      <c r="E21" s="3171"/>
      <c r="F21" s="3171"/>
      <c r="G21" s="3171"/>
      <c r="H21" s="1765">
        <v>0.1</v>
      </c>
      <c r="I21" s="1310">
        <f>ROUND(I10*H21,0)</f>
        <v>0</v>
      </c>
    </row>
    <row r="22" spans="1:9" ht="14.25">
      <c r="A22" s="3172" t="s">
        <v>1107</v>
      </c>
      <c r="B22" s="3173"/>
      <c r="C22" s="3174"/>
      <c r="D22" s="1317" t="s">
        <v>1108</v>
      </c>
      <c r="E22" s="1317" t="s">
        <v>1109</v>
      </c>
      <c r="F22" s="1318" t="s">
        <v>1110</v>
      </c>
      <c r="G22" s="1318" t="s">
        <v>1111</v>
      </c>
      <c r="H22" s="1311" t="s">
        <v>1112</v>
      </c>
      <c r="I22" s="1302" t="s">
        <v>1113</v>
      </c>
    </row>
    <row r="23" spans="1:9" ht="14.25" thickBot="1">
      <c r="A23" s="3175"/>
      <c r="B23" s="3176"/>
      <c r="C23" s="3177"/>
      <c r="D23" s="1319"/>
      <c r="E23" s="1319"/>
      <c r="F23" s="1319"/>
      <c r="G23" s="1320"/>
      <c r="H23" s="1321"/>
      <c r="I23" s="1322">
        <f>ROUND(E23*D23*F23*(1-G23)/10000,0)</f>
        <v>0</v>
      </c>
    </row>
    <row r="26" spans="1:9">
      <c r="A26" s="1323" t="s">
        <v>1114</v>
      </c>
      <c r="B26" s="1323"/>
      <c r="C26" s="1323"/>
      <c r="D26" s="1323"/>
      <c r="E26" s="3165">
        <f>C27-C30-C31-C32</f>
        <v>0</v>
      </c>
      <c r="F26" s="3165"/>
      <c r="G26" s="3165"/>
      <c r="H26" s="1737" t="s">
        <v>1336</v>
      </c>
    </row>
    <row r="27" spans="1:9">
      <c r="A27" s="1324">
        <v>1</v>
      </c>
      <c r="B27" s="1325" t="s">
        <v>1115</v>
      </c>
      <c r="C27" s="1325">
        <f>C28+C29</f>
        <v>0</v>
      </c>
      <c r="D27" s="1325"/>
      <c r="E27" s="3166"/>
      <c r="F27" s="3166"/>
      <c r="G27" s="3166"/>
    </row>
    <row r="28" spans="1:9">
      <c r="A28" s="1326" t="s">
        <v>1116</v>
      </c>
      <c r="B28" s="1325" t="s">
        <v>1117</v>
      </c>
      <c r="C28" s="1325"/>
      <c r="D28" s="1325"/>
      <c r="E28" s="3166"/>
      <c r="F28" s="3166"/>
      <c r="G28" s="3166"/>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67"/>
      <c r="F32" s="3167"/>
      <c r="G32" s="3167"/>
    </row>
    <row r="33" spans="1:7" hidden="1">
      <c r="A33" s="3162" t="s">
        <v>1126</v>
      </c>
      <c r="B33" s="3163"/>
      <c r="C33" s="3163"/>
      <c r="D33" s="3164"/>
      <c r="E33" s="3165"/>
      <c r="F33" s="3165"/>
      <c r="G33" s="3165"/>
    </row>
    <row r="34" spans="1:7" hidden="1">
      <c r="A34" s="1328">
        <v>1</v>
      </c>
      <c r="B34" s="1325" t="s">
        <v>1127</v>
      </c>
      <c r="C34" s="1325"/>
      <c r="D34" s="1325"/>
      <c r="E34" s="3166"/>
      <c r="F34" s="3166"/>
      <c r="G34" s="3166"/>
    </row>
    <row r="35" spans="1:7" hidden="1">
      <c r="A35" s="1328">
        <v>2</v>
      </c>
      <c r="B35" s="1325" t="s">
        <v>1128</v>
      </c>
      <c r="C35" s="1325"/>
      <c r="D35" s="1325"/>
      <c r="E35" s="3166"/>
      <c r="F35" s="3166"/>
      <c r="G35" s="3166"/>
    </row>
    <row r="36" spans="1:7" hidden="1">
      <c r="A36" s="1328">
        <v>3</v>
      </c>
      <c r="B36" s="1325" t="s">
        <v>1129</v>
      </c>
      <c r="C36" s="1325"/>
      <c r="D36" s="1325"/>
      <c r="E36" s="3166"/>
      <c r="F36" s="3166"/>
      <c r="G36" s="3166"/>
    </row>
    <row r="37" spans="1:7" hidden="1">
      <c r="A37" s="1328">
        <v>4</v>
      </c>
      <c r="B37" s="1325" t="s">
        <v>1130</v>
      </c>
      <c r="C37" s="1325"/>
      <c r="D37" s="1325"/>
      <c r="E37" s="3166"/>
      <c r="F37" s="3166"/>
      <c r="G37" s="3166"/>
    </row>
    <row r="38" spans="1:7" hidden="1">
      <c r="A38" s="3162" t="s">
        <v>1131</v>
      </c>
      <c r="B38" s="3163"/>
      <c r="C38" s="3163"/>
      <c r="D38" s="3164"/>
      <c r="E38" s="3165"/>
      <c r="F38" s="3165"/>
      <c r="G38" s="31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85" t="s">
        <v>2527</v>
      </c>
      <c r="C1" s="1634" t="s">
        <v>2528</v>
      </c>
      <c r="D1" s="1621"/>
      <c r="E1" s="2586"/>
      <c r="F1" s="2587" t="s">
        <v>2529</v>
      </c>
      <c r="G1" s="1631" t="s">
        <v>2530</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9"/>
      <c r="D2" s="1365" t="e">
        <f ca="1">SUMIF(INDIRECT("'"&amp;F2&amp;"'"&amp;"!A:A"),"承租人权益价值",INDIRECT("'"&amp;F2&amp;"'"&amp;"!c:c"))</f>
        <v>#REF!</v>
      </c>
      <c r="E2" s="2590" t="s">
        <v>2531</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1391</v>
      </c>
      <c r="B3" s="399" t="e">
        <f ca="1">IF(C2="——",C49,ROUND(B2*10000/D3,0))</f>
        <v>#DIV/0!</v>
      </c>
      <c r="C3" s="400" t="s">
        <v>2532</v>
      </c>
      <c r="D3" s="399">
        <f>IF(D1="",'数据-汇总表'!E3,SUMIF('数据-汇总表'!$C19:$C33,D1,'数据-汇总表'!$E19:$E33))</f>
        <v>26356.14</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2533</v>
      </c>
      <c r="B4" s="402"/>
      <c r="C4" s="3201" t="s">
        <v>2534</v>
      </c>
      <c r="D4" s="3202"/>
      <c r="E4" s="3203" t="s">
        <v>2535</v>
      </c>
      <c r="F4" s="3204"/>
      <c r="G4" s="3201" t="s">
        <v>2536</v>
      </c>
      <c r="H4" s="3202"/>
      <c r="I4" s="3201" t="s">
        <v>2537</v>
      </c>
      <c r="J4" s="3202"/>
      <c r="K4" s="2599" t="s">
        <v>2538</v>
      </c>
      <c r="L4" s="1130"/>
      <c r="M4" s="1131"/>
      <c r="N4" s="1131"/>
      <c r="O4" s="1131"/>
      <c r="P4" s="3205" t="s">
        <v>2539</v>
      </c>
      <c r="Q4" s="3206"/>
      <c r="R4" s="3211" t="s">
        <v>2535</v>
      </c>
      <c r="S4" s="3212"/>
      <c r="T4" s="3211" t="s">
        <v>2536</v>
      </c>
      <c r="U4" s="3212"/>
      <c r="V4" s="3217" t="s">
        <v>2537</v>
      </c>
      <c r="W4" s="3217"/>
      <c r="X4" s="1813"/>
      <c r="Y4" s="3211" t="s">
        <v>2539</v>
      </c>
      <c r="Z4" s="3212"/>
      <c r="AA4" s="3198" t="s">
        <v>2535</v>
      </c>
      <c r="AB4" s="3198" t="s">
        <v>2536</v>
      </c>
      <c r="AC4" s="3198" t="s">
        <v>2537</v>
      </c>
    </row>
    <row r="5" spans="1:29" ht="15">
      <c r="A5" s="404"/>
      <c r="B5" s="405"/>
      <c r="C5" s="3220" t="s">
        <v>2540</v>
      </c>
      <c r="D5" s="3221"/>
      <c r="E5" s="3227" t="s">
        <v>2541</v>
      </c>
      <c r="F5" s="3228"/>
      <c r="G5" s="3220" t="s">
        <v>2542</v>
      </c>
      <c r="H5" s="3221"/>
      <c r="I5" s="3220" t="s">
        <v>2543</v>
      </c>
      <c r="J5" s="3221"/>
      <c r="K5" s="2600"/>
      <c r="L5" s="1130"/>
      <c r="M5" s="1131"/>
      <c r="N5" s="1131"/>
      <c r="O5" s="1131"/>
      <c r="P5" s="3207"/>
      <c r="Q5" s="3208"/>
      <c r="R5" s="3213"/>
      <c r="S5" s="3214"/>
      <c r="T5" s="3213"/>
      <c r="U5" s="3214"/>
      <c r="V5" s="3217"/>
      <c r="W5" s="3217"/>
      <c r="X5" s="1813"/>
      <c r="Y5" s="3213"/>
      <c r="Z5" s="3214"/>
      <c r="AA5" s="3199"/>
      <c r="AB5" s="3199"/>
      <c r="AC5" s="3199"/>
    </row>
    <row r="6" spans="1:29" ht="15.75" thickBot="1">
      <c r="A6" s="406"/>
      <c r="B6" s="407"/>
      <c r="C6" s="3218" t="s">
        <v>2544</v>
      </c>
      <c r="D6" s="3219"/>
      <c r="E6" s="3225" t="s">
        <v>2544</v>
      </c>
      <c r="F6" s="3226"/>
      <c r="G6" s="3218" t="s">
        <v>2544</v>
      </c>
      <c r="H6" s="3219"/>
      <c r="I6" s="3218" t="s">
        <v>2544</v>
      </c>
      <c r="J6" s="3219"/>
      <c r="K6" s="2600" t="s">
        <v>2545</v>
      </c>
      <c r="L6" s="1130"/>
      <c r="M6" s="1131"/>
      <c r="N6" s="1131"/>
      <c r="O6" s="1131"/>
      <c r="P6" s="3209"/>
      <c r="Q6" s="3210"/>
      <c r="R6" s="3213"/>
      <c r="S6" s="3214"/>
      <c r="T6" s="3215"/>
      <c r="U6" s="3216"/>
      <c r="V6" s="3217"/>
      <c r="W6" s="3217"/>
      <c r="X6" s="1813"/>
      <c r="Y6" s="3215"/>
      <c r="Z6" s="3216"/>
      <c r="AA6" s="3200"/>
      <c r="AB6" s="3200"/>
      <c r="AC6" s="3200"/>
    </row>
    <row r="7" spans="1:29" s="117" customFormat="1" ht="15.75" thickBot="1">
      <c r="A7" s="408" t="s">
        <v>2546</v>
      </c>
      <c r="B7" s="409"/>
      <c r="C7" s="410">
        <f>'数据-取费表'!B2</f>
        <v>43538</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222" t="s">
        <v>2547</v>
      </c>
      <c r="Q7" s="3224"/>
      <c r="R7" s="770" t="s">
        <v>23</v>
      </c>
      <c r="S7" s="771">
        <f t="shared" ref="S7:S15" si="0">F7</f>
        <v>0</v>
      </c>
      <c r="T7" s="770" t="s">
        <v>23</v>
      </c>
      <c r="U7" s="771">
        <f t="shared" ref="U7:U15" si="1">H7</f>
        <v>0</v>
      </c>
      <c r="V7" s="770" t="s">
        <v>23</v>
      </c>
      <c r="W7" s="771">
        <f t="shared" ref="W7:W15" si="2">J7</f>
        <v>0</v>
      </c>
      <c r="X7" s="772"/>
      <c r="Y7" s="3222" t="s">
        <v>2547</v>
      </c>
      <c r="Z7" s="3223"/>
      <c r="AA7" s="773" t="e">
        <f>D7/F7</f>
        <v>#DIV/0!</v>
      </c>
      <c r="AB7" s="773" t="e">
        <f>D7/H7</f>
        <v>#DIV/0!</v>
      </c>
      <c r="AC7" s="773" t="e">
        <f>D7/J7</f>
        <v>#DIV/0!</v>
      </c>
    </row>
    <row r="8" spans="1:29" s="117" customFormat="1" ht="15.75" thickBot="1">
      <c r="A8" s="408" t="s">
        <v>2548</v>
      </c>
      <c r="B8" s="409"/>
      <c r="C8" s="414" t="s">
        <v>2549</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222" t="s">
        <v>2550</v>
      </c>
      <c r="Q8" s="3223"/>
      <c r="R8" s="770" t="s">
        <v>23</v>
      </c>
      <c r="S8" s="771">
        <f t="shared" si="0"/>
        <v>0</v>
      </c>
      <c r="T8" s="770" t="s">
        <v>23</v>
      </c>
      <c r="U8" s="771">
        <f t="shared" si="1"/>
        <v>0</v>
      </c>
      <c r="V8" s="770" t="s">
        <v>23</v>
      </c>
      <c r="W8" s="771">
        <f t="shared" si="2"/>
        <v>0</v>
      </c>
      <c r="X8" s="772"/>
      <c r="Y8" s="3222" t="s">
        <v>2550</v>
      </c>
      <c r="Z8" s="3223"/>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197" t="s">
        <v>2553</v>
      </c>
      <c r="Q9" s="1795" t="str">
        <f t="shared" ref="Q9:Q15" si="6">B9</f>
        <v>用途</v>
      </c>
      <c r="R9" s="770" t="s">
        <v>17</v>
      </c>
      <c r="S9" s="771">
        <f t="shared" si="0"/>
        <v>100</v>
      </c>
      <c r="T9" s="770" t="s">
        <v>17</v>
      </c>
      <c r="U9" s="771">
        <f t="shared" si="1"/>
        <v>100</v>
      </c>
      <c r="V9" s="770" t="s">
        <v>17</v>
      </c>
      <c r="W9" s="771">
        <f t="shared" si="2"/>
        <v>100</v>
      </c>
      <c r="X9" s="772"/>
      <c r="Y9" s="3011"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7"/>
      <c r="Q10" s="1795" t="str">
        <f t="shared" si="6"/>
        <v>土地使用年限（年）</v>
      </c>
      <c r="R10" s="770" t="s">
        <v>17</v>
      </c>
      <c r="S10" s="771">
        <f t="shared" si="0"/>
        <v>100</v>
      </c>
      <c r="T10" s="770" t="s">
        <v>17</v>
      </c>
      <c r="U10" s="771">
        <f t="shared" si="1"/>
        <v>100</v>
      </c>
      <c r="V10" s="770" t="s">
        <v>17</v>
      </c>
      <c r="W10" s="771">
        <f t="shared" si="2"/>
        <v>100</v>
      </c>
      <c r="X10" s="772"/>
      <c r="Y10" s="3011"/>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7"/>
      <c r="Q11" s="1795" t="str">
        <f t="shared" si="6"/>
        <v>容积率</v>
      </c>
      <c r="R11" s="770" t="s">
        <v>21</v>
      </c>
      <c r="S11" s="771" t="e">
        <f t="shared" si="0"/>
        <v>#N/A</v>
      </c>
      <c r="T11" s="770" t="s">
        <v>21</v>
      </c>
      <c r="U11" s="771" t="e">
        <f t="shared" si="1"/>
        <v>#N/A</v>
      </c>
      <c r="V11" s="770" t="s">
        <v>21</v>
      </c>
      <c r="W11" s="771" t="e">
        <f t="shared" si="2"/>
        <v>#N/A</v>
      </c>
      <c r="X11" s="772"/>
      <c r="Y11" s="3011"/>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197"/>
      <c r="Q12" s="1795">
        <f t="shared" si="6"/>
        <v>111</v>
      </c>
      <c r="R12" s="770" t="s">
        <v>21</v>
      </c>
      <c r="S12" s="771">
        <f t="shared" si="0"/>
        <v>100</v>
      </c>
      <c r="T12" s="770" t="s">
        <v>21</v>
      </c>
      <c r="U12" s="771">
        <f t="shared" si="1"/>
        <v>100</v>
      </c>
      <c r="V12" s="770" t="s">
        <v>21</v>
      </c>
      <c r="W12" s="771">
        <f t="shared" si="2"/>
        <v>100</v>
      </c>
      <c r="X12" s="772"/>
      <c r="Y12" s="3011"/>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197"/>
      <c r="Q13" s="1795">
        <f t="shared" si="6"/>
        <v>111</v>
      </c>
      <c r="R13" s="770" t="s">
        <v>21</v>
      </c>
      <c r="S13" s="771">
        <f t="shared" si="0"/>
        <v>100</v>
      </c>
      <c r="T13" s="770" t="s">
        <v>21</v>
      </c>
      <c r="U13" s="771">
        <f t="shared" si="1"/>
        <v>100</v>
      </c>
      <c r="V13" s="770" t="s">
        <v>21</v>
      </c>
      <c r="W13" s="771">
        <f t="shared" si="2"/>
        <v>100</v>
      </c>
      <c r="X13" s="772"/>
      <c r="Y13" s="3011"/>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197"/>
      <c r="Q14" s="1795">
        <f t="shared" si="6"/>
        <v>111</v>
      </c>
      <c r="R14" s="770" t="s">
        <v>21</v>
      </c>
      <c r="S14" s="771">
        <f t="shared" si="0"/>
        <v>100</v>
      </c>
      <c r="T14" s="770" t="s">
        <v>21</v>
      </c>
      <c r="U14" s="771">
        <f t="shared" si="1"/>
        <v>100</v>
      </c>
      <c r="V14" s="770" t="s">
        <v>21</v>
      </c>
      <c r="W14" s="771">
        <f t="shared" si="2"/>
        <v>100</v>
      </c>
      <c r="X14" s="772"/>
      <c r="Y14" s="3011"/>
      <c r="Z14" s="55">
        <f t="shared" si="7"/>
        <v>111</v>
      </c>
      <c r="AA14" s="773">
        <f t="shared" si="3"/>
        <v>1</v>
      </c>
      <c r="AB14" s="773">
        <f t="shared" si="4"/>
        <v>1</v>
      </c>
      <c r="AC14" s="773">
        <f t="shared" si="5"/>
        <v>1</v>
      </c>
    </row>
    <row r="15" spans="1:29" ht="99.75">
      <c r="A15" s="440" t="s">
        <v>2557</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95" t="s">
        <v>2558</v>
      </c>
      <c r="Q15" s="1810" t="str">
        <f t="shared" si="6"/>
        <v>居住社区成熟度</v>
      </c>
      <c r="R15" s="774" t="s">
        <v>21</v>
      </c>
      <c r="S15" s="775">
        <f t="shared" si="0"/>
        <v>100</v>
      </c>
      <c r="T15" s="774" t="s">
        <v>21</v>
      </c>
      <c r="U15" s="775">
        <f t="shared" si="1"/>
        <v>100</v>
      </c>
      <c r="V15" s="774" t="s">
        <v>21</v>
      </c>
      <c r="W15" s="775">
        <f t="shared" si="2"/>
        <v>100</v>
      </c>
      <c r="X15" s="1813"/>
      <c r="Y15" s="3188" t="s">
        <v>2558</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196"/>
      <c r="Q16" s="1810"/>
      <c r="R16" s="774"/>
      <c r="S16" s="775"/>
      <c r="T16" s="774"/>
      <c r="U16" s="775"/>
      <c r="V16" s="774"/>
      <c r="W16" s="775"/>
      <c r="X16" s="1813"/>
      <c r="Y16" s="3189"/>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96"/>
      <c r="Q17" s="1810" t="str">
        <f>B17</f>
        <v>交通便捷度</v>
      </c>
      <c r="R17" s="774" t="s">
        <v>21</v>
      </c>
      <c r="S17" s="775">
        <f>F17</f>
        <v>100</v>
      </c>
      <c r="T17" s="774" t="s">
        <v>21</v>
      </c>
      <c r="U17" s="775">
        <f>H17</f>
        <v>100</v>
      </c>
      <c r="V17" s="774" t="s">
        <v>21</v>
      </c>
      <c r="W17" s="775">
        <f>J17</f>
        <v>100</v>
      </c>
      <c r="X17" s="1813"/>
      <c r="Y17" s="3189"/>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196"/>
      <c r="Q18" s="1810"/>
      <c r="R18" s="774"/>
      <c r="S18" s="775"/>
      <c r="T18" s="774"/>
      <c r="U18" s="775"/>
      <c r="V18" s="774"/>
      <c r="W18" s="775"/>
      <c r="X18" s="1813"/>
      <c r="Y18" s="3189"/>
      <c r="Z18" s="1814"/>
      <c r="AA18" s="1811">
        <v>1</v>
      </c>
      <c r="AB18" s="1811">
        <v>1</v>
      </c>
      <c r="AC18" s="1811">
        <v>1</v>
      </c>
    </row>
    <row r="19" spans="1:29" ht="42.75">
      <c r="A19" s="428"/>
      <c r="B19" s="451" t="s">
        <v>2095</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96"/>
      <c r="Q19" s="1810" t="str">
        <f>B19</f>
        <v>公共配套设施</v>
      </c>
      <c r="R19" s="774" t="s">
        <v>21</v>
      </c>
      <c r="S19" s="775">
        <f>F19</f>
        <v>100</v>
      </c>
      <c r="T19" s="774" t="s">
        <v>21</v>
      </c>
      <c r="U19" s="775">
        <f>H19</f>
        <v>100</v>
      </c>
      <c r="V19" s="774" t="s">
        <v>21</v>
      </c>
      <c r="W19" s="775">
        <f>J19</f>
        <v>100</v>
      </c>
      <c r="X19" s="1813"/>
      <c r="Y19" s="3189"/>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196"/>
      <c r="Q20" s="1810"/>
      <c r="R20" s="774"/>
      <c r="S20" s="775"/>
      <c r="T20" s="774"/>
      <c r="U20" s="775"/>
      <c r="V20" s="774"/>
      <c r="W20" s="775"/>
      <c r="X20" s="1813"/>
      <c r="Y20" s="3189"/>
      <c r="Z20" s="1814"/>
      <c r="AA20" s="1811">
        <v>1</v>
      </c>
      <c r="AB20" s="1811">
        <v>1</v>
      </c>
      <c r="AC20" s="1811">
        <v>1</v>
      </c>
    </row>
    <row r="21" spans="1:29" ht="28.5">
      <c r="A21" s="428"/>
      <c r="B21" s="1384" t="s">
        <v>2098</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96"/>
      <c r="Q21" s="1810" t="str">
        <f>B21</f>
        <v>基础设施水平</v>
      </c>
      <c r="R21" s="774" t="s">
        <v>17</v>
      </c>
      <c r="S21" s="775">
        <f>F21</f>
        <v>100</v>
      </c>
      <c r="T21" s="774" t="s">
        <v>17</v>
      </c>
      <c r="U21" s="775">
        <f>H21</f>
        <v>100</v>
      </c>
      <c r="V21" s="774" t="s">
        <v>17</v>
      </c>
      <c r="W21" s="775">
        <f>J21</f>
        <v>100</v>
      </c>
      <c r="X21" s="1813"/>
      <c r="Y21" s="3189"/>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196"/>
      <c r="Q22" s="1810"/>
      <c r="R22" s="774"/>
      <c r="S22" s="775"/>
      <c r="T22" s="774"/>
      <c r="U22" s="775"/>
      <c r="V22" s="774"/>
      <c r="W22" s="775"/>
      <c r="X22" s="1813"/>
      <c r="Y22" s="3189"/>
      <c r="Z22" s="1814"/>
      <c r="AA22" s="1811">
        <v>1</v>
      </c>
      <c r="AB22" s="1811">
        <v>1</v>
      </c>
      <c r="AC22" s="1811">
        <v>1</v>
      </c>
    </row>
    <row r="23" spans="1:29" ht="57">
      <c r="A23" s="428"/>
      <c r="B23" s="451" t="s">
        <v>2102</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96"/>
      <c r="Q23" s="1810" t="str">
        <f>B23</f>
        <v>自然及人文环境</v>
      </c>
      <c r="R23" s="774" t="s">
        <v>21</v>
      </c>
      <c r="S23" s="775">
        <f>F23</f>
        <v>100</v>
      </c>
      <c r="T23" s="774" t="s">
        <v>21</v>
      </c>
      <c r="U23" s="775">
        <f>H23</f>
        <v>100</v>
      </c>
      <c r="V23" s="774" t="s">
        <v>21</v>
      </c>
      <c r="W23" s="775">
        <f>J23</f>
        <v>100</v>
      </c>
      <c r="X23" s="1813"/>
      <c r="Y23" s="3189"/>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196"/>
      <c r="Q24" s="1810"/>
      <c r="R24" s="774"/>
      <c r="S24" s="775"/>
      <c r="T24" s="774"/>
      <c r="U24" s="775"/>
      <c r="V24" s="774"/>
      <c r="W24" s="775"/>
      <c r="X24" s="1813"/>
      <c r="Y24" s="3189"/>
      <c r="Z24" s="1814"/>
      <c r="AA24" s="1811">
        <v>1</v>
      </c>
      <c r="AB24" s="1811">
        <v>1</v>
      </c>
      <c r="AC24" s="1811">
        <v>1</v>
      </c>
    </row>
    <row r="25" spans="1:29" ht="15">
      <c r="A25" s="428"/>
      <c r="B25" s="422" t="s">
        <v>2559</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196"/>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89"/>
      <c r="Z25" s="1814" t="str">
        <f>Q25</f>
        <v>楼层-1</v>
      </c>
      <c r="AA25" s="1811">
        <f t="shared" ref="AA25:AA46" si="15">D25/F25</f>
        <v>1</v>
      </c>
      <c r="AB25" s="1811">
        <f t="shared" ref="AB25:AB46" si="16">D25/H25</f>
        <v>1</v>
      </c>
      <c r="AC25" s="1811">
        <f t="shared" ref="AC25:AC46" si="17">D25/J25</f>
        <v>1</v>
      </c>
    </row>
    <row r="26" spans="1:29" ht="15">
      <c r="A26" s="428"/>
      <c r="B26" s="422" t="s">
        <v>2560</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196"/>
      <c r="Q26" s="1810" t="str">
        <f t="shared" si="11"/>
        <v>朝向</v>
      </c>
      <c r="R26" s="774" t="s">
        <v>21</v>
      </c>
      <c r="S26" s="775">
        <f t="shared" si="12"/>
        <v>100</v>
      </c>
      <c r="T26" s="774" t="s">
        <v>21</v>
      </c>
      <c r="U26" s="775">
        <f t="shared" si="13"/>
        <v>100</v>
      </c>
      <c r="V26" s="774" t="s">
        <v>21</v>
      </c>
      <c r="W26" s="775">
        <f t="shared" si="14"/>
        <v>100</v>
      </c>
      <c r="X26" s="1813"/>
      <c r="Y26" s="3189"/>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196"/>
      <c r="Q27" s="1795">
        <f t="shared" si="11"/>
        <v>111</v>
      </c>
      <c r="R27" s="770" t="s">
        <v>21</v>
      </c>
      <c r="S27" s="771">
        <f t="shared" si="12"/>
        <v>100</v>
      </c>
      <c r="T27" s="770" t="s">
        <v>21</v>
      </c>
      <c r="U27" s="771">
        <f t="shared" si="13"/>
        <v>100</v>
      </c>
      <c r="V27" s="770" t="s">
        <v>21</v>
      </c>
      <c r="W27" s="771">
        <f t="shared" si="14"/>
        <v>100</v>
      </c>
      <c r="X27" s="772"/>
      <c r="Y27" s="3189"/>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196"/>
      <c r="Q28" s="1810">
        <f t="shared" si="11"/>
        <v>111</v>
      </c>
      <c r="R28" s="774" t="s">
        <v>21</v>
      </c>
      <c r="S28" s="775">
        <f t="shared" si="12"/>
        <v>100</v>
      </c>
      <c r="T28" s="774" t="s">
        <v>21</v>
      </c>
      <c r="U28" s="775">
        <f t="shared" si="13"/>
        <v>100</v>
      </c>
      <c r="V28" s="774" t="s">
        <v>21</v>
      </c>
      <c r="W28" s="775">
        <f t="shared" si="14"/>
        <v>100</v>
      </c>
      <c r="X28" s="1813"/>
      <c r="Y28" s="3189"/>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196"/>
      <c r="Q29" s="1810">
        <f t="shared" si="11"/>
        <v>111</v>
      </c>
      <c r="R29" s="774" t="s">
        <v>21</v>
      </c>
      <c r="S29" s="775">
        <f t="shared" si="12"/>
        <v>100</v>
      </c>
      <c r="T29" s="774" t="s">
        <v>21</v>
      </c>
      <c r="U29" s="775">
        <f t="shared" si="13"/>
        <v>100</v>
      </c>
      <c r="V29" s="774" t="s">
        <v>21</v>
      </c>
      <c r="W29" s="775">
        <f t="shared" si="14"/>
        <v>100</v>
      </c>
      <c r="X29" s="1813"/>
      <c r="Y29" s="3189"/>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196"/>
      <c r="Q30" s="1810">
        <f t="shared" si="11"/>
        <v>111</v>
      </c>
      <c r="R30" s="774" t="s">
        <v>21</v>
      </c>
      <c r="S30" s="775">
        <f t="shared" si="12"/>
        <v>100</v>
      </c>
      <c r="T30" s="774" t="s">
        <v>21</v>
      </c>
      <c r="U30" s="775">
        <f t="shared" si="13"/>
        <v>100</v>
      </c>
      <c r="V30" s="774" t="s">
        <v>21</v>
      </c>
      <c r="W30" s="775">
        <f t="shared" si="14"/>
        <v>100</v>
      </c>
      <c r="X30" s="1813"/>
      <c r="Y30" s="3189"/>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196"/>
      <c r="Q31" s="1810">
        <f t="shared" si="11"/>
        <v>111</v>
      </c>
      <c r="R31" s="774" t="s">
        <v>21</v>
      </c>
      <c r="S31" s="775">
        <f t="shared" si="12"/>
        <v>100</v>
      </c>
      <c r="T31" s="774" t="s">
        <v>21</v>
      </c>
      <c r="U31" s="775">
        <f t="shared" si="13"/>
        <v>100</v>
      </c>
      <c r="V31" s="774" t="s">
        <v>21</v>
      </c>
      <c r="W31" s="775">
        <f t="shared" si="14"/>
        <v>100</v>
      </c>
      <c r="X31" s="1813"/>
      <c r="Y31" s="3189"/>
      <c r="Z31" s="1814">
        <f t="shared" si="18"/>
        <v>111</v>
      </c>
      <c r="AA31" s="1811">
        <f t="shared" si="15"/>
        <v>1</v>
      </c>
      <c r="AB31" s="1811">
        <f t="shared" si="16"/>
        <v>1</v>
      </c>
      <c r="AC31" s="1811">
        <f t="shared" si="17"/>
        <v>1</v>
      </c>
    </row>
    <row r="32" spans="1:29" ht="15">
      <c r="A32" s="440" t="s">
        <v>2561</v>
      </c>
      <c r="B32" s="71" t="s">
        <v>2562</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190" t="s">
        <v>2563</v>
      </c>
      <c r="Q32" s="1810" t="str">
        <f t="shared" si="11"/>
        <v>建筑类型</v>
      </c>
      <c r="R32" s="774" t="s">
        <v>21</v>
      </c>
      <c r="S32" s="775">
        <f t="shared" si="12"/>
        <v>100</v>
      </c>
      <c r="T32" s="774" t="s">
        <v>21</v>
      </c>
      <c r="U32" s="775">
        <f t="shared" si="13"/>
        <v>100</v>
      </c>
      <c r="V32" s="774" t="s">
        <v>21</v>
      </c>
      <c r="W32" s="775">
        <f t="shared" si="14"/>
        <v>100</v>
      </c>
      <c r="X32" s="1813"/>
      <c r="Y32" s="3193" t="s">
        <v>2563</v>
      </c>
      <c r="Z32" s="1814" t="str">
        <f t="shared" si="18"/>
        <v>建筑类型</v>
      </c>
      <c r="AA32" s="1811">
        <f t="shared" si="15"/>
        <v>1</v>
      </c>
      <c r="AB32" s="1811">
        <f t="shared" si="16"/>
        <v>1</v>
      </c>
      <c r="AC32" s="1811">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191"/>
      <c r="Q33" s="776" t="str">
        <f t="shared" si="11"/>
        <v>项目建筑规模</v>
      </c>
      <c r="R33" s="777" t="s">
        <v>21</v>
      </c>
      <c r="S33" s="778" t="e">
        <f t="shared" si="12"/>
        <v>#N/A</v>
      </c>
      <c r="T33" s="777" t="s">
        <v>21</v>
      </c>
      <c r="U33" s="778" t="e">
        <f t="shared" si="13"/>
        <v>#N/A</v>
      </c>
      <c r="V33" s="777" t="s">
        <v>21</v>
      </c>
      <c r="W33" s="778" t="e">
        <f t="shared" si="14"/>
        <v>#N/A</v>
      </c>
      <c r="X33" s="779"/>
      <c r="Y33" s="3193"/>
      <c r="Z33" s="780" t="str">
        <f t="shared" si="18"/>
        <v>项目建筑规模</v>
      </c>
      <c r="AA33" s="1811" t="e">
        <f t="shared" si="15"/>
        <v>#N/A</v>
      </c>
      <c r="AB33" s="1811" t="e">
        <f t="shared" si="16"/>
        <v>#N/A</v>
      </c>
      <c r="AC33" s="1811" t="e">
        <f t="shared" si="17"/>
        <v>#N/A</v>
      </c>
    </row>
    <row r="34" spans="1:29" ht="15">
      <c r="A34" s="472"/>
      <c r="B34" s="422" t="s">
        <v>2565</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191"/>
      <c r="Q34" s="1810" t="str">
        <f t="shared" si="11"/>
        <v>建筑结构</v>
      </c>
      <c r="R34" s="774" t="s">
        <v>21</v>
      </c>
      <c r="S34" s="775">
        <f t="shared" si="12"/>
        <v>100</v>
      </c>
      <c r="T34" s="774" t="s">
        <v>21</v>
      </c>
      <c r="U34" s="775">
        <f t="shared" si="13"/>
        <v>100</v>
      </c>
      <c r="V34" s="774" t="s">
        <v>21</v>
      </c>
      <c r="W34" s="775">
        <f t="shared" si="14"/>
        <v>100</v>
      </c>
      <c r="X34" s="1813"/>
      <c r="Y34" s="3193"/>
      <c r="Z34" s="1814" t="str">
        <f t="shared" si="18"/>
        <v>建筑结构</v>
      </c>
      <c r="AA34" s="1811">
        <f t="shared" si="15"/>
        <v>1</v>
      </c>
      <c r="AB34" s="1811">
        <f t="shared" si="16"/>
        <v>1</v>
      </c>
      <c r="AC34" s="1811">
        <f t="shared" si="17"/>
        <v>1</v>
      </c>
    </row>
    <row r="35" spans="1:29" ht="15">
      <c r="A35" s="472"/>
      <c r="B35" s="422" t="s">
        <v>2566</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191"/>
      <c r="Q35" s="1810" t="str">
        <f t="shared" si="11"/>
        <v>建筑品质</v>
      </c>
      <c r="R35" s="774" t="s">
        <v>21</v>
      </c>
      <c r="S35" s="775">
        <f t="shared" si="12"/>
        <v>100</v>
      </c>
      <c r="T35" s="774" t="s">
        <v>21</v>
      </c>
      <c r="U35" s="775">
        <f t="shared" si="13"/>
        <v>100</v>
      </c>
      <c r="V35" s="774" t="s">
        <v>21</v>
      </c>
      <c r="W35" s="775">
        <f t="shared" si="14"/>
        <v>100</v>
      </c>
      <c r="X35" s="1813"/>
      <c r="Y35" s="3193"/>
      <c r="Z35" s="1814" t="str">
        <f t="shared" si="18"/>
        <v>建筑品质</v>
      </c>
      <c r="AA35" s="1811">
        <f t="shared" si="15"/>
        <v>1</v>
      </c>
      <c r="AB35" s="1811">
        <f t="shared" si="16"/>
        <v>1</v>
      </c>
      <c r="AC35" s="1811">
        <f t="shared" si="17"/>
        <v>1</v>
      </c>
    </row>
    <row r="36" spans="1:29" ht="15">
      <c r="A36" s="472"/>
      <c r="B36" s="422" t="s">
        <v>2567</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191"/>
      <c r="Q36" s="1810" t="str">
        <f t="shared" si="11"/>
        <v>公共部分装修</v>
      </c>
      <c r="R36" s="774" t="s">
        <v>21</v>
      </c>
      <c r="S36" s="775">
        <f t="shared" si="12"/>
        <v>100</v>
      </c>
      <c r="T36" s="774" t="s">
        <v>21</v>
      </c>
      <c r="U36" s="775">
        <f t="shared" si="13"/>
        <v>100</v>
      </c>
      <c r="V36" s="774" t="s">
        <v>21</v>
      </c>
      <c r="W36" s="775">
        <f t="shared" si="14"/>
        <v>100</v>
      </c>
      <c r="X36" s="1813"/>
      <c r="Y36" s="3193"/>
      <c r="Z36" s="1814" t="str">
        <f t="shared" si="18"/>
        <v>公共部分装修</v>
      </c>
      <c r="AA36" s="1811">
        <f t="shared" si="15"/>
        <v>1</v>
      </c>
      <c r="AB36" s="1811">
        <f t="shared" si="16"/>
        <v>1</v>
      </c>
      <c r="AC36" s="1811">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91"/>
      <c r="Q37" s="1795" t="str">
        <f t="shared" si="11"/>
        <v>成新度</v>
      </c>
      <c r="R37" s="770" t="s">
        <v>21</v>
      </c>
      <c r="S37" s="771" t="e">
        <f t="shared" si="12"/>
        <v>#N/A</v>
      </c>
      <c r="T37" s="770" t="s">
        <v>21</v>
      </c>
      <c r="U37" s="771" t="e">
        <f t="shared" si="13"/>
        <v>#N/A</v>
      </c>
      <c r="V37" s="770" t="s">
        <v>21</v>
      </c>
      <c r="W37" s="771" t="e">
        <f t="shared" si="14"/>
        <v>#N/A</v>
      </c>
      <c r="X37" s="772"/>
      <c r="Y37" s="3193"/>
      <c r="Z37" s="55" t="str">
        <f t="shared" si="18"/>
        <v>成新度</v>
      </c>
      <c r="AA37" s="773" t="e">
        <f t="shared" si="15"/>
        <v>#N/A</v>
      </c>
      <c r="AB37" s="773" t="e">
        <f t="shared" si="16"/>
        <v>#N/A</v>
      </c>
      <c r="AC37" s="773" t="e">
        <f t="shared" si="17"/>
        <v>#N/A</v>
      </c>
    </row>
    <row r="38" spans="1:29" ht="15">
      <c r="A38" s="472"/>
      <c r="B38" s="422" t="s">
        <v>2569</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191" t="s">
        <v>2563</v>
      </c>
      <c r="Q38" s="1810" t="str">
        <f t="shared" si="11"/>
        <v>物业管理</v>
      </c>
      <c r="R38" s="774" t="s">
        <v>21</v>
      </c>
      <c r="S38" s="775">
        <f t="shared" si="12"/>
        <v>100</v>
      </c>
      <c r="T38" s="774" t="s">
        <v>21</v>
      </c>
      <c r="U38" s="775">
        <f t="shared" si="13"/>
        <v>100</v>
      </c>
      <c r="V38" s="774" t="s">
        <v>21</v>
      </c>
      <c r="W38" s="775">
        <f t="shared" si="14"/>
        <v>100</v>
      </c>
      <c r="X38" s="1813"/>
      <c r="Y38" s="3193" t="s">
        <v>2563</v>
      </c>
      <c r="Z38" s="1814" t="str">
        <f t="shared" si="18"/>
        <v>物业管理</v>
      </c>
      <c r="AA38" s="1811">
        <f t="shared" si="15"/>
        <v>1</v>
      </c>
      <c r="AB38" s="1811">
        <f t="shared" si="16"/>
        <v>1</v>
      </c>
      <c r="AC38" s="1811">
        <f t="shared" si="17"/>
        <v>1</v>
      </c>
    </row>
    <row r="39" spans="1:29" ht="15">
      <c r="A39" s="472"/>
      <c r="B39" s="422" t="s">
        <v>2570</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191"/>
      <c r="Q39" s="1810" t="str">
        <f t="shared" si="11"/>
        <v>市政基础设施</v>
      </c>
      <c r="R39" s="774" t="s">
        <v>21</v>
      </c>
      <c r="S39" s="775">
        <f t="shared" si="12"/>
        <v>100</v>
      </c>
      <c r="T39" s="774" t="s">
        <v>21</v>
      </c>
      <c r="U39" s="775">
        <f t="shared" si="13"/>
        <v>100</v>
      </c>
      <c r="V39" s="774" t="s">
        <v>21</v>
      </c>
      <c r="W39" s="775">
        <f t="shared" si="14"/>
        <v>100</v>
      </c>
      <c r="X39" s="1813"/>
      <c r="Y39" s="3193"/>
      <c r="Z39" s="1814" t="str">
        <f t="shared" si="18"/>
        <v>市政基础设施</v>
      </c>
      <c r="AA39" s="1811">
        <f t="shared" si="15"/>
        <v>1</v>
      </c>
      <c r="AB39" s="1811">
        <f t="shared" si="16"/>
        <v>1</v>
      </c>
      <c r="AC39" s="1811">
        <f t="shared" si="17"/>
        <v>1</v>
      </c>
    </row>
    <row r="40" spans="1:29" ht="15">
      <c r="A40" s="472"/>
      <c r="B40" s="422" t="s">
        <v>2571</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191"/>
      <c r="Q40" s="1810" t="str">
        <f t="shared" si="11"/>
        <v>房型</v>
      </c>
      <c r="R40" s="774" t="s">
        <v>21</v>
      </c>
      <c r="S40" s="775">
        <f t="shared" si="12"/>
        <v>100</v>
      </c>
      <c r="T40" s="774" t="s">
        <v>21</v>
      </c>
      <c r="U40" s="775">
        <f t="shared" si="13"/>
        <v>100</v>
      </c>
      <c r="V40" s="774" t="s">
        <v>21</v>
      </c>
      <c r="W40" s="775">
        <f t="shared" si="14"/>
        <v>100</v>
      </c>
      <c r="X40" s="1813"/>
      <c r="Y40" s="3193"/>
      <c r="Z40" s="1814" t="str">
        <f t="shared" si="18"/>
        <v>房型</v>
      </c>
      <c r="AA40" s="1811">
        <f t="shared" si="15"/>
        <v>1</v>
      </c>
      <c r="AB40" s="1811">
        <f t="shared" si="16"/>
        <v>1</v>
      </c>
      <c r="AC40" s="1811">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191"/>
      <c r="Q41" s="776" t="str">
        <f t="shared" si="11"/>
        <v>单套/主力户型建筑面积</v>
      </c>
      <c r="R41" s="777" t="s">
        <v>21</v>
      </c>
      <c r="S41" s="778">
        <f t="shared" si="12"/>
        <v>100</v>
      </c>
      <c r="T41" s="777" t="s">
        <v>21</v>
      </c>
      <c r="U41" s="778">
        <f t="shared" si="13"/>
        <v>100</v>
      </c>
      <c r="V41" s="777" t="s">
        <v>21</v>
      </c>
      <c r="W41" s="778">
        <f t="shared" si="14"/>
        <v>100</v>
      </c>
      <c r="X41" s="779"/>
      <c r="Y41" s="3193"/>
      <c r="Z41" s="780" t="str">
        <f t="shared" si="18"/>
        <v>单套/主力户型建筑面积</v>
      </c>
      <c r="AA41" s="1811">
        <f t="shared" si="15"/>
        <v>1</v>
      </c>
      <c r="AB41" s="1811">
        <f t="shared" si="16"/>
        <v>1</v>
      </c>
      <c r="AC41" s="1811">
        <f t="shared" si="17"/>
        <v>1</v>
      </c>
    </row>
    <row r="42" spans="1:29" ht="15">
      <c r="A42" s="472"/>
      <c r="B42" s="422" t="s">
        <v>2573</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191"/>
      <c r="Q42" s="1810" t="str">
        <f t="shared" si="11"/>
        <v>内部装修</v>
      </c>
      <c r="R42" s="774" t="s">
        <v>21</v>
      </c>
      <c r="S42" s="775">
        <f t="shared" si="12"/>
        <v>100</v>
      </c>
      <c r="T42" s="774" t="s">
        <v>21</v>
      </c>
      <c r="U42" s="775">
        <f t="shared" si="13"/>
        <v>100</v>
      </c>
      <c r="V42" s="774" t="s">
        <v>21</v>
      </c>
      <c r="W42" s="775">
        <f t="shared" si="14"/>
        <v>100</v>
      </c>
      <c r="X42" s="1813"/>
      <c r="Y42" s="3193"/>
      <c r="Z42" s="1814" t="str">
        <f t="shared" si="18"/>
        <v>内部装修</v>
      </c>
      <c r="AA42" s="1811">
        <f t="shared" si="15"/>
        <v>1</v>
      </c>
      <c r="AB42" s="1811">
        <f t="shared" si="16"/>
        <v>1</v>
      </c>
      <c r="AC42" s="1811">
        <f t="shared" si="17"/>
        <v>1</v>
      </c>
    </row>
    <row r="43" spans="1:29" ht="15">
      <c r="A43" s="472"/>
      <c r="B43" s="422" t="s">
        <v>2574</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191"/>
      <c r="Q43" s="1810" t="str">
        <f t="shared" si="11"/>
        <v>内部装修维护情况</v>
      </c>
      <c r="R43" s="774" t="s">
        <v>21</v>
      </c>
      <c r="S43" s="775">
        <f t="shared" si="12"/>
        <v>100</v>
      </c>
      <c r="T43" s="774" t="s">
        <v>21</v>
      </c>
      <c r="U43" s="775">
        <f t="shared" si="13"/>
        <v>100</v>
      </c>
      <c r="V43" s="774" t="s">
        <v>21</v>
      </c>
      <c r="W43" s="775">
        <f t="shared" si="14"/>
        <v>100</v>
      </c>
      <c r="X43" s="1813"/>
      <c r="Y43" s="3193"/>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191"/>
      <c r="Q44" s="1795">
        <f t="shared" si="11"/>
        <v>111</v>
      </c>
      <c r="R44" s="770" t="s">
        <v>21</v>
      </c>
      <c r="S44" s="771">
        <f t="shared" si="12"/>
        <v>100</v>
      </c>
      <c r="T44" s="770" t="s">
        <v>21</v>
      </c>
      <c r="U44" s="771">
        <f t="shared" si="13"/>
        <v>100</v>
      </c>
      <c r="V44" s="770" t="s">
        <v>21</v>
      </c>
      <c r="W44" s="771">
        <f t="shared" si="14"/>
        <v>100</v>
      </c>
      <c r="X44" s="772"/>
      <c r="Y44" s="3193"/>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191"/>
      <c r="Q45" s="1810">
        <f t="shared" si="11"/>
        <v>111</v>
      </c>
      <c r="R45" s="774" t="s">
        <v>21</v>
      </c>
      <c r="S45" s="775">
        <f t="shared" si="12"/>
        <v>100</v>
      </c>
      <c r="T45" s="774" t="s">
        <v>21</v>
      </c>
      <c r="U45" s="775">
        <f t="shared" si="13"/>
        <v>100</v>
      </c>
      <c r="V45" s="774" t="s">
        <v>21</v>
      </c>
      <c r="W45" s="775">
        <f t="shared" si="14"/>
        <v>100</v>
      </c>
      <c r="X45" s="1813"/>
      <c r="Y45" s="3193"/>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192"/>
      <c r="Q46" s="1810">
        <f t="shared" si="11"/>
        <v>111</v>
      </c>
      <c r="R46" s="774" t="s">
        <v>20</v>
      </c>
      <c r="S46" s="775">
        <f t="shared" si="12"/>
        <v>100</v>
      </c>
      <c r="T46" s="774" t="s">
        <v>20</v>
      </c>
      <c r="U46" s="775">
        <f t="shared" si="13"/>
        <v>100</v>
      </c>
      <c r="V46" s="774" t="s">
        <v>20</v>
      </c>
      <c r="W46" s="775">
        <f t="shared" si="14"/>
        <v>100</v>
      </c>
      <c r="X46" s="1813"/>
      <c r="Y46" s="3194"/>
      <c r="Z46" s="1814">
        <f t="shared" si="18"/>
        <v>111</v>
      </c>
      <c r="AA46" s="1811">
        <f t="shared" si="15"/>
        <v>1</v>
      </c>
      <c r="AB46" s="1811">
        <f t="shared" si="16"/>
        <v>1</v>
      </c>
      <c r="AC46" s="1811">
        <f t="shared" si="17"/>
        <v>1</v>
      </c>
    </row>
    <row r="47" spans="1:29" ht="15">
      <c r="A47" s="479" t="s">
        <v>2575</v>
      </c>
      <c r="B47" s="480"/>
      <c r="C47" s="1407" t="s">
        <v>19</v>
      </c>
      <c r="D47" s="1408"/>
      <c r="E47" s="1409"/>
      <c r="F47" s="1410"/>
      <c r="G47" s="1411"/>
      <c r="H47" s="1412"/>
      <c r="I47" s="1409"/>
      <c r="J47" s="1412"/>
      <c r="K47" s="2624"/>
      <c r="L47" s="1143"/>
      <c r="M47" s="1144"/>
      <c r="N47" s="1131"/>
      <c r="O47" s="1144"/>
      <c r="P47" s="3186" t="str">
        <f>A47</f>
        <v>成交单价（元/平方米）</v>
      </c>
      <c r="Q47" s="3186"/>
      <c r="R47" s="3187">
        <f>E47</f>
        <v>0</v>
      </c>
      <c r="S47" s="3187"/>
      <c r="T47" s="3187">
        <f>G47</f>
        <v>0</v>
      </c>
      <c r="U47" s="3187"/>
      <c r="V47" s="3187">
        <f>I47</f>
        <v>0</v>
      </c>
      <c r="W47" s="3187"/>
      <c r="X47" s="759"/>
      <c r="Y47" s="781"/>
      <c r="Z47" s="759"/>
      <c r="AA47" s="759"/>
      <c r="AB47" s="759"/>
      <c r="AC47" s="759"/>
    </row>
    <row r="48" spans="1:29" ht="15.75" thickBot="1">
      <c r="A48" s="486" t="s">
        <v>2576</v>
      </c>
      <c r="B48" s="487"/>
      <c r="C48" s="1413" t="e">
        <f>R49</f>
        <v>#DIV/0!</v>
      </c>
      <c r="D48" s="1414"/>
      <c r="E48" s="1415" t="e">
        <f>R48</f>
        <v>#DIV/0!</v>
      </c>
      <c r="F48" s="1415"/>
      <c r="G48" s="1413" t="e">
        <f>T48</f>
        <v>#DIV/0!</v>
      </c>
      <c r="H48" s="1414"/>
      <c r="I48" s="1415" t="e">
        <f>V48</f>
        <v>#DIV/0!</v>
      </c>
      <c r="J48" s="1414"/>
      <c r="K48" s="2625"/>
      <c r="L48" s="1143"/>
      <c r="M48" s="1144"/>
      <c r="N48" s="1144"/>
      <c r="O48" s="1144"/>
      <c r="P48" s="3186" t="str">
        <f>A48</f>
        <v>比较价值（元/平方米）</v>
      </c>
      <c r="Q48" s="3186"/>
      <c r="R48" s="3187" t="e">
        <f>IF(F1="售价",ROUND(PRODUCT(R47,AA7:AA46),0),ROUND(PRODUCT(R47,AA7:AA46),1))</f>
        <v>#DIV/0!</v>
      </c>
      <c r="S48" s="3187"/>
      <c r="T48" s="3187" t="e">
        <f>IF(F1="售价",ROUND(PRODUCT(T47,AB7:AB46),0),ROUND(PRODUCT(T47,AB7:AB46),1))</f>
        <v>#DIV/0!</v>
      </c>
      <c r="U48" s="3187"/>
      <c r="V48" s="3187" t="e">
        <f>IF(F1="售价",ROUND(PRODUCT(V47,AC7:AC46),0),ROUND(PRODUCT(V47,AC7:AC46),1))</f>
        <v>#DIV/0!</v>
      </c>
      <c r="W48" s="3187"/>
      <c r="X48" s="759"/>
      <c r="Y48" s="759"/>
      <c r="Z48" s="759"/>
      <c r="AA48" s="759"/>
      <c r="AB48" s="759"/>
      <c r="AC48" s="759"/>
    </row>
    <row r="49" spans="1:29" ht="15.75" thickBot="1">
      <c r="A49" s="492" t="s">
        <v>2577</v>
      </c>
      <c r="B49" s="493"/>
      <c r="C49" s="1416" t="e">
        <f>R49</f>
        <v>#DIV/0!</v>
      </c>
      <c r="D49" s="1417"/>
      <c r="E49" s="1417"/>
      <c r="F49" s="1417"/>
      <c r="G49" s="1417"/>
      <c r="H49" s="1417"/>
      <c r="I49" s="1417"/>
      <c r="J49" s="1417"/>
      <c r="K49" s="2626"/>
      <c r="L49" s="1143"/>
      <c r="M49" s="1144"/>
      <c r="N49" s="1144"/>
      <c r="O49" s="1144"/>
      <c r="P49" s="3183" t="str">
        <f>A49</f>
        <v>估价对象XX用房的比较价值（楼面单价，元/平方米）</v>
      </c>
      <c r="Q49" s="3184"/>
      <c r="R49" s="3185" t="e">
        <f>IF(F1="售价",ROUND(AVERAGE(R48:V48),0),ROUND(AVERAGE(R48:V48),1))</f>
        <v>#DIV/0!</v>
      </c>
      <c r="S49" s="3185"/>
      <c r="T49" s="3185"/>
      <c r="U49" s="3185"/>
      <c r="V49" s="3185"/>
      <c r="W49" s="318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2581</v>
      </c>
      <c r="B57" s="759"/>
      <c r="C57" s="764"/>
      <c r="D57" s="764"/>
      <c r="E57" s="764"/>
      <c r="F57" s="765"/>
      <c r="G57" s="765"/>
      <c r="H57" s="764"/>
      <c r="I57" s="764"/>
      <c r="J57" s="764"/>
      <c r="K57" s="1160"/>
      <c r="L57" s="1161"/>
      <c r="M57" s="1159"/>
      <c r="N57" s="1159"/>
      <c r="O57" s="1159"/>
      <c r="P57" s="2629"/>
      <c r="Q57" s="504"/>
    </row>
    <row r="58" spans="1:29" s="508" customFormat="1" ht="15">
      <c r="A58" s="505" t="s">
        <v>2582</v>
      </c>
      <c r="B58" s="506"/>
      <c r="C58" s="1576" t="str">
        <f>YEAR(C7)&amp;"-"&amp;MONTH(C7)</f>
        <v>2019-3</v>
      </c>
      <c r="D58" s="1575">
        <f>EDATE(C58,-1)</f>
        <v>43497</v>
      </c>
      <c r="E58" s="1575">
        <f>EDATE(D58,-1)</f>
        <v>43466</v>
      </c>
      <c r="F58" s="1575">
        <f t="shared" ref="F58:O58" si="19">EDATE(E58,-1)</f>
        <v>43435</v>
      </c>
      <c r="G58" s="1575">
        <f t="shared" si="19"/>
        <v>43405</v>
      </c>
      <c r="H58" s="1575">
        <f t="shared" si="19"/>
        <v>43374</v>
      </c>
      <c r="I58" s="1575">
        <f t="shared" si="19"/>
        <v>43344</v>
      </c>
      <c r="J58" s="1575">
        <f t="shared" si="19"/>
        <v>43313</v>
      </c>
      <c r="K58" s="1575">
        <f t="shared" si="19"/>
        <v>43282</v>
      </c>
      <c r="L58" s="1575">
        <f t="shared" si="19"/>
        <v>43252</v>
      </c>
      <c r="M58" s="1575">
        <f t="shared" si="19"/>
        <v>43221</v>
      </c>
      <c r="N58" s="1575">
        <f t="shared" si="19"/>
        <v>43191</v>
      </c>
      <c r="O58" s="1575">
        <f t="shared" si="19"/>
        <v>43160</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2583</v>
      </c>
      <c r="B60" s="516"/>
      <c r="C60" s="517"/>
      <c r="D60" s="518"/>
      <c r="E60" s="518"/>
      <c r="F60" s="518"/>
      <c r="G60" s="518"/>
      <c r="H60" s="518"/>
      <c r="I60" s="518"/>
      <c r="J60" s="518"/>
      <c r="K60" s="518"/>
      <c r="L60" s="518"/>
      <c r="M60" s="519"/>
      <c r="N60" s="518"/>
      <c r="O60" s="519"/>
      <c r="P60" s="2631"/>
      <c r="Q60" s="504"/>
    </row>
    <row r="61" spans="1:29" s="117" customFormat="1" ht="15">
      <c r="A61" s="521" t="s">
        <v>2584</v>
      </c>
      <c r="B61" s="510"/>
      <c r="C61" s="522" t="s">
        <v>2585</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2586</v>
      </c>
      <c r="B63" s="528" t="s">
        <v>2552</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2098</v>
      </c>
      <c r="C82" s="539" t="s">
        <v>2602</v>
      </c>
      <c r="D82" s="539" t="s">
        <v>2603</v>
      </c>
      <c r="E82" s="539" t="s">
        <v>2604</v>
      </c>
      <c r="F82" s="539" t="s">
        <v>2605</v>
      </c>
      <c r="G82" s="539" t="s">
        <v>2606</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2608</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2609</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2561</v>
      </c>
      <c r="B100" s="528" t="s">
        <v>2610</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2612</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2613</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2614</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2615</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2616</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2617</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2572</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2618</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2620</v>
      </c>
    </row>
    <row r="137" spans="1:17" ht="15">
      <c r="B137" s="2641" t="s">
        <v>2621</v>
      </c>
      <c r="C137" s="2642"/>
      <c r="D137" s="2642"/>
      <c r="E137" s="2642"/>
      <c r="F137" s="2642"/>
      <c r="G137" s="2643"/>
      <c r="H137" s="2644"/>
      <c r="I137" s="2645" t="s">
        <v>2622</v>
      </c>
      <c r="J137" s="2642"/>
      <c r="K137" s="2646"/>
    </row>
    <row r="138" spans="1:17" ht="15">
      <c r="B138" s="2647"/>
      <c r="C138" s="146" t="s">
        <v>2623</v>
      </c>
      <c r="D138" s="146" t="s">
        <v>2624</v>
      </c>
      <c r="E138" s="2648" t="s">
        <v>2625</v>
      </c>
      <c r="F138" s="2649" t="s">
        <v>2626</v>
      </c>
      <c r="G138" s="146" t="s">
        <v>2624</v>
      </c>
      <c r="H138" s="147" t="s">
        <v>2625</v>
      </c>
      <c r="I138" s="2650"/>
      <c r="J138" s="146" t="s">
        <v>2627</v>
      </c>
      <c r="K138" s="147" t="s">
        <v>2628</v>
      </c>
    </row>
    <row r="139" spans="1:17" ht="15">
      <c r="B139" s="1084">
        <v>6</v>
      </c>
      <c r="C139" s="1085">
        <v>96</v>
      </c>
      <c r="D139" s="2651" t="s">
        <v>2629</v>
      </c>
      <c r="E139" s="1086">
        <v>100</v>
      </c>
      <c r="F139" s="1087">
        <v>102.5</v>
      </c>
      <c r="G139" s="2651" t="s">
        <v>2629</v>
      </c>
      <c r="H139" s="1088">
        <v>105</v>
      </c>
      <c r="I139" s="2652" t="s">
        <v>2630</v>
      </c>
      <c r="J139" s="1085">
        <v>20</v>
      </c>
      <c r="K139" s="1089">
        <f>C145/(J139-2)</f>
        <v>4.0555555555555553E-3</v>
      </c>
    </row>
    <row r="140" spans="1:17" ht="15">
      <c r="B140" s="1090">
        <v>5</v>
      </c>
      <c r="C140" s="1091">
        <v>100</v>
      </c>
      <c r="D140" s="1091"/>
      <c r="E140" s="1092"/>
      <c r="F140" s="1093">
        <v>102</v>
      </c>
      <c r="G140" s="1091"/>
      <c r="H140" s="1094"/>
      <c r="I140" s="2653" t="s">
        <v>2631</v>
      </c>
      <c r="J140" s="315">
        <f>ROUNDUP((J139-1)/2,0)</f>
        <v>10</v>
      </c>
      <c r="K140" s="1095">
        <v>100</v>
      </c>
    </row>
    <row r="141" spans="1:17" ht="15">
      <c r="B141" s="1090">
        <v>4</v>
      </c>
      <c r="C141" s="1091">
        <v>102</v>
      </c>
      <c r="D141" s="1091"/>
      <c r="E141" s="1092"/>
      <c r="F141" s="1093">
        <v>101.5</v>
      </c>
      <c r="G141" s="1091"/>
      <c r="H141" s="1094"/>
      <c r="I141" s="2653" t="s">
        <v>2632</v>
      </c>
      <c r="J141" s="315">
        <v>1</v>
      </c>
      <c r="K141" s="1096">
        <f>ROUND(100+(J141-J140)*K139*100,1)</f>
        <v>96.4</v>
      </c>
    </row>
    <row r="142" spans="1:17" ht="15">
      <c r="B142" s="1090">
        <v>3</v>
      </c>
      <c r="C142" s="1091">
        <v>103</v>
      </c>
      <c r="D142" s="1091"/>
      <c r="E142" s="1092"/>
      <c r="F142" s="1093">
        <v>101</v>
      </c>
      <c r="G142" s="1091"/>
      <c r="H142" s="1094"/>
      <c r="I142" s="2653" t="s">
        <v>2633</v>
      </c>
      <c r="J142" s="315">
        <f>J139</f>
        <v>20</v>
      </c>
      <c r="K142" s="1097">
        <v>95</v>
      </c>
    </row>
    <row r="143" spans="1:17" ht="15">
      <c r="B143" s="1090">
        <v>2</v>
      </c>
      <c r="C143" s="1091">
        <v>100</v>
      </c>
      <c r="D143" s="1091"/>
      <c r="E143" s="1092"/>
      <c r="F143" s="1093">
        <v>100.5</v>
      </c>
      <c r="G143" s="1091"/>
      <c r="H143" s="1094"/>
      <c r="I143" s="2653" t="s">
        <v>2634</v>
      </c>
      <c r="J143" s="1091">
        <v>15</v>
      </c>
      <c r="K143" s="1096">
        <f>ROUND(100+(J143-J140)*K139*100,1)</f>
        <v>102</v>
      </c>
    </row>
    <row r="144" spans="1:17" ht="15">
      <c r="B144" s="1090">
        <v>1</v>
      </c>
      <c r="C144" s="1091">
        <v>98</v>
      </c>
      <c r="D144" s="2654" t="s">
        <v>2635</v>
      </c>
      <c r="E144" s="1092">
        <v>102</v>
      </c>
      <c r="F144" s="1098">
        <v>100</v>
      </c>
      <c r="G144" s="2654" t="s">
        <v>2635</v>
      </c>
      <c r="H144" s="1094">
        <v>105</v>
      </c>
      <c r="I144" s="2653" t="s">
        <v>2634</v>
      </c>
      <c r="J144" s="1091">
        <v>18</v>
      </c>
      <c r="K144" s="1096">
        <f>ROUND(100+(J144-J140)*K139*100,1)</f>
        <v>103.2</v>
      </c>
    </row>
    <row r="145" spans="2:11" ht="15.75" thickBot="1">
      <c r="B145" s="2655" t="s">
        <v>2636</v>
      </c>
      <c r="C145" s="1099">
        <f>ROUND(MAX(C139:C144)/MIN(C139:C144)-1,3)</f>
        <v>7.2999999999999995E-2</v>
      </c>
      <c r="D145" s="1100"/>
      <c r="E145" s="1100"/>
      <c r="F145" s="2656" t="s">
        <v>2637</v>
      </c>
      <c r="G145" s="2657"/>
      <c r="H145" s="2658"/>
      <c r="I145" s="2659" t="s">
        <v>2634</v>
      </c>
      <c r="J145" s="1101">
        <v>8</v>
      </c>
      <c r="K145" s="1102">
        <f>ROUND(100+(J145-J140)*K139*100,1)</f>
        <v>99.2</v>
      </c>
    </row>
    <row r="147" spans="2:11">
      <c r="B147" s="2640" t="s">
        <v>2638</v>
      </c>
    </row>
    <row r="148" spans="2:11">
      <c r="B148" s="2640"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85" t="s">
        <v>2640</v>
      </c>
      <c r="C1" s="1634" t="s">
        <v>2528</v>
      </c>
      <c r="D1" s="1621"/>
      <c r="E1" s="2660"/>
      <c r="F1" s="2587"/>
      <c r="G1" s="1631" t="s">
        <v>2641</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2328</v>
      </c>
      <c r="B2" s="1418" t="e">
        <f ca="1">IF(C2="——",ROUND(C49*D3/10000,0),ROUND(C49*D3/10000,0)-D2)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2330</v>
      </c>
      <c r="B3" s="609" t="e">
        <f ca="1">IF(C2="——",C49,ROUND(B2*10000/D3,0))</f>
        <v>#DIV/0!</v>
      </c>
      <c r="C3" s="400" t="s">
        <v>2642</v>
      </c>
      <c r="D3" s="399">
        <f>IF(D1="",'数据-汇总表'!E3,SUMIF('数据-汇总表'!$C19:$C33,D1,'数据-汇总表'!$E19:$E33))</f>
        <v>26356.14</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2643</v>
      </c>
      <c r="B4" s="402"/>
      <c r="C4" s="3201" t="s">
        <v>2644</v>
      </c>
      <c r="D4" s="3202"/>
      <c r="E4" s="3203" t="s">
        <v>2645</v>
      </c>
      <c r="F4" s="3204"/>
      <c r="G4" s="3201" t="s">
        <v>2646</v>
      </c>
      <c r="H4" s="3202"/>
      <c r="I4" s="3201" t="s">
        <v>2647</v>
      </c>
      <c r="J4" s="3202"/>
      <c r="K4" s="610" t="s">
        <v>2648</v>
      </c>
      <c r="L4" s="1130"/>
      <c r="M4" s="1131"/>
      <c r="N4" s="1131"/>
      <c r="O4" s="1131"/>
      <c r="P4" s="3205" t="s">
        <v>2649</v>
      </c>
      <c r="Q4" s="3206"/>
      <c r="R4" s="3211" t="s">
        <v>2645</v>
      </c>
      <c r="S4" s="3212"/>
      <c r="T4" s="3211" t="s">
        <v>2646</v>
      </c>
      <c r="U4" s="3212"/>
      <c r="V4" s="3217" t="s">
        <v>2647</v>
      </c>
      <c r="W4" s="3217"/>
      <c r="X4" s="1813"/>
      <c r="Y4" s="3211" t="s">
        <v>2649</v>
      </c>
      <c r="Z4" s="3212"/>
      <c r="AA4" s="3198" t="s">
        <v>2645</v>
      </c>
      <c r="AB4" s="3217" t="s">
        <v>2646</v>
      </c>
      <c r="AC4" s="3198" t="s">
        <v>2647</v>
      </c>
    </row>
    <row r="5" spans="1:29" ht="15">
      <c r="A5" s="404"/>
      <c r="B5" s="405"/>
      <c r="C5" s="3220" t="s">
        <v>2540</v>
      </c>
      <c r="D5" s="3221"/>
      <c r="E5" s="3227" t="s">
        <v>2541</v>
      </c>
      <c r="F5" s="3228"/>
      <c r="G5" s="3220" t="s">
        <v>2542</v>
      </c>
      <c r="H5" s="3221"/>
      <c r="I5" s="3220" t="s">
        <v>2543</v>
      </c>
      <c r="J5" s="3221"/>
      <c r="K5" s="610"/>
      <c r="L5" s="1130"/>
      <c r="M5" s="1131"/>
      <c r="N5" s="1131"/>
      <c r="O5" s="1131"/>
      <c r="P5" s="3207"/>
      <c r="Q5" s="3208"/>
      <c r="R5" s="3213"/>
      <c r="S5" s="3214"/>
      <c r="T5" s="3213"/>
      <c r="U5" s="3214"/>
      <c r="V5" s="3217"/>
      <c r="W5" s="3217"/>
      <c r="X5" s="1813"/>
      <c r="Y5" s="3213"/>
      <c r="Z5" s="3214"/>
      <c r="AA5" s="3199"/>
      <c r="AB5" s="3217"/>
      <c r="AC5" s="3199"/>
    </row>
    <row r="6" spans="1:29" ht="15.75" thickBot="1">
      <c r="A6" s="406"/>
      <c r="B6" s="407"/>
      <c r="C6" s="3218" t="s">
        <v>2544</v>
      </c>
      <c r="D6" s="3219"/>
      <c r="E6" s="3225" t="s">
        <v>2544</v>
      </c>
      <c r="F6" s="3226"/>
      <c r="G6" s="3218" t="s">
        <v>2544</v>
      </c>
      <c r="H6" s="3219"/>
      <c r="I6" s="3218" t="s">
        <v>2544</v>
      </c>
      <c r="J6" s="3219"/>
      <c r="K6" s="610" t="s">
        <v>2545</v>
      </c>
      <c r="L6" s="1130"/>
      <c r="M6" s="1131"/>
      <c r="N6" s="1131"/>
      <c r="O6" s="1131"/>
      <c r="P6" s="3209"/>
      <c r="Q6" s="3210"/>
      <c r="R6" s="3213"/>
      <c r="S6" s="3214"/>
      <c r="T6" s="3215"/>
      <c r="U6" s="3216"/>
      <c r="V6" s="3217"/>
      <c r="W6" s="3217"/>
      <c r="X6" s="1813"/>
      <c r="Y6" s="3215"/>
      <c r="Z6" s="3216"/>
      <c r="AA6" s="3200"/>
      <c r="AB6" s="3217"/>
      <c r="AC6" s="3200"/>
    </row>
    <row r="7" spans="1:29" s="117" customFormat="1" ht="15.75" thickBot="1">
      <c r="A7" s="408" t="s">
        <v>2546</v>
      </c>
      <c r="B7" s="409"/>
      <c r="C7" s="410">
        <f>'数据-取费表'!B2</f>
        <v>43538</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2" t="s">
        <v>2547</v>
      </c>
      <c r="Q7" s="3224"/>
      <c r="R7" s="770" t="s">
        <v>17</v>
      </c>
      <c r="S7" s="771">
        <f t="shared" ref="S7:S15" si="0">F7</f>
        <v>0</v>
      </c>
      <c r="T7" s="770" t="s">
        <v>17</v>
      </c>
      <c r="U7" s="771">
        <f t="shared" ref="U7:U15" si="1">H7</f>
        <v>0</v>
      </c>
      <c r="V7" s="770" t="s">
        <v>17</v>
      </c>
      <c r="W7" s="771">
        <f t="shared" ref="W7:W15" si="2">J7</f>
        <v>0</v>
      </c>
      <c r="X7" s="772"/>
      <c r="Y7" s="3222" t="s">
        <v>2547</v>
      </c>
      <c r="Z7" s="3223"/>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2" t="s">
        <v>2550</v>
      </c>
      <c r="Q8" s="3223"/>
      <c r="R8" s="770" t="s">
        <v>17</v>
      </c>
      <c r="S8" s="771">
        <f t="shared" si="0"/>
        <v>0</v>
      </c>
      <c r="T8" s="770" t="s">
        <v>17</v>
      </c>
      <c r="U8" s="771">
        <f t="shared" si="1"/>
        <v>0</v>
      </c>
      <c r="V8" s="770" t="s">
        <v>17</v>
      </c>
      <c r="W8" s="771">
        <f t="shared" si="2"/>
        <v>0</v>
      </c>
      <c r="X8" s="772"/>
      <c r="Y8" s="3222" t="s">
        <v>2550</v>
      </c>
      <c r="Z8" s="3223"/>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7" t="s">
        <v>2553</v>
      </c>
      <c r="Q9" s="1795" t="str">
        <f t="shared" ref="Q9:Q15" si="6">B9</f>
        <v>用途</v>
      </c>
      <c r="R9" s="770" t="s">
        <v>17</v>
      </c>
      <c r="S9" s="771">
        <f t="shared" si="0"/>
        <v>100</v>
      </c>
      <c r="T9" s="770" t="s">
        <v>17</v>
      </c>
      <c r="U9" s="771">
        <f t="shared" si="1"/>
        <v>100</v>
      </c>
      <c r="V9" s="770" t="s">
        <v>17</v>
      </c>
      <c r="W9" s="771">
        <f t="shared" si="2"/>
        <v>100</v>
      </c>
      <c r="X9" s="772"/>
      <c r="Y9" s="3011"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7"/>
      <c r="Q10" s="1795" t="str">
        <f t="shared" si="6"/>
        <v>土地使用年限（年）</v>
      </c>
      <c r="R10" s="770" t="s">
        <v>17</v>
      </c>
      <c r="S10" s="771">
        <f t="shared" si="0"/>
        <v>100</v>
      </c>
      <c r="T10" s="770" t="s">
        <v>17</v>
      </c>
      <c r="U10" s="771">
        <f t="shared" si="1"/>
        <v>100</v>
      </c>
      <c r="V10" s="770" t="s">
        <v>17</v>
      </c>
      <c r="W10" s="771">
        <f t="shared" si="2"/>
        <v>100</v>
      </c>
      <c r="X10" s="772"/>
      <c r="Y10" s="3011"/>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7"/>
      <c r="Q11" s="1795" t="str">
        <f t="shared" si="6"/>
        <v>容积率</v>
      </c>
      <c r="R11" s="770" t="s">
        <v>17</v>
      </c>
      <c r="S11" s="771" t="e">
        <f t="shared" si="0"/>
        <v>#N/A</v>
      </c>
      <c r="T11" s="770" t="s">
        <v>17</v>
      </c>
      <c r="U11" s="771" t="e">
        <f t="shared" si="1"/>
        <v>#N/A</v>
      </c>
      <c r="V11" s="770" t="s">
        <v>17</v>
      </c>
      <c r="W11" s="771" t="e">
        <f t="shared" si="2"/>
        <v>#N/A</v>
      </c>
      <c r="X11" s="772"/>
      <c r="Y11" s="3011"/>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7"/>
      <c r="Q12" s="1795">
        <f t="shared" si="6"/>
        <v>111</v>
      </c>
      <c r="R12" s="770" t="s">
        <v>17</v>
      </c>
      <c r="S12" s="771">
        <f t="shared" si="0"/>
        <v>100</v>
      </c>
      <c r="T12" s="770" t="s">
        <v>17</v>
      </c>
      <c r="U12" s="771">
        <f t="shared" si="1"/>
        <v>100</v>
      </c>
      <c r="V12" s="770" t="s">
        <v>17</v>
      </c>
      <c r="W12" s="771">
        <f t="shared" si="2"/>
        <v>100</v>
      </c>
      <c r="X12" s="772"/>
      <c r="Y12" s="3011"/>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7"/>
      <c r="Q13" s="1795">
        <f t="shared" si="6"/>
        <v>111</v>
      </c>
      <c r="R13" s="770" t="s">
        <v>17</v>
      </c>
      <c r="S13" s="771">
        <f t="shared" si="0"/>
        <v>100</v>
      </c>
      <c r="T13" s="770" t="s">
        <v>17</v>
      </c>
      <c r="U13" s="771">
        <f t="shared" si="1"/>
        <v>100</v>
      </c>
      <c r="V13" s="770" t="s">
        <v>17</v>
      </c>
      <c r="W13" s="771">
        <f t="shared" si="2"/>
        <v>100</v>
      </c>
      <c r="X13" s="772"/>
      <c r="Y13" s="3011"/>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7"/>
      <c r="Q14" s="1795">
        <f t="shared" si="6"/>
        <v>111</v>
      </c>
      <c r="R14" s="770" t="s">
        <v>17</v>
      </c>
      <c r="S14" s="771">
        <f t="shared" si="0"/>
        <v>100</v>
      </c>
      <c r="T14" s="770" t="s">
        <v>17</v>
      </c>
      <c r="U14" s="771">
        <f t="shared" si="1"/>
        <v>100</v>
      </c>
      <c r="V14" s="770" t="s">
        <v>17</v>
      </c>
      <c r="W14" s="771">
        <f t="shared" si="2"/>
        <v>100</v>
      </c>
      <c r="X14" s="772"/>
      <c r="Y14" s="3011"/>
      <c r="Z14" s="55">
        <f t="shared" si="7"/>
        <v>111</v>
      </c>
      <c r="AA14" s="773">
        <f t="shared" si="3"/>
        <v>1</v>
      </c>
      <c r="AB14" s="773">
        <f t="shared" si="4"/>
        <v>1</v>
      </c>
      <c r="AC14" s="773">
        <f t="shared" si="5"/>
        <v>1</v>
      </c>
    </row>
    <row r="15" spans="1:29" ht="71.25">
      <c r="A15" s="440" t="s">
        <v>2557</v>
      </c>
      <c r="B15" s="69" t="s">
        <v>2651</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95" t="s">
        <v>2558</v>
      </c>
      <c r="Q15" s="1810" t="str">
        <f t="shared" si="6"/>
        <v>商业繁华度</v>
      </c>
      <c r="R15" s="774" t="s">
        <v>17</v>
      </c>
      <c r="S15" s="775">
        <f t="shared" si="0"/>
        <v>100</v>
      </c>
      <c r="T15" s="774" t="s">
        <v>17</v>
      </c>
      <c r="U15" s="775">
        <f t="shared" si="1"/>
        <v>100</v>
      </c>
      <c r="V15" s="774" t="s">
        <v>17</v>
      </c>
      <c r="W15" s="775">
        <f t="shared" si="2"/>
        <v>100</v>
      </c>
      <c r="X15" s="1813"/>
      <c r="Y15" s="3188" t="s">
        <v>2558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196"/>
      <c r="Q16" s="1810"/>
      <c r="R16" s="774"/>
      <c r="S16" s="775"/>
      <c r="T16" s="774"/>
      <c r="U16" s="775"/>
      <c r="V16" s="774"/>
      <c r="W16" s="775"/>
      <c r="X16" s="1813"/>
      <c r="Y16" s="3189"/>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96"/>
      <c r="Q17" s="1810" t="str">
        <f>B17</f>
        <v>交通便捷度</v>
      </c>
      <c r="R17" s="774" t="s">
        <v>17</v>
      </c>
      <c r="S17" s="775">
        <f>F17</f>
        <v>100</v>
      </c>
      <c r="T17" s="774" t="s">
        <v>17</v>
      </c>
      <c r="U17" s="775">
        <f>H17</f>
        <v>100</v>
      </c>
      <c r="V17" s="774" t="s">
        <v>17</v>
      </c>
      <c r="W17" s="775">
        <f>J17</f>
        <v>100</v>
      </c>
      <c r="X17" s="1813"/>
      <c r="Y17" s="3189"/>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196"/>
      <c r="Q18" s="1810"/>
      <c r="R18" s="774"/>
      <c r="S18" s="775"/>
      <c r="T18" s="774"/>
      <c r="U18" s="775"/>
      <c r="V18" s="774"/>
      <c r="W18" s="775"/>
      <c r="X18" s="1813"/>
      <c r="Y18" s="3189"/>
      <c r="Z18" s="1814"/>
      <c r="AA18" s="1811">
        <v>1</v>
      </c>
      <c r="AB18" s="1811">
        <v>1</v>
      </c>
      <c r="AC18" s="1811">
        <v>1</v>
      </c>
    </row>
    <row r="19" spans="1:29" ht="42.75">
      <c r="A19" s="428"/>
      <c r="B19" s="451" t="s">
        <v>2652</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96"/>
      <c r="Q19" s="1810" t="str">
        <f>B19</f>
        <v>公共配套设施</v>
      </c>
      <c r="R19" s="774" t="s">
        <v>17</v>
      </c>
      <c r="S19" s="775">
        <f>F19</f>
        <v>100</v>
      </c>
      <c r="T19" s="774" t="s">
        <v>17</v>
      </c>
      <c r="U19" s="775">
        <f>H19</f>
        <v>100</v>
      </c>
      <c r="V19" s="774" t="s">
        <v>17</v>
      </c>
      <c r="W19" s="775">
        <f>J19</f>
        <v>100</v>
      </c>
      <c r="X19" s="1813"/>
      <c r="Y19" s="3189"/>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196"/>
      <c r="Q20" s="1810"/>
      <c r="R20" s="774"/>
      <c r="S20" s="775"/>
      <c r="T20" s="774"/>
      <c r="U20" s="775"/>
      <c r="V20" s="774"/>
      <c r="W20" s="775"/>
      <c r="X20" s="1813"/>
      <c r="Y20" s="3189"/>
      <c r="Z20" s="1814"/>
      <c r="AA20" s="1811">
        <v>1</v>
      </c>
      <c r="AB20" s="1811">
        <v>1</v>
      </c>
      <c r="AC20" s="1811">
        <v>1</v>
      </c>
    </row>
    <row r="21" spans="1:29" ht="28.5">
      <c r="A21" s="428"/>
      <c r="B21" s="1384" t="s">
        <v>2653</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96"/>
      <c r="Q21" s="1810" t="str">
        <f>B21</f>
        <v>基础设施水平</v>
      </c>
      <c r="R21" s="774" t="s">
        <v>17</v>
      </c>
      <c r="S21" s="775">
        <f>F21</f>
        <v>100</v>
      </c>
      <c r="T21" s="774" t="s">
        <v>17</v>
      </c>
      <c r="U21" s="775">
        <f>H21</f>
        <v>100</v>
      </c>
      <c r="V21" s="774" t="s">
        <v>17</v>
      </c>
      <c r="W21" s="775">
        <f>J21</f>
        <v>100</v>
      </c>
      <c r="X21" s="1813"/>
      <c r="Y21" s="3189"/>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196"/>
      <c r="Q22" s="1810"/>
      <c r="R22" s="774"/>
      <c r="S22" s="775"/>
      <c r="T22" s="774"/>
      <c r="U22" s="775"/>
      <c r="V22" s="774"/>
      <c r="W22" s="775"/>
      <c r="X22" s="1813"/>
      <c r="Y22" s="3189"/>
      <c r="Z22" s="1814"/>
      <c r="AA22" s="1811">
        <v>1</v>
      </c>
      <c r="AB22" s="1811">
        <v>1</v>
      </c>
      <c r="AC22" s="1811">
        <v>1</v>
      </c>
    </row>
    <row r="23" spans="1:29" ht="57">
      <c r="A23" s="428"/>
      <c r="B23" s="451" t="s">
        <v>2102</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96"/>
      <c r="Q23" s="1810" t="str">
        <f>B23</f>
        <v>自然及人文环境</v>
      </c>
      <c r="R23" s="774" t="s">
        <v>17</v>
      </c>
      <c r="S23" s="775">
        <f>F23</f>
        <v>100</v>
      </c>
      <c r="T23" s="774" t="s">
        <v>17</v>
      </c>
      <c r="U23" s="775">
        <f>H23</f>
        <v>100</v>
      </c>
      <c r="V23" s="774" t="s">
        <v>17</v>
      </c>
      <c r="W23" s="775">
        <f>J23</f>
        <v>100</v>
      </c>
      <c r="X23" s="1813"/>
      <c r="Y23" s="3189"/>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196"/>
      <c r="Q24" s="1810"/>
      <c r="R24" s="774"/>
      <c r="S24" s="775"/>
      <c r="T24" s="774"/>
      <c r="U24" s="775"/>
      <c r="V24" s="774"/>
      <c r="W24" s="775"/>
      <c r="X24" s="1813"/>
      <c r="Y24" s="3189"/>
      <c r="Z24" s="1814"/>
      <c r="AA24" s="1811">
        <v>1</v>
      </c>
      <c r="AB24" s="1811">
        <v>1</v>
      </c>
      <c r="AC24" s="1811">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96"/>
      <c r="Q25" s="1810" t="str">
        <f t="shared" ref="Q25:Q46" si="11">B25</f>
        <v>临街状况</v>
      </c>
      <c r="R25" s="774" t="s">
        <v>17</v>
      </c>
      <c r="S25" s="775">
        <f>F25</f>
        <v>100</v>
      </c>
      <c r="T25" s="774" t="s">
        <v>17</v>
      </c>
      <c r="U25" s="775">
        <f>H25</f>
        <v>100</v>
      </c>
      <c r="V25" s="774" t="s">
        <v>17</v>
      </c>
      <c r="W25" s="775">
        <f>J25</f>
        <v>100</v>
      </c>
      <c r="X25" s="1813"/>
      <c r="Y25" s="3189"/>
      <c r="Z25" s="1814" t="str">
        <f>Q25</f>
        <v>临街状况</v>
      </c>
      <c r="AA25" s="1811">
        <f t="shared" si="3"/>
        <v>1</v>
      </c>
      <c r="AB25" s="1811">
        <f t="shared" si="4"/>
        <v>1</v>
      </c>
      <c r="AC25" s="1811">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96"/>
      <c r="Q26" s="1810" t="str">
        <f t="shared" si="11"/>
        <v>平面位置/可视性</v>
      </c>
      <c r="R26" s="774" t="s">
        <v>17</v>
      </c>
      <c r="S26" s="775">
        <f>F26</f>
        <v>100</v>
      </c>
      <c r="T26" s="774" t="s">
        <v>17</v>
      </c>
      <c r="U26" s="775">
        <f>H26</f>
        <v>100</v>
      </c>
      <c r="V26" s="774" t="s">
        <v>17</v>
      </c>
      <c r="W26" s="775">
        <f>J26</f>
        <v>100</v>
      </c>
      <c r="X26" s="1813"/>
      <c r="Y26" s="3189"/>
      <c r="Z26" s="1814" t="str">
        <f>Q26</f>
        <v>平面位置/可视性</v>
      </c>
      <c r="AA26" s="1811">
        <f t="shared" si="3"/>
        <v>1</v>
      </c>
      <c r="AB26" s="1811">
        <f t="shared" si="4"/>
        <v>1</v>
      </c>
      <c r="AC26" s="1811">
        <f t="shared" si="5"/>
        <v>1</v>
      </c>
    </row>
    <row r="27" spans="1:29" s="117" customFormat="1" ht="15">
      <c r="A27" s="431"/>
      <c r="B27" s="451" t="s">
        <v>2656</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196"/>
      <c r="Q27" s="1795" t="str">
        <f t="shared" si="11"/>
        <v>人流量</v>
      </c>
      <c r="R27" s="770" t="s">
        <v>17</v>
      </c>
      <c r="S27" s="771">
        <f>F27</f>
        <v>100</v>
      </c>
      <c r="T27" s="770" t="s">
        <v>17</v>
      </c>
      <c r="U27" s="771">
        <f>H27</f>
        <v>100</v>
      </c>
      <c r="V27" s="770" t="s">
        <v>17</v>
      </c>
      <c r="W27" s="771">
        <f>J27</f>
        <v>100</v>
      </c>
      <c r="X27" s="772"/>
      <c r="Y27" s="3189"/>
      <c r="Z27" s="55" t="str">
        <f>Q27</f>
        <v>人流量</v>
      </c>
      <c r="AA27" s="1811">
        <f>D27/F27</f>
        <v>1</v>
      </c>
      <c r="AB27" s="1811">
        <f>D27/H27</f>
        <v>1</v>
      </c>
      <c r="AC27" s="1811">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96"/>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89"/>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96"/>
      <c r="Q29" s="1810">
        <f t="shared" si="11"/>
        <v>111</v>
      </c>
      <c r="R29" s="774" t="s">
        <v>17</v>
      </c>
      <c r="S29" s="775">
        <f t="shared" si="12"/>
        <v>100</v>
      </c>
      <c r="T29" s="774" t="s">
        <v>17</v>
      </c>
      <c r="U29" s="775">
        <f t="shared" si="13"/>
        <v>100</v>
      </c>
      <c r="V29" s="774" t="s">
        <v>17</v>
      </c>
      <c r="W29" s="775">
        <f t="shared" si="14"/>
        <v>100</v>
      </c>
      <c r="X29" s="1813"/>
      <c r="Y29" s="3189"/>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96"/>
      <c r="Q30" s="1810">
        <f t="shared" si="11"/>
        <v>111</v>
      </c>
      <c r="R30" s="774" t="s">
        <v>17</v>
      </c>
      <c r="S30" s="775">
        <f t="shared" si="12"/>
        <v>100</v>
      </c>
      <c r="T30" s="774" t="s">
        <v>17</v>
      </c>
      <c r="U30" s="775">
        <f t="shared" si="13"/>
        <v>100</v>
      </c>
      <c r="V30" s="774" t="s">
        <v>17</v>
      </c>
      <c r="W30" s="775">
        <f t="shared" si="14"/>
        <v>100</v>
      </c>
      <c r="X30" s="1813"/>
      <c r="Y30" s="3189"/>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96"/>
      <c r="Q31" s="1810">
        <f t="shared" si="11"/>
        <v>111</v>
      </c>
      <c r="R31" s="774" t="s">
        <v>17</v>
      </c>
      <c r="S31" s="775">
        <f t="shared" si="12"/>
        <v>100</v>
      </c>
      <c r="T31" s="774" t="s">
        <v>17</v>
      </c>
      <c r="U31" s="775">
        <f t="shared" si="13"/>
        <v>100</v>
      </c>
      <c r="V31" s="774" t="s">
        <v>17</v>
      </c>
      <c r="W31" s="775">
        <f t="shared" si="14"/>
        <v>100</v>
      </c>
      <c r="X31" s="1813"/>
      <c r="Y31" s="3189"/>
      <c r="Z31" s="1814">
        <f t="shared" si="15"/>
        <v>111</v>
      </c>
      <c r="AA31" s="1811">
        <f t="shared" si="3"/>
        <v>1</v>
      </c>
      <c r="AB31" s="1811">
        <f t="shared" si="4"/>
        <v>1</v>
      </c>
      <c r="AC31" s="1811">
        <f t="shared" si="5"/>
        <v>1</v>
      </c>
    </row>
    <row r="32" spans="1:29" ht="15">
      <c r="A32" s="440" t="s">
        <v>2561</v>
      </c>
      <c r="B32" s="71" t="s">
        <v>2658</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190" t="s">
        <v>2563</v>
      </c>
      <c r="Q32" s="1810" t="str">
        <f t="shared" si="11"/>
        <v>商业类型</v>
      </c>
      <c r="R32" s="774" t="s">
        <v>17</v>
      </c>
      <c r="S32" s="775">
        <f t="shared" si="12"/>
        <v>100</v>
      </c>
      <c r="T32" s="774" t="s">
        <v>17</v>
      </c>
      <c r="U32" s="775">
        <f t="shared" si="13"/>
        <v>100</v>
      </c>
      <c r="V32" s="774" t="s">
        <v>17</v>
      </c>
      <c r="W32" s="775">
        <f t="shared" si="14"/>
        <v>100</v>
      </c>
      <c r="X32" s="1813"/>
      <c r="Y32" s="3193" t="s">
        <v>2563</v>
      </c>
      <c r="Z32" s="1814" t="str">
        <f t="shared" si="15"/>
        <v>商业类型</v>
      </c>
      <c r="AA32" s="1811">
        <f t="shared" si="3"/>
        <v>1</v>
      </c>
      <c r="AB32" s="1811">
        <f t="shared" si="4"/>
        <v>1</v>
      </c>
      <c r="AC32" s="1811">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91"/>
      <c r="Q33" s="776" t="str">
        <f t="shared" si="11"/>
        <v>项目建筑规模</v>
      </c>
      <c r="R33" s="777" t="s">
        <v>17</v>
      </c>
      <c r="S33" s="778" t="e">
        <f t="shared" si="12"/>
        <v>#N/A</v>
      </c>
      <c r="T33" s="777" t="s">
        <v>17</v>
      </c>
      <c r="U33" s="778" t="e">
        <f t="shared" si="13"/>
        <v>#N/A</v>
      </c>
      <c r="V33" s="777" t="s">
        <v>17</v>
      </c>
      <c r="W33" s="778" t="e">
        <f t="shared" si="14"/>
        <v>#N/A</v>
      </c>
      <c r="X33" s="779"/>
      <c r="Y33" s="3193"/>
      <c r="Z33" s="780" t="str">
        <f t="shared" si="15"/>
        <v>项目建筑规模</v>
      </c>
      <c r="AA33" s="1811" t="e">
        <f t="shared" si="3"/>
        <v>#N/A</v>
      </c>
      <c r="AB33" s="1811" t="e">
        <f t="shared" si="4"/>
        <v>#N/A</v>
      </c>
      <c r="AC33" s="1811" t="e">
        <f t="shared" si="5"/>
        <v>#N/A</v>
      </c>
    </row>
    <row r="34" spans="1:29" ht="15">
      <c r="A34" s="472"/>
      <c r="B34" s="422" t="s">
        <v>2565</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191"/>
      <c r="Q34" s="1810" t="str">
        <f t="shared" si="11"/>
        <v>建筑结构</v>
      </c>
      <c r="R34" s="774" t="s">
        <v>17</v>
      </c>
      <c r="S34" s="775">
        <f t="shared" si="12"/>
        <v>100</v>
      </c>
      <c r="T34" s="774" t="s">
        <v>17</v>
      </c>
      <c r="U34" s="775">
        <f t="shared" si="13"/>
        <v>100</v>
      </c>
      <c r="V34" s="774" t="s">
        <v>17</v>
      </c>
      <c r="W34" s="775">
        <f t="shared" si="14"/>
        <v>100</v>
      </c>
      <c r="X34" s="1813"/>
      <c r="Y34" s="3193"/>
      <c r="Z34" s="1814" t="str">
        <f t="shared" si="15"/>
        <v>建筑结构</v>
      </c>
      <c r="AA34" s="1811">
        <f t="shared" si="3"/>
        <v>1</v>
      </c>
      <c r="AB34" s="1811">
        <f t="shared" si="4"/>
        <v>1</v>
      </c>
      <c r="AC34" s="1811">
        <f t="shared" si="5"/>
        <v>1</v>
      </c>
    </row>
    <row r="35" spans="1:29" ht="15">
      <c r="A35" s="472"/>
      <c r="B35" s="422" t="s">
        <v>2659</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191"/>
      <c r="Q35" s="1810" t="str">
        <f t="shared" si="11"/>
        <v>公共部分装修</v>
      </c>
      <c r="R35" s="774" t="s">
        <v>17</v>
      </c>
      <c r="S35" s="775">
        <f t="shared" si="12"/>
        <v>100</v>
      </c>
      <c r="T35" s="774" t="s">
        <v>17</v>
      </c>
      <c r="U35" s="775">
        <f t="shared" si="13"/>
        <v>100</v>
      </c>
      <c r="V35" s="774" t="s">
        <v>17</v>
      </c>
      <c r="W35" s="775">
        <f t="shared" si="14"/>
        <v>100</v>
      </c>
      <c r="X35" s="1813"/>
      <c r="Y35" s="3193"/>
      <c r="Z35" s="1814" t="str">
        <f t="shared" si="15"/>
        <v>公共部分装修</v>
      </c>
      <c r="AA35" s="1811">
        <f t="shared" si="3"/>
        <v>1</v>
      </c>
      <c r="AB35" s="1811">
        <f t="shared" si="4"/>
        <v>1</v>
      </c>
      <c r="AC35" s="1811">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91"/>
      <c r="Q36" s="1810" t="str">
        <f t="shared" si="11"/>
        <v>成新度</v>
      </c>
      <c r="R36" s="774" t="s">
        <v>17</v>
      </c>
      <c r="S36" s="775" t="e">
        <f t="shared" si="12"/>
        <v>#N/A</v>
      </c>
      <c r="T36" s="774" t="s">
        <v>17</v>
      </c>
      <c r="U36" s="775" t="e">
        <f t="shared" si="13"/>
        <v>#N/A</v>
      </c>
      <c r="V36" s="774" t="s">
        <v>17</v>
      </c>
      <c r="W36" s="775" t="e">
        <f t="shared" si="14"/>
        <v>#N/A</v>
      </c>
      <c r="X36" s="1813"/>
      <c r="Y36" s="3193"/>
      <c r="Z36" s="1814" t="str">
        <f t="shared" si="15"/>
        <v>成新度</v>
      </c>
      <c r="AA36" s="1811" t="e">
        <f t="shared" si="3"/>
        <v>#N/A</v>
      </c>
      <c r="AB36" s="1811" t="e">
        <f t="shared" si="4"/>
        <v>#N/A</v>
      </c>
      <c r="AC36" s="1811" t="e">
        <f t="shared" si="5"/>
        <v>#N/A</v>
      </c>
    </row>
    <row r="37" spans="1:29" s="117" customFormat="1" ht="15">
      <c r="A37" s="473"/>
      <c r="B37" s="422" t="s">
        <v>2661</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191"/>
      <c r="Q37" s="1795" t="str">
        <f t="shared" si="11"/>
        <v>市政基础设施</v>
      </c>
      <c r="R37" s="770" t="s">
        <v>17</v>
      </c>
      <c r="S37" s="771">
        <f t="shared" si="12"/>
        <v>100</v>
      </c>
      <c r="T37" s="770" t="s">
        <v>17</v>
      </c>
      <c r="U37" s="771">
        <f t="shared" si="13"/>
        <v>100</v>
      </c>
      <c r="V37" s="770" t="s">
        <v>17</v>
      </c>
      <c r="W37" s="771">
        <f t="shared" si="14"/>
        <v>100</v>
      </c>
      <c r="X37" s="772"/>
      <c r="Y37" s="3193"/>
      <c r="Z37" s="55" t="str">
        <f t="shared" si="15"/>
        <v>市政基础设施</v>
      </c>
      <c r="AA37" s="773">
        <f t="shared" si="3"/>
        <v>1</v>
      </c>
      <c r="AB37" s="773">
        <f t="shared" si="4"/>
        <v>1</v>
      </c>
      <c r="AC37" s="773">
        <f t="shared" si="5"/>
        <v>1</v>
      </c>
    </row>
    <row r="38" spans="1:29" ht="15">
      <c r="A38" s="472"/>
      <c r="B38" s="422" t="s">
        <v>2662</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191" t="s">
        <v>2563</v>
      </c>
      <c r="Q38" s="1810" t="str">
        <f t="shared" si="11"/>
        <v>业态</v>
      </c>
      <c r="R38" s="774" t="s">
        <v>17</v>
      </c>
      <c r="S38" s="775">
        <f t="shared" si="12"/>
        <v>100</v>
      </c>
      <c r="T38" s="774" t="s">
        <v>17</v>
      </c>
      <c r="U38" s="775">
        <f t="shared" si="13"/>
        <v>100</v>
      </c>
      <c r="V38" s="774" t="s">
        <v>17</v>
      </c>
      <c r="W38" s="775">
        <f t="shared" si="14"/>
        <v>100</v>
      </c>
      <c r="X38" s="1813"/>
      <c r="Y38" s="3193" t="s">
        <v>2563</v>
      </c>
      <c r="Z38" s="1814" t="str">
        <f t="shared" si="15"/>
        <v>业态</v>
      </c>
      <c r="AA38" s="1811">
        <f t="shared" si="3"/>
        <v>1</v>
      </c>
      <c r="AB38" s="1811">
        <f t="shared" si="4"/>
        <v>1</v>
      </c>
      <c r="AC38" s="1811">
        <f t="shared" si="5"/>
        <v>1</v>
      </c>
    </row>
    <row r="39" spans="1:29" ht="15">
      <c r="A39" s="472"/>
      <c r="B39" s="422" t="s">
        <v>2663</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191"/>
      <c r="Q39" s="1810" t="str">
        <f t="shared" si="11"/>
        <v>层高</v>
      </c>
      <c r="R39" s="774" t="s">
        <v>17</v>
      </c>
      <c r="S39" s="775">
        <f t="shared" si="12"/>
        <v>100</v>
      </c>
      <c r="T39" s="774" t="s">
        <v>17</v>
      </c>
      <c r="U39" s="775">
        <f t="shared" si="13"/>
        <v>100</v>
      </c>
      <c r="V39" s="774" t="s">
        <v>17</v>
      </c>
      <c r="W39" s="775">
        <f t="shared" si="14"/>
        <v>100</v>
      </c>
      <c r="X39" s="1813"/>
      <c r="Y39" s="3193"/>
      <c r="Z39" s="1814" t="str">
        <f t="shared" si="15"/>
        <v>层高</v>
      </c>
      <c r="AA39" s="1811">
        <f t="shared" si="3"/>
        <v>1</v>
      </c>
      <c r="AB39" s="1811">
        <f t="shared" si="4"/>
        <v>1</v>
      </c>
      <c r="AC39" s="1811">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91"/>
      <c r="Q40" s="1810" t="str">
        <f t="shared" si="11"/>
        <v>单套建筑面积</v>
      </c>
      <c r="R40" s="774" t="s">
        <v>17</v>
      </c>
      <c r="S40" s="775">
        <f t="shared" si="12"/>
        <v>100</v>
      </c>
      <c r="T40" s="774" t="s">
        <v>17</v>
      </c>
      <c r="U40" s="775">
        <f t="shared" si="13"/>
        <v>100</v>
      </c>
      <c r="V40" s="774" t="s">
        <v>17</v>
      </c>
      <c r="W40" s="775">
        <f t="shared" si="14"/>
        <v>100</v>
      </c>
      <c r="X40" s="1813"/>
      <c r="Y40" s="3193"/>
      <c r="Z40" s="1814" t="str">
        <f t="shared" si="15"/>
        <v>单套建筑面积</v>
      </c>
      <c r="AA40" s="1811">
        <f t="shared" si="3"/>
        <v>1</v>
      </c>
      <c r="AB40" s="1811">
        <f t="shared" si="4"/>
        <v>1</v>
      </c>
      <c r="AC40" s="1811">
        <f t="shared" si="5"/>
        <v>1</v>
      </c>
    </row>
    <row r="41" spans="1:29" s="471" customFormat="1" ht="15">
      <c r="A41" s="468"/>
      <c r="B41" s="1812"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91"/>
      <c r="Q41" s="776" t="str">
        <f t="shared" si="11"/>
        <v>进深比</v>
      </c>
      <c r="R41" s="777" t="s">
        <v>17</v>
      </c>
      <c r="S41" s="778">
        <f t="shared" si="12"/>
        <v>100</v>
      </c>
      <c r="T41" s="777" t="s">
        <v>17</v>
      </c>
      <c r="U41" s="778">
        <f t="shared" si="13"/>
        <v>100</v>
      </c>
      <c r="V41" s="777" t="s">
        <v>17</v>
      </c>
      <c r="W41" s="778">
        <f t="shared" si="14"/>
        <v>100</v>
      </c>
      <c r="X41" s="779"/>
      <c r="Y41" s="3193"/>
      <c r="Z41" s="780" t="str">
        <f t="shared" si="15"/>
        <v>进深比</v>
      </c>
      <c r="AA41" s="1811">
        <f t="shared" si="3"/>
        <v>1</v>
      </c>
      <c r="AB41" s="1811">
        <f t="shared" si="4"/>
        <v>1</v>
      </c>
      <c r="AC41" s="1811">
        <f t="shared" si="5"/>
        <v>1</v>
      </c>
    </row>
    <row r="42" spans="1:29" ht="15">
      <c r="A42" s="472"/>
      <c r="B42" s="422" t="s">
        <v>2666</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191"/>
      <c r="Q42" s="1810" t="str">
        <f t="shared" si="11"/>
        <v>内部装修</v>
      </c>
      <c r="R42" s="774" t="s">
        <v>17</v>
      </c>
      <c r="S42" s="775">
        <f t="shared" si="12"/>
        <v>100</v>
      </c>
      <c r="T42" s="774" t="s">
        <v>17</v>
      </c>
      <c r="U42" s="775">
        <f t="shared" si="13"/>
        <v>100</v>
      </c>
      <c r="V42" s="774" t="s">
        <v>17</v>
      </c>
      <c r="W42" s="775">
        <f t="shared" si="14"/>
        <v>100</v>
      </c>
      <c r="X42" s="1813"/>
      <c r="Y42" s="3193"/>
      <c r="Z42" s="1814" t="str">
        <f t="shared" si="15"/>
        <v>内部装修</v>
      </c>
      <c r="AA42" s="1811">
        <f t="shared" si="3"/>
        <v>1</v>
      </c>
      <c r="AB42" s="1811">
        <f t="shared" si="4"/>
        <v>1</v>
      </c>
      <c r="AC42" s="1811">
        <f t="shared" si="5"/>
        <v>1</v>
      </c>
    </row>
    <row r="43" spans="1:29" ht="15">
      <c r="A43" s="472"/>
      <c r="B43" s="422" t="s">
        <v>2574</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191"/>
      <c r="Q43" s="1810" t="str">
        <f t="shared" si="11"/>
        <v>内部装修维护情况</v>
      </c>
      <c r="R43" s="774" t="s">
        <v>17</v>
      </c>
      <c r="S43" s="775">
        <f t="shared" si="12"/>
        <v>100</v>
      </c>
      <c r="T43" s="774" t="s">
        <v>17</v>
      </c>
      <c r="U43" s="775">
        <f t="shared" si="13"/>
        <v>100</v>
      </c>
      <c r="V43" s="774" t="s">
        <v>17</v>
      </c>
      <c r="W43" s="775">
        <f t="shared" si="14"/>
        <v>100</v>
      </c>
      <c r="X43" s="1813"/>
      <c r="Y43" s="3193"/>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91"/>
      <c r="Q44" s="1795">
        <f t="shared" si="11"/>
        <v>111</v>
      </c>
      <c r="R44" s="770" t="s">
        <v>17</v>
      </c>
      <c r="S44" s="771">
        <f t="shared" si="12"/>
        <v>100</v>
      </c>
      <c r="T44" s="770" t="s">
        <v>17</v>
      </c>
      <c r="U44" s="771">
        <f t="shared" si="13"/>
        <v>100</v>
      </c>
      <c r="V44" s="770" t="s">
        <v>17</v>
      </c>
      <c r="W44" s="771">
        <f t="shared" si="14"/>
        <v>100</v>
      </c>
      <c r="X44" s="772"/>
      <c r="Y44" s="3193"/>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91"/>
      <c r="Q45" s="1810">
        <f t="shared" si="11"/>
        <v>111</v>
      </c>
      <c r="R45" s="774" t="s">
        <v>17</v>
      </c>
      <c r="S45" s="775">
        <f t="shared" si="12"/>
        <v>100</v>
      </c>
      <c r="T45" s="774" t="s">
        <v>17</v>
      </c>
      <c r="U45" s="775">
        <f t="shared" si="13"/>
        <v>100</v>
      </c>
      <c r="V45" s="774" t="s">
        <v>17</v>
      </c>
      <c r="W45" s="775">
        <f t="shared" si="14"/>
        <v>100</v>
      </c>
      <c r="X45" s="1813"/>
      <c r="Y45" s="3193"/>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92"/>
      <c r="Q46" s="1810">
        <f t="shared" si="11"/>
        <v>111</v>
      </c>
      <c r="R46" s="774" t="s">
        <v>17</v>
      </c>
      <c r="S46" s="775">
        <f t="shared" si="12"/>
        <v>100</v>
      </c>
      <c r="T46" s="774" t="s">
        <v>17</v>
      </c>
      <c r="U46" s="775">
        <f t="shared" si="13"/>
        <v>100</v>
      </c>
      <c r="V46" s="774" t="s">
        <v>17</v>
      </c>
      <c r="W46" s="775">
        <f t="shared" si="14"/>
        <v>100</v>
      </c>
      <c r="X46" s="1813"/>
      <c r="Y46" s="3194"/>
      <c r="Z46" s="1814">
        <f t="shared" si="15"/>
        <v>111</v>
      </c>
      <c r="AA46" s="1811">
        <f t="shared" si="3"/>
        <v>1</v>
      </c>
      <c r="AB46" s="1811">
        <f t="shared" si="4"/>
        <v>1</v>
      </c>
      <c r="AC46" s="1811">
        <f t="shared" si="5"/>
        <v>1</v>
      </c>
    </row>
    <row r="47" spans="1:29" ht="15">
      <c r="A47" s="479" t="s">
        <v>2575</v>
      </c>
      <c r="B47" s="480"/>
      <c r="C47" s="1407" t="s">
        <v>1</v>
      </c>
      <c r="D47" s="1408"/>
      <c r="E47" s="1409"/>
      <c r="F47" s="1410"/>
      <c r="G47" s="1411"/>
      <c r="H47" s="1412"/>
      <c r="I47" s="1409"/>
      <c r="J47" s="1412"/>
      <c r="K47" s="783"/>
      <c r="L47" s="1143"/>
      <c r="M47" s="1144"/>
      <c r="N47" s="1131"/>
      <c r="O47" s="1144"/>
      <c r="P47" s="3186" t="str">
        <f>A47</f>
        <v>成交单价（元/平方米）</v>
      </c>
      <c r="Q47" s="3186"/>
      <c r="R47" s="3217">
        <f>E47</f>
        <v>0</v>
      </c>
      <c r="S47" s="3217"/>
      <c r="T47" s="3217">
        <f>G47</f>
        <v>0</v>
      </c>
      <c r="U47" s="3217"/>
      <c r="V47" s="3217">
        <f>I47</f>
        <v>0</v>
      </c>
      <c r="W47" s="3217"/>
      <c r="X47" s="759"/>
      <c r="Y47" s="781"/>
      <c r="Z47" s="759"/>
      <c r="AA47" s="759"/>
      <c r="AB47" s="759"/>
      <c r="AC47" s="759"/>
    </row>
    <row r="48" spans="1:29" ht="15.7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186" t="str">
        <f>A48</f>
        <v>比较价值（元/平方米）</v>
      </c>
      <c r="Q48" s="3186"/>
      <c r="R48" s="3187" t="e">
        <f>IF(F1="售价",ROUND(PRODUCT(R47,AA7:AA46),0),ROUND(PRODUCT(R47,AA7:AA46),1))</f>
        <v>#DIV/0!</v>
      </c>
      <c r="S48" s="3187"/>
      <c r="T48" s="3187" t="e">
        <f>IF(F1="售价",ROUND(PRODUCT(T47,AB7:AB46),0),ROUND(PRODUCT(T47,AB7:AB46),1))</f>
        <v>#DIV/0!</v>
      </c>
      <c r="U48" s="3187"/>
      <c r="V48" s="3187" t="e">
        <f>IF(F1="售价",ROUND(PRODUCT(V47,AC7:AC46),0),ROUND(PRODUCT(V47,AC7:AC46),1))</f>
        <v>#DIV/0!</v>
      </c>
      <c r="W48" s="3187"/>
      <c r="X48" s="759"/>
      <c r="Y48" s="759"/>
      <c r="Z48" s="759"/>
      <c r="AA48" s="759"/>
      <c r="AB48" s="759"/>
      <c r="AC48" s="759"/>
    </row>
    <row r="49" spans="1:29" ht="15.75" thickBot="1">
      <c r="A49" s="492" t="s">
        <v>2668</v>
      </c>
      <c r="B49" s="493"/>
      <c r="C49" s="1417" t="e">
        <f>R49</f>
        <v>#DIV/0!</v>
      </c>
      <c r="D49" s="1417"/>
      <c r="E49" s="1417"/>
      <c r="F49" s="1417"/>
      <c r="G49" s="1417"/>
      <c r="H49" s="1417"/>
      <c r="I49" s="1417"/>
      <c r="J49" s="1417"/>
      <c r="K49" s="785"/>
      <c r="L49" s="1143"/>
      <c r="M49" s="1144"/>
      <c r="N49" s="1131"/>
      <c r="O49" s="1144"/>
      <c r="P49" s="3183" t="str">
        <f>A49</f>
        <v>估价对象XX用房的比较价值（楼面单价，元/平方米）</v>
      </c>
      <c r="Q49" s="3184"/>
      <c r="R49" s="3185" t="e">
        <f>IF(F1="售价",ROUND(AVERAGE(R48:V48),0),ROUND(AVERAGE(R48:V48),1))</f>
        <v>#DIV/0!</v>
      </c>
      <c r="S49" s="3185"/>
      <c r="T49" s="3185"/>
      <c r="U49" s="3185"/>
      <c r="V49" s="3185"/>
      <c r="W49" s="318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2546</v>
      </c>
      <c r="B58" s="506"/>
      <c r="C58" s="1574" t="str">
        <f>YEAR(C7)&amp;"-"&amp;MONTH(C7)</f>
        <v>2019-3</v>
      </c>
      <c r="D58" s="1575">
        <f>EDATE(C58,-1)</f>
        <v>43497</v>
      </c>
      <c r="E58" s="1575">
        <f t="shared" ref="E58:N58" si="16">EDATE(D58,-1)</f>
        <v>43466</v>
      </c>
      <c r="F58" s="1575">
        <f t="shared" si="16"/>
        <v>43435</v>
      </c>
      <c r="G58" s="1575">
        <f t="shared" si="16"/>
        <v>43405</v>
      </c>
      <c r="H58" s="1575">
        <f t="shared" si="16"/>
        <v>43374</v>
      </c>
      <c r="I58" s="1575">
        <f t="shared" si="16"/>
        <v>43344</v>
      </c>
      <c r="J58" s="1575">
        <f t="shared" si="16"/>
        <v>43313</v>
      </c>
      <c r="K58" s="1575">
        <f t="shared" si="16"/>
        <v>43282</v>
      </c>
      <c r="L58" s="1575">
        <f t="shared" si="16"/>
        <v>43252</v>
      </c>
      <c r="M58" s="1575">
        <f t="shared" si="16"/>
        <v>43221</v>
      </c>
      <c r="N58" s="1575">
        <f t="shared" si="16"/>
        <v>43191</v>
      </c>
      <c r="O58" s="1575">
        <f>EDATE(N58,-1)</f>
        <v>43160</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2583</v>
      </c>
      <c r="B60" s="516"/>
      <c r="C60" s="517"/>
      <c r="D60" s="518"/>
      <c r="E60" s="518"/>
      <c r="F60" s="518"/>
      <c r="G60" s="518"/>
      <c r="H60" s="518"/>
      <c r="I60" s="518"/>
      <c r="J60" s="518"/>
      <c r="K60" s="518"/>
      <c r="L60" s="518"/>
      <c r="M60" s="519"/>
      <c r="N60" s="518"/>
      <c r="O60" s="519"/>
      <c r="P60" s="2631"/>
      <c r="Q60" s="504"/>
    </row>
    <row r="61" spans="1:29" s="117" customFormat="1" ht="15">
      <c r="A61" s="521" t="s">
        <v>2548</v>
      </c>
      <c r="B61" s="510"/>
      <c r="C61" s="522" t="s">
        <v>2650</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2586</v>
      </c>
      <c r="B63" s="528" t="s">
        <v>2552</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2653</v>
      </c>
      <c r="C82" s="660" t="s">
        <v>2673</v>
      </c>
      <c r="D82" s="660" t="s">
        <v>2674</v>
      </c>
      <c r="E82" s="660" t="s">
        <v>2675</v>
      </c>
      <c r="F82" s="660" t="s">
        <v>2676</v>
      </c>
      <c r="G82" s="660" t="s">
        <v>2677</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2678</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2561</v>
      </c>
      <c r="B100" s="528" t="s">
        <v>2679</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2612</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2614</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2680</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2681</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2682</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2618</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72" t="s">
        <v>2684</v>
      </c>
      <c r="C1" s="1620" t="s">
        <v>2528</v>
      </c>
      <c r="D1" s="1621"/>
      <c r="E1" s="1630"/>
      <c r="F1" s="2587"/>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IF(C2="——",ROUND(C50*D3/10000,0),ROUND(C50*D3/10000,0)-D2)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2642</v>
      </c>
      <c r="D3" s="399">
        <f>IF(D1="",'数据-汇总表'!E3,SUMIF('数据-汇总表'!$C19:$C33,D1,'数据-汇总表'!$E19:$E33))</f>
        <v>26356.14</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2643</v>
      </c>
      <c r="B4" s="402"/>
      <c r="C4" s="3201" t="s">
        <v>2644</v>
      </c>
      <c r="D4" s="3202"/>
      <c r="E4" s="3203" t="s">
        <v>2645</v>
      </c>
      <c r="F4" s="3204"/>
      <c r="G4" s="3201" t="s">
        <v>2646</v>
      </c>
      <c r="H4" s="3202"/>
      <c r="I4" s="3201" t="s">
        <v>2647</v>
      </c>
      <c r="J4" s="3202"/>
      <c r="K4" s="610" t="s">
        <v>2648</v>
      </c>
      <c r="L4" s="1130"/>
      <c r="M4" s="1131"/>
      <c r="N4" s="1131"/>
      <c r="O4" s="1131"/>
      <c r="P4" s="3235" t="s">
        <v>2649</v>
      </c>
      <c r="Q4" s="3236"/>
      <c r="R4" s="3239" t="s">
        <v>2645</v>
      </c>
      <c r="S4" s="3240"/>
      <c r="T4" s="3239" t="s">
        <v>2646</v>
      </c>
      <c r="U4" s="3240"/>
      <c r="V4" s="3241" t="s">
        <v>2647</v>
      </c>
      <c r="W4" s="3241"/>
      <c r="X4" s="2673"/>
      <c r="Y4" s="3239" t="s">
        <v>2649</v>
      </c>
      <c r="Z4" s="3240"/>
      <c r="AA4" s="3243" t="s">
        <v>2645</v>
      </c>
      <c r="AB4" s="3243" t="s">
        <v>2646</v>
      </c>
      <c r="AC4" s="3232" t="s">
        <v>2647</v>
      </c>
    </row>
    <row r="5" spans="1:29" ht="15">
      <c r="A5" s="404"/>
      <c r="B5" s="405"/>
      <c r="C5" s="3220" t="s">
        <v>2540</v>
      </c>
      <c r="D5" s="3221"/>
      <c r="E5" s="3227" t="s">
        <v>2541</v>
      </c>
      <c r="F5" s="3228"/>
      <c r="G5" s="3220" t="s">
        <v>2542</v>
      </c>
      <c r="H5" s="3221"/>
      <c r="I5" s="3220" t="s">
        <v>2543</v>
      </c>
      <c r="J5" s="3221"/>
      <c r="K5" s="610"/>
      <c r="L5" s="1130"/>
      <c r="M5" s="1131"/>
      <c r="N5" s="1131"/>
      <c r="O5" s="1131"/>
      <c r="P5" s="3237"/>
      <c r="Q5" s="3208"/>
      <c r="R5" s="3213"/>
      <c r="S5" s="3214"/>
      <c r="T5" s="3213"/>
      <c r="U5" s="3214"/>
      <c r="V5" s="3217"/>
      <c r="W5" s="3217"/>
      <c r="X5" s="1813"/>
      <c r="Y5" s="3213"/>
      <c r="Z5" s="3214"/>
      <c r="AA5" s="3199"/>
      <c r="AB5" s="3199"/>
      <c r="AC5" s="3233"/>
    </row>
    <row r="6" spans="1:29" ht="15.75" thickBot="1">
      <c r="A6" s="406"/>
      <c r="B6" s="407"/>
      <c r="C6" s="3218" t="s">
        <v>2544</v>
      </c>
      <c r="D6" s="3219"/>
      <c r="E6" s="3225" t="s">
        <v>2544</v>
      </c>
      <c r="F6" s="3226"/>
      <c r="G6" s="3218" t="s">
        <v>2544</v>
      </c>
      <c r="H6" s="3219"/>
      <c r="I6" s="3218" t="s">
        <v>2544</v>
      </c>
      <c r="J6" s="3219"/>
      <c r="K6" s="610" t="s">
        <v>2545</v>
      </c>
      <c r="L6" s="1130"/>
      <c r="M6" s="1131"/>
      <c r="N6" s="1131"/>
      <c r="O6" s="1131"/>
      <c r="P6" s="3238"/>
      <c r="Q6" s="3210"/>
      <c r="R6" s="3213"/>
      <c r="S6" s="3214"/>
      <c r="T6" s="3215"/>
      <c r="U6" s="3216"/>
      <c r="V6" s="3217"/>
      <c r="W6" s="3217"/>
      <c r="X6" s="1813"/>
      <c r="Y6" s="3215"/>
      <c r="Z6" s="3216"/>
      <c r="AA6" s="3200"/>
      <c r="AB6" s="3200"/>
      <c r="AC6" s="3234"/>
    </row>
    <row r="7" spans="1:29" s="117" customFormat="1" ht="15.75" thickBot="1">
      <c r="A7" s="408" t="s">
        <v>2546</v>
      </c>
      <c r="B7" s="409"/>
      <c r="C7" s="410">
        <f>'数据-取费表'!B2</f>
        <v>43538</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42" t="s">
        <v>2547</v>
      </c>
      <c r="Q7" s="3224"/>
      <c r="R7" s="770" t="s">
        <v>17</v>
      </c>
      <c r="S7" s="771">
        <f t="shared" ref="S7:S15" si="0">F7</f>
        <v>0</v>
      </c>
      <c r="T7" s="770" t="s">
        <v>17</v>
      </c>
      <c r="U7" s="771">
        <f t="shared" ref="U7:U15" si="1">H7</f>
        <v>0</v>
      </c>
      <c r="V7" s="770" t="s">
        <v>17</v>
      </c>
      <c r="W7" s="771">
        <f t="shared" ref="W7:W15" si="2">J7</f>
        <v>0</v>
      </c>
      <c r="X7" s="772"/>
      <c r="Y7" s="3222" t="s">
        <v>2547</v>
      </c>
      <c r="Z7" s="3223"/>
      <c r="AA7" s="773" t="e">
        <f>D7/F7</f>
        <v>#DIV/0!</v>
      </c>
      <c r="AB7" s="773" t="e">
        <f>D7/H7</f>
        <v>#DIV/0!</v>
      </c>
      <c r="AC7" s="2674"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42" t="s">
        <v>2550</v>
      </c>
      <c r="Q8" s="3223"/>
      <c r="R8" s="770" t="s">
        <v>17</v>
      </c>
      <c r="S8" s="771">
        <f t="shared" si="0"/>
        <v>0</v>
      </c>
      <c r="T8" s="770" t="s">
        <v>17</v>
      </c>
      <c r="U8" s="771">
        <f t="shared" si="1"/>
        <v>0</v>
      </c>
      <c r="V8" s="770" t="s">
        <v>17</v>
      </c>
      <c r="W8" s="771">
        <f t="shared" si="2"/>
        <v>0</v>
      </c>
      <c r="X8" s="772"/>
      <c r="Y8" s="3222" t="s">
        <v>2550</v>
      </c>
      <c r="Z8" s="3223"/>
      <c r="AA8" s="773" t="e">
        <f t="shared" ref="AA8:AA47" si="3">D8/F8</f>
        <v>#DIV/0!</v>
      </c>
      <c r="AB8" s="773" t="e">
        <f t="shared" ref="AB8:AB47" si="4">D8/H8</f>
        <v>#DIV/0!</v>
      </c>
      <c r="AC8" s="2674"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97" t="s">
        <v>2553</v>
      </c>
      <c r="Q9" s="1795" t="str">
        <f t="shared" ref="Q9:Q15" si="6">B9</f>
        <v>用途</v>
      </c>
      <c r="R9" s="770" t="s">
        <v>17</v>
      </c>
      <c r="S9" s="771">
        <f t="shared" si="0"/>
        <v>100</v>
      </c>
      <c r="T9" s="770" t="s">
        <v>17</v>
      </c>
      <c r="U9" s="771">
        <f t="shared" si="1"/>
        <v>100</v>
      </c>
      <c r="V9" s="770" t="s">
        <v>17</v>
      </c>
      <c r="W9" s="771">
        <f t="shared" si="2"/>
        <v>100</v>
      </c>
      <c r="X9" s="772"/>
      <c r="Y9" s="3011" t="s">
        <v>2554</v>
      </c>
      <c r="Z9" s="55" t="str">
        <f t="shared" ref="Z9:Z15" si="7">Q9</f>
        <v>用途</v>
      </c>
      <c r="AA9" s="773">
        <f t="shared" si="3"/>
        <v>1</v>
      </c>
      <c r="AB9" s="773">
        <f t="shared" si="4"/>
        <v>1</v>
      </c>
      <c r="AC9" s="2674">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97"/>
      <c r="Q10" s="1795" t="str">
        <f t="shared" si="6"/>
        <v>土地使用年限（年）</v>
      </c>
      <c r="R10" s="770" t="s">
        <v>17</v>
      </c>
      <c r="S10" s="771">
        <f t="shared" si="0"/>
        <v>100</v>
      </c>
      <c r="T10" s="770" t="s">
        <v>17</v>
      </c>
      <c r="U10" s="771">
        <f t="shared" si="1"/>
        <v>100</v>
      </c>
      <c r="V10" s="770" t="s">
        <v>17</v>
      </c>
      <c r="W10" s="771">
        <f t="shared" si="2"/>
        <v>100</v>
      </c>
      <c r="X10" s="772"/>
      <c r="Y10" s="3011"/>
      <c r="Z10" s="55" t="str">
        <f t="shared" si="7"/>
        <v>土地使用年限（年）</v>
      </c>
      <c r="AA10" s="773">
        <f t="shared" si="3"/>
        <v>1</v>
      </c>
      <c r="AB10" s="773">
        <f t="shared" si="4"/>
        <v>1</v>
      </c>
      <c r="AC10" s="2674">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97"/>
      <c r="Q11" s="1795" t="str">
        <f t="shared" si="6"/>
        <v>容积率</v>
      </c>
      <c r="R11" s="770" t="s">
        <v>17</v>
      </c>
      <c r="S11" s="771" t="e">
        <f t="shared" si="0"/>
        <v>#N/A</v>
      </c>
      <c r="T11" s="770" t="s">
        <v>17</v>
      </c>
      <c r="U11" s="771" t="e">
        <f t="shared" si="1"/>
        <v>#N/A</v>
      </c>
      <c r="V11" s="770" t="s">
        <v>17</v>
      </c>
      <c r="W11" s="771" t="e">
        <f t="shared" si="2"/>
        <v>#N/A</v>
      </c>
      <c r="X11" s="772"/>
      <c r="Y11" s="3011"/>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197"/>
      <c r="Q12" s="1795">
        <f t="shared" si="6"/>
        <v>111</v>
      </c>
      <c r="R12" s="770" t="s">
        <v>17</v>
      </c>
      <c r="S12" s="771">
        <f t="shared" si="0"/>
        <v>100</v>
      </c>
      <c r="T12" s="770" t="s">
        <v>17</v>
      </c>
      <c r="U12" s="771">
        <f t="shared" si="1"/>
        <v>100</v>
      </c>
      <c r="V12" s="770" t="s">
        <v>17</v>
      </c>
      <c r="W12" s="771">
        <f t="shared" si="2"/>
        <v>100</v>
      </c>
      <c r="X12" s="772"/>
      <c r="Y12" s="3011"/>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197"/>
      <c r="Q13" s="1795">
        <f t="shared" si="6"/>
        <v>111</v>
      </c>
      <c r="R13" s="770" t="s">
        <v>17</v>
      </c>
      <c r="S13" s="771">
        <f t="shared" si="0"/>
        <v>100</v>
      </c>
      <c r="T13" s="770" t="s">
        <v>17</v>
      </c>
      <c r="U13" s="771">
        <f t="shared" si="1"/>
        <v>100</v>
      </c>
      <c r="V13" s="770" t="s">
        <v>17</v>
      </c>
      <c r="W13" s="771">
        <f t="shared" si="2"/>
        <v>100</v>
      </c>
      <c r="X13" s="772"/>
      <c r="Y13" s="3011"/>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197"/>
      <c r="Q14" s="1795">
        <f t="shared" si="6"/>
        <v>111</v>
      </c>
      <c r="R14" s="770" t="s">
        <v>17</v>
      </c>
      <c r="S14" s="771">
        <f t="shared" si="0"/>
        <v>100</v>
      </c>
      <c r="T14" s="770" t="s">
        <v>17</v>
      </c>
      <c r="U14" s="771">
        <f t="shared" si="1"/>
        <v>100</v>
      </c>
      <c r="V14" s="770" t="s">
        <v>17</v>
      </c>
      <c r="W14" s="771">
        <f t="shared" si="2"/>
        <v>100</v>
      </c>
      <c r="X14" s="772"/>
      <c r="Y14" s="3011"/>
      <c r="Z14" s="55">
        <f t="shared" si="7"/>
        <v>111</v>
      </c>
      <c r="AA14" s="773">
        <f t="shared" si="3"/>
        <v>1</v>
      </c>
      <c r="AB14" s="773">
        <f t="shared" si="4"/>
        <v>1</v>
      </c>
      <c r="AC14" s="2674">
        <f t="shared" si="5"/>
        <v>1</v>
      </c>
    </row>
    <row r="15" spans="1:29" ht="71.25">
      <c r="A15" s="440" t="s">
        <v>2557</v>
      </c>
      <c r="B15" s="629" t="s">
        <v>2685</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95" t="s">
        <v>2558</v>
      </c>
      <c r="Q15" s="1810" t="str">
        <f t="shared" si="6"/>
        <v>办公集聚程度</v>
      </c>
      <c r="R15" s="774" t="s">
        <v>17</v>
      </c>
      <c r="S15" s="775">
        <f t="shared" si="0"/>
        <v>100</v>
      </c>
      <c r="T15" s="774" t="s">
        <v>17</v>
      </c>
      <c r="U15" s="775">
        <f t="shared" si="1"/>
        <v>100</v>
      </c>
      <c r="V15" s="774" t="s">
        <v>17</v>
      </c>
      <c r="W15" s="775">
        <f t="shared" si="2"/>
        <v>100</v>
      </c>
      <c r="X15" s="1813"/>
      <c r="Y15" s="3188" t="s">
        <v>2558</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196"/>
      <c r="Q16" s="1810"/>
      <c r="R16" s="774"/>
      <c r="S16" s="775"/>
      <c r="T16" s="774"/>
      <c r="U16" s="775"/>
      <c r="V16" s="774"/>
      <c r="W16" s="775"/>
      <c r="X16" s="1813"/>
      <c r="Y16" s="3189"/>
      <c r="Z16" s="1814"/>
      <c r="AA16" s="1811">
        <v>1</v>
      </c>
      <c r="AB16" s="1811">
        <v>1</v>
      </c>
      <c r="AC16" s="2677">
        <v>1</v>
      </c>
    </row>
    <row r="17" spans="1:29" ht="71.25">
      <c r="A17" s="428"/>
      <c r="B17" s="631" t="s">
        <v>2097</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96"/>
      <c r="Q17" s="1810" t="str">
        <f>B17</f>
        <v>交通便捷度</v>
      </c>
      <c r="R17" s="774" t="s">
        <v>17</v>
      </c>
      <c r="S17" s="775">
        <f>F17</f>
        <v>100</v>
      </c>
      <c r="T17" s="774" t="s">
        <v>17</v>
      </c>
      <c r="U17" s="775">
        <f>H17</f>
        <v>100</v>
      </c>
      <c r="V17" s="774" t="s">
        <v>17</v>
      </c>
      <c r="W17" s="775">
        <f>J17</f>
        <v>100</v>
      </c>
      <c r="X17" s="1813"/>
      <c r="Y17" s="3189"/>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196"/>
      <c r="Q18" s="1810"/>
      <c r="R18" s="774"/>
      <c r="S18" s="775"/>
      <c r="T18" s="774"/>
      <c r="U18" s="775"/>
      <c r="V18" s="774"/>
      <c r="W18" s="775"/>
      <c r="X18" s="1813"/>
      <c r="Y18" s="3189"/>
      <c r="Z18" s="1814"/>
      <c r="AA18" s="1811">
        <v>1</v>
      </c>
      <c r="AB18" s="1811">
        <v>1</v>
      </c>
      <c r="AC18" s="2677">
        <v>1</v>
      </c>
    </row>
    <row r="19" spans="1:29" ht="42.75">
      <c r="A19" s="428"/>
      <c r="B19" s="631" t="s">
        <v>2686</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96"/>
      <c r="Q19" s="1810" t="str">
        <f>B19</f>
        <v>公共配套设施</v>
      </c>
      <c r="R19" s="774" t="s">
        <v>17</v>
      </c>
      <c r="S19" s="775">
        <f>F19</f>
        <v>100</v>
      </c>
      <c r="T19" s="774" t="s">
        <v>17</v>
      </c>
      <c r="U19" s="775">
        <f>H19</f>
        <v>100</v>
      </c>
      <c r="V19" s="774" t="s">
        <v>17</v>
      </c>
      <c r="W19" s="775">
        <f>J19</f>
        <v>100</v>
      </c>
      <c r="X19" s="1813"/>
      <c r="Y19" s="3189"/>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196"/>
      <c r="Q20" s="1810"/>
      <c r="R20" s="774"/>
      <c r="S20" s="775"/>
      <c r="T20" s="774"/>
      <c r="U20" s="775"/>
      <c r="V20" s="774"/>
      <c r="W20" s="775"/>
      <c r="X20" s="1813"/>
      <c r="Y20" s="3189"/>
      <c r="Z20" s="1814"/>
      <c r="AA20" s="1811">
        <v>1</v>
      </c>
      <c r="AB20" s="1811">
        <v>1</v>
      </c>
      <c r="AC20" s="2677">
        <v>1</v>
      </c>
    </row>
    <row r="21" spans="1:29" ht="28.5">
      <c r="A21" s="428"/>
      <c r="B21" s="633" t="s">
        <v>2687</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96"/>
      <c r="Q21" s="1810" t="str">
        <f>B21</f>
        <v>基础设施水平</v>
      </c>
      <c r="R21" s="774" t="s">
        <v>17</v>
      </c>
      <c r="S21" s="775">
        <f>F21</f>
        <v>100</v>
      </c>
      <c r="T21" s="774" t="s">
        <v>17</v>
      </c>
      <c r="U21" s="775">
        <f>H21</f>
        <v>100</v>
      </c>
      <c r="V21" s="774" t="s">
        <v>17</v>
      </c>
      <c r="W21" s="775">
        <f>J21</f>
        <v>100</v>
      </c>
      <c r="X21" s="1813"/>
      <c r="Y21" s="3189"/>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196"/>
      <c r="Q22" s="1810"/>
      <c r="R22" s="774"/>
      <c r="S22" s="775"/>
      <c r="T22" s="774"/>
      <c r="U22" s="775"/>
      <c r="V22" s="774"/>
      <c r="W22" s="775"/>
      <c r="X22" s="1813"/>
      <c r="Y22" s="3189"/>
      <c r="Z22" s="1814"/>
      <c r="AA22" s="1811">
        <v>1</v>
      </c>
      <c r="AB22" s="1811">
        <v>1</v>
      </c>
      <c r="AC22" s="2677">
        <v>1</v>
      </c>
    </row>
    <row r="23" spans="1:29" ht="42.75">
      <c r="A23" s="428"/>
      <c r="B23" s="631" t="s">
        <v>2688</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96"/>
      <c r="Q23" s="1810" t="str">
        <f>B23</f>
        <v>环境质量</v>
      </c>
      <c r="R23" s="774" t="s">
        <v>17</v>
      </c>
      <c r="S23" s="775">
        <f>F23</f>
        <v>100</v>
      </c>
      <c r="T23" s="774" t="s">
        <v>17</v>
      </c>
      <c r="U23" s="775">
        <f>H23</f>
        <v>100</v>
      </c>
      <c r="V23" s="774" t="s">
        <v>17</v>
      </c>
      <c r="W23" s="775">
        <f>J23</f>
        <v>100</v>
      </c>
      <c r="X23" s="1813"/>
      <c r="Y23" s="3189"/>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196"/>
      <c r="Q24" s="1810"/>
      <c r="R24" s="774"/>
      <c r="S24" s="775"/>
      <c r="T24" s="774"/>
      <c r="U24" s="775"/>
      <c r="V24" s="774"/>
      <c r="W24" s="775"/>
      <c r="X24" s="1813"/>
      <c r="Y24" s="3189"/>
      <c r="Z24" s="1814"/>
      <c r="AA24" s="1811">
        <v>1</v>
      </c>
      <c r="AB24" s="1811">
        <v>1</v>
      </c>
      <c r="AC24" s="2677">
        <v>1</v>
      </c>
    </row>
    <row r="25" spans="1:29" ht="27">
      <c r="A25" s="404"/>
      <c r="B25" s="631" t="s">
        <v>2689</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196"/>
      <c r="Q25" s="1810" t="str">
        <f>B25</f>
        <v>毗邻道路的类型与等级</v>
      </c>
      <c r="R25" s="774" t="s">
        <v>17</v>
      </c>
      <c r="S25" s="775">
        <f>F25</f>
        <v>100</v>
      </c>
      <c r="T25" s="774" t="s">
        <v>17</v>
      </c>
      <c r="U25" s="775">
        <f>H25</f>
        <v>100</v>
      </c>
      <c r="V25" s="774" t="s">
        <v>17</v>
      </c>
      <c r="W25" s="775">
        <f>J25</f>
        <v>100</v>
      </c>
      <c r="X25" s="1813"/>
      <c r="Y25" s="3189"/>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196"/>
      <c r="Q26" s="1810"/>
      <c r="R26" s="774"/>
      <c r="S26" s="775"/>
      <c r="T26" s="774"/>
      <c r="U26" s="775"/>
      <c r="V26" s="774"/>
      <c r="W26" s="775"/>
      <c r="X26" s="1813"/>
      <c r="Y26" s="3189"/>
      <c r="Z26" s="1814"/>
      <c r="AA26" s="1811">
        <v>1</v>
      </c>
      <c r="AB26" s="1811">
        <v>1</v>
      </c>
      <c r="AC26" s="2677">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96"/>
      <c r="Q27" s="1810" t="str">
        <f t="shared" ref="Q27:Q47" si="11">B27</f>
        <v>楼层</v>
      </c>
      <c r="R27" s="774" t="s">
        <v>17</v>
      </c>
      <c r="S27" s="775">
        <f>F27</f>
        <v>100</v>
      </c>
      <c r="T27" s="774" t="s">
        <v>17</v>
      </c>
      <c r="U27" s="775">
        <f>H27</f>
        <v>100</v>
      </c>
      <c r="V27" s="774" t="s">
        <v>17</v>
      </c>
      <c r="W27" s="775">
        <f>J27</f>
        <v>100</v>
      </c>
      <c r="X27" s="1813"/>
      <c r="Y27" s="3189"/>
      <c r="Z27" s="1814" t="str">
        <f>Q27</f>
        <v>楼层</v>
      </c>
      <c r="AA27" s="1811">
        <f t="shared" si="3"/>
        <v>1</v>
      </c>
      <c r="AB27" s="1811">
        <f t="shared" si="4"/>
        <v>1</v>
      </c>
      <c r="AC27" s="2677">
        <f t="shared" si="5"/>
        <v>1</v>
      </c>
    </row>
    <row r="28" spans="1:29" s="117" customFormat="1" ht="15">
      <c r="A28" s="431"/>
      <c r="B28" s="631" t="s">
        <v>2690</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196"/>
      <c r="Q28" s="1795" t="str">
        <f t="shared" si="11"/>
        <v>朝向</v>
      </c>
      <c r="R28" s="770" t="s">
        <v>17</v>
      </c>
      <c r="S28" s="771">
        <f>F28</f>
        <v>100</v>
      </c>
      <c r="T28" s="770" t="s">
        <v>17</v>
      </c>
      <c r="U28" s="771">
        <f>H28</f>
        <v>100</v>
      </c>
      <c r="V28" s="770" t="s">
        <v>17</v>
      </c>
      <c r="W28" s="771">
        <f>J28</f>
        <v>100</v>
      </c>
      <c r="X28" s="772"/>
      <c r="Y28" s="3189"/>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196"/>
      <c r="Q29" s="1810">
        <f t="shared" si="11"/>
        <v>111</v>
      </c>
      <c r="R29" s="774" t="s">
        <v>17</v>
      </c>
      <c r="S29" s="775">
        <f t="shared" ref="S29:S47" si="12">F29</f>
        <v>100</v>
      </c>
      <c r="T29" s="774" t="s">
        <v>17</v>
      </c>
      <c r="U29" s="775">
        <f t="shared" ref="U29:U47" si="13">H29</f>
        <v>100</v>
      </c>
      <c r="V29" s="774" t="s">
        <v>17</v>
      </c>
      <c r="W29" s="775">
        <f t="shared" ref="W29:W47" si="14">J29</f>
        <v>100</v>
      </c>
      <c r="X29" s="1813"/>
      <c r="Y29" s="3189"/>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196"/>
      <c r="Q30" s="1810">
        <f t="shared" si="11"/>
        <v>111</v>
      </c>
      <c r="R30" s="774" t="s">
        <v>17</v>
      </c>
      <c r="S30" s="775">
        <f t="shared" si="12"/>
        <v>100</v>
      </c>
      <c r="T30" s="774" t="s">
        <v>17</v>
      </c>
      <c r="U30" s="775">
        <f t="shared" si="13"/>
        <v>100</v>
      </c>
      <c r="V30" s="774" t="s">
        <v>17</v>
      </c>
      <c r="W30" s="775">
        <f t="shared" si="14"/>
        <v>100</v>
      </c>
      <c r="X30" s="1813"/>
      <c r="Y30" s="3189"/>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196"/>
      <c r="Q31" s="1810">
        <f t="shared" si="11"/>
        <v>111</v>
      </c>
      <c r="R31" s="774" t="s">
        <v>17</v>
      </c>
      <c r="S31" s="775">
        <f t="shared" si="12"/>
        <v>100</v>
      </c>
      <c r="T31" s="774" t="s">
        <v>17</v>
      </c>
      <c r="U31" s="775">
        <f t="shared" si="13"/>
        <v>100</v>
      </c>
      <c r="V31" s="774" t="s">
        <v>17</v>
      </c>
      <c r="W31" s="775">
        <f t="shared" si="14"/>
        <v>100</v>
      </c>
      <c r="X31" s="1813"/>
      <c r="Y31" s="3189"/>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196"/>
      <c r="Q32" s="1810">
        <f t="shared" si="11"/>
        <v>111</v>
      </c>
      <c r="R32" s="774" t="s">
        <v>17</v>
      </c>
      <c r="S32" s="775">
        <f t="shared" si="12"/>
        <v>100</v>
      </c>
      <c r="T32" s="774" t="s">
        <v>17</v>
      </c>
      <c r="U32" s="775">
        <f t="shared" si="13"/>
        <v>100</v>
      </c>
      <c r="V32" s="774" t="s">
        <v>17</v>
      </c>
      <c r="W32" s="775">
        <f t="shared" si="14"/>
        <v>100</v>
      </c>
      <c r="X32" s="1813"/>
      <c r="Y32" s="3189"/>
      <c r="Z32" s="1814">
        <f t="shared" si="15"/>
        <v>111</v>
      </c>
      <c r="AA32" s="1811">
        <f t="shared" si="3"/>
        <v>1</v>
      </c>
      <c r="AB32" s="1811">
        <f t="shared" si="4"/>
        <v>1</v>
      </c>
      <c r="AC32" s="2677">
        <f t="shared" si="5"/>
        <v>1</v>
      </c>
    </row>
    <row r="33" spans="1:29" ht="15">
      <c r="A33" s="440" t="s">
        <v>2561</v>
      </c>
      <c r="B33" s="71" t="s">
        <v>2691</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190" t="s">
        <v>2563</v>
      </c>
      <c r="Q33" s="1810" t="str">
        <f t="shared" si="11"/>
        <v>建筑类型</v>
      </c>
      <c r="R33" s="774" t="s">
        <v>17</v>
      </c>
      <c r="S33" s="775">
        <f t="shared" si="12"/>
        <v>100</v>
      </c>
      <c r="T33" s="774" t="s">
        <v>17</v>
      </c>
      <c r="U33" s="775">
        <f t="shared" si="13"/>
        <v>100</v>
      </c>
      <c r="V33" s="774" t="s">
        <v>17</v>
      </c>
      <c r="W33" s="775">
        <f t="shared" si="14"/>
        <v>100</v>
      </c>
      <c r="X33" s="1813"/>
      <c r="Y33" s="3193" t="s">
        <v>2563</v>
      </c>
      <c r="Z33" s="1814" t="str">
        <f t="shared" si="15"/>
        <v>建筑类型</v>
      </c>
      <c r="AA33" s="1811">
        <f t="shared" si="3"/>
        <v>1</v>
      </c>
      <c r="AB33" s="1811">
        <f t="shared" si="4"/>
        <v>1</v>
      </c>
      <c r="AC33" s="2677">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91"/>
      <c r="Q34" s="776" t="str">
        <f t="shared" si="11"/>
        <v>项目建筑规模</v>
      </c>
      <c r="R34" s="777" t="s">
        <v>17</v>
      </c>
      <c r="S34" s="778" t="e">
        <f t="shared" si="12"/>
        <v>#N/A</v>
      </c>
      <c r="T34" s="777" t="s">
        <v>17</v>
      </c>
      <c r="U34" s="778" t="e">
        <f t="shared" si="13"/>
        <v>#N/A</v>
      </c>
      <c r="V34" s="777" t="s">
        <v>17</v>
      </c>
      <c r="W34" s="778" t="e">
        <f t="shared" si="14"/>
        <v>#N/A</v>
      </c>
      <c r="X34" s="779"/>
      <c r="Y34" s="3193"/>
      <c r="Z34" s="780" t="str">
        <f t="shared" si="15"/>
        <v>项目建筑规模</v>
      </c>
      <c r="AA34" s="1811" t="e">
        <f t="shared" si="3"/>
        <v>#N/A</v>
      </c>
      <c r="AB34" s="1811" t="e">
        <f t="shared" si="4"/>
        <v>#N/A</v>
      </c>
      <c r="AC34" s="2677"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91"/>
      <c r="Q35" s="1810" t="str">
        <f t="shared" si="11"/>
        <v>建筑结构</v>
      </c>
      <c r="R35" s="774" t="s">
        <v>17</v>
      </c>
      <c r="S35" s="775">
        <f t="shared" si="12"/>
        <v>100</v>
      </c>
      <c r="T35" s="774" t="s">
        <v>17</v>
      </c>
      <c r="U35" s="775">
        <f t="shared" si="13"/>
        <v>100</v>
      </c>
      <c r="V35" s="774" t="s">
        <v>17</v>
      </c>
      <c r="W35" s="775">
        <f t="shared" si="14"/>
        <v>100</v>
      </c>
      <c r="X35" s="1813"/>
      <c r="Y35" s="3193"/>
      <c r="Z35" s="1814" t="str">
        <f t="shared" si="15"/>
        <v>建筑结构</v>
      </c>
      <c r="AA35" s="1811">
        <f t="shared" si="3"/>
        <v>1</v>
      </c>
      <c r="AB35" s="1811">
        <f t="shared" si="4"/>
        <v>1</v>
      </c>
      <c r="AC35" s="2677">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91"/>
      <c r="Q36" s="1810" t="str">
        <f t="shared" si="11"/>
        <v>公共部分装修</v>
      </c>
      <c r="R36" s="774" t="s">
        <v>17</v>
      </c>
      <c r="S36" s="775">
        <f t="shared" si="12"/>
        <v>100</v>
      </c>
      <c r="T36" s="774" t="s">
        <v>17</v>
      </c>
      <c r="U36" s="775">
        <f t="shared" si="13"/>
        <v>100</v>
      </c>
      <c r="V36" s="774" t="s">
        <v>17</v>
      </c>
      <c r="W36" s="775">
        <f t="shared" si="14"/>
        <v>100</v>
      </c>
      <c r="X36" s="1813"/>
      <c r="Y36" s="3193"/>
      <c r="Z36" s="1814" t="str">
        <f t="shared" si="15"/>
        <v>公共部分装修</v>
      </c>
      <c r="AA36" s="1811">
        <f t="shared" si="3"/>
        <v>1</v>
      </c>
      <c r="AB36" s="1811">
        <f t="shared" si="4"/>
        <v>1</v>
      </c>
      <c r="AC36" s="2677">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91"/>
      <c r="Q37" s="1810" t="str">
        <f t="shared" si="11"/>
        <v>成新度</v>
      </c>
      <c r="R37" s="774" t="s">
        <v>17</v>
      </c>
      <c r="S37" s="775" t="e">
        <f t="shared" si="12"/>
        <v>#N/A</v>
      </c>
      <c r="T37" s="774" t="s">
        <v>17</v>
      </c>
      <c r="U37" s="775" t="e">
        <f t="shared" si="13"/>
        <v>#N/A</v>
      </c>
      <c r="V37" s="774" t="s">
        <v>17</v>
      </c>
      <c r="W37" s="775" t="e">
        <f t="shared" si="14"/>
        <v>#N/A</v>
      </c>
      <c r="X37" s="1813"/>
      <c r="Y37" s="3193"/>
      <c r="Z37" s="1814" t="str">
        <f t="shared" si="15"/>
        <v>成新度</v>
      </c>
      <c r="AA37" s="1811" t="e">
        <f t="shared" si="3"/>
        <v>#N/A</v>
      </c>
      <c r="AB37" s="1811" t="e">
        <f t="shared" si="4"/>
        <v>#N/A</v>
      </c>
      <c r="AC37" s="2677"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91"/>
      <c r="Q38" s="1795" t="str">
        <f t="shared" si="11"/>
        <v>写字楼等级</v>
      </c>
      <c r="R38" s="770" t="s">
        <v>17</v>
      </c>
      <c r="S38" s="771">
        <f t="shared" si="12"/>
        <v>100</v>
      </c>
      <c r="T38" s="770" t="s">
        <v>17</v>
      </c>
      <c r="U38" s="771">
        <f t="shared" si="13"/>
        <v>100</v>
      </c>
      <c r="V38" s="770" t="s">
        <v>17</v>
      </c>
      <c r="W38" s="771">
        <f t="shared" si="14"/>
        <v>100</v>
      </c>
      <c r="X38" s="772"/>
      <c r="Y38" s="3193"/>
      <c r="Z38" s="55" t="str">
        <f t="shared" si="15"/>
        <v>写字楼等级</v>
      </c>
      <c r="AA38" s="773">
        <f t="shared" si="3"/>
        <v>1</v>
      </c>
      <c r="AB38" s="773">
        <f t="shared" si="4"/>
        <v>1</v>
      </c>
      <c r="AC38" s="2674">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91" t="s">
        <v>2563</v>
      </c>
      <c r="Q39" s="1810" t="str">
        <f t="shared" si="11"/>
        <v>物业管理</v>
      </c>
      <c r="R39" s="774" t="s">
        <v>17</v>
      </c>
      <c r="S39" s="775">
        <f t="shared" si="12"/>
        <v>100</v>
      </c>
      <c r="T39" s="774" t="s">
        <v>17</v>
      </c>
      <c r="U39" s="775">
        <f t="shared" si="13"/>
        <v>100</v>
      </c>
      <c r="V39" s="774" t="s">
        <v>17</v>
      </c>
      <c r="W39" s="775">
        <f t="shared" si="14"/>
        <v>100</v>
      </c>
      <c r="X39" s="1813"/>
      <c r="Y39" s="3193" t="s">
        <v>2563</v>
      </c>
      <c r="Z39" s="1814" t="str">
        <f t="shared" si="15"/>
        <v>物业管理</v>
      </c>
      <c r="AA39" s="1811">
        <f t="shared" si="3"/>
        <v>1</v>
      </c>
      <c r="AB39" s="1811">
        <f t="shared" si="4"/>
        <v>1</v>
      </c>
      <c r="AC39" s="2677">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91"/>
      <c r="Q40" s="1810" t="str">
        <f t="shared" si="11"/>
        <v>市政基础设施</v>
      </c>
      <c r="R40" s="774" t="s">
        <v>17</v>
      </c>
      <c r="S40" s="775">
        <f t="shared" si="12"/>
        <v>100</v>
      </c>
      <c r="T40" s="774" t="s">
        <v>17</v>
      </c>
      <c r="U40" s="775">
        <f t="shared" si="13"/>
        <v>100</v>
      </c>
      <c r="V40" s="774" t="s">
        <v>17</v>
      </c>
      <c r="W40" s="775">
        <f t="shared" si="14"/>
        <v>100</v>
      </c>
      <c r="X40" s="1813"/>
      <c r="Y40" s="3193"/>
      <c r="Z40" s="1814" t="str">
        <f t="shared" si="15"/>
        <v>市政基础设施</v>
      </c>
      <c r="AA40" s="1811">
        <f t="shared" si="3"/>
        <v>1</v>
      </c>
      <c r="AB40" s="1811">
        <f t="shared" si="4"/>
        <v>1</v>
      </c>
      <c r="AC40" s="2677">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91"/>
      <c r="Q41" s="1810" t="str">
        <f t="shared" si="11"/>
        <v>层高</v>
      </c>
      <c r="R41" s="774" t="s">
        <v>17</v>
      </c>
      <c r="S41" s="775">
        <f t="shared" si="12"/>
        <v>100</v>
      </c>
      <c r="T41" s="774" t="s">
        <v>17</v>
      </c>
      <c r="U41" s="775">
        <f t="shared" si="13"/>
        <v>100</v>
      </c>
      <c r="V41" s="774" t="s">
        <v>17</v>
      </c>
      <c r="W41" s="775">
        <f t="shared" si="14"/>
        <v>100</v>
      </c>
      <c r="X41" s="1813"/>
      <c r="Y41" s="3193"/>
      <c r="Z41" s="1814" t="str">
        <f t="shared" si="15"/>
        <v>层高</v>
      </c>
      <c r="AA41" s="1811">
        <f t="shared" si="3"/>
        <v>1</v>
      </c>
      <c r="AB41" s="1811">
        <f t="shared" si="4"/>
        <v>1</v>
      </c>
      <c r="AC41" s="2677">
        <f t="shared" si="5"/>
        <v>1</v>
      </c>
    </row>
    <row r="42" spans="1:29" s="471" customFormat="1" ht="15">
      <c r="A42" s="468"/>
      <c r="B42" s="1812"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91"/>
      <c r="Q42" s="776" t="str">
        <f t="shared" si="11"/>
        <v>单套建筑面积</v>
      </c>
      <c r="R42" s="777" t="s">
        <v>17</v>
      </c>
      <c r="S42" s="778">
        <f t="shared" si="12"/>
        <v>100</v>
      </c>
      <c r="T42" s="777" t="s">
        <v>17</v>
      </c>
      <c r="U42" s="778">
        <f t="shared" si="13"/>
        <v>100</v>
      </c>
      <c r="V42" s="777" t="s">
        <v>17</v>
      </c>
      <c r="W42" s="778">
        <f t="shared" si="14"/>
        <v>100</v>
      </c>
      <c r="X42" s="779"/>
      <c r="Y42" s="3193"/>
      <c r="Z42" s="780" t="str">
        <f t="shared" si="15"/>
        <v>单套建筑面积</v>
      </c>
      <c r="AA42" s="1811">
        <f t="shared" si="3"/>
        <v>1</v>
      </c>
      <c r="AB42" s="1811">
        <f t="shared" si="4"/>
        <v>1</v>
      </c>
      <c r="AC42" s="2677">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91"/>
      <c r="Q43" s="1810" t="str">
        <f t="shared" si="11"/>
        <v>内部装修</v>
      </c>
      <c r="R43" s="774" t="s">
        <v>17</v>
      </c>
      <c r="S43" s="775">
        <f t="shared" si="12"/>
        <v>100</v>
      </c>
      <c r="T43" s="774" t="s">
        <v>17</v>
      </c>
      <c r="U43" s="775">
        <f t="shared" si="13"/>
        <v>100</v>
      </c>
      <c r="V43" s="774" t="s">
        <v>17</v>
      </c>
      <c r="W43" s="775">
        <f t="shared" si="14"/>
        <v>100</v>
      </c>
      <c r="X43" s="1813"/>
      <c r="Y43" s="3193"/>
      <c r="Z43" s="1814" t="str">
        <f t="shared" si="15"/>
        <v>内部装修</v>
      </c>
      <c r="AA43" s="1811">
        <f t="shared" si="3"/>
        <v>1</v>
      </c>
      <c r="AB43" s="1811">
        <f t="shared" si="4"/>
        <v>1</v>
      </c>
      <c r="AC43" s="2677">
        <f t="shared" si="5"/>
        <v>1</v>
      </c>
    </row>
    <row r="44" spans="1:29" ht="15">
      <c r="A44" s="472"/>
      <c r="B44" s="422" t="s">
        <v>2574</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191"/>
      <c r="Q44" s="1810" t="str">
        <f t="shared" si="11"/>
        <v>内部装修维护情况</v>
      </c>
      <c r="R44" s="774" t="s">
        <v>17</v>
      </c>
      <c r="S44" s="775">
        <f t="shared" si="12"/>
        <v>100</v>
      </c>
      <c r="T44" s="774" t="s">
        <v>17</v>
      </c>
      <c r="U44" s="775">
        <f t="shared" si="13"/>
        <v>100</v>
      </c>
      <c r="V44" s="774" t="s">
        <v>17</v>
      </c>
      <c r="W44" s="775">
        <f t="shared" si="14"/>
        <v>100</v>
      </c>
      <c r="X44" s="1813"/>
      <c r="Y44" s="3193"/>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91"/>
      <c r="Q45" s="1795">
        <f t="shared" si="11"/>
        <v>111</v>
      </c>
      <c r="R45" s="770" t="s">
        <v>17</v>
      </c>
      <c r="S45" s="771">
        <f t="shared" si="12"/>
        <v>100</v>
      </c>
      <c r="T45" s="770" t="s">
        <v>17</v>
      </c>
      <c r="U45" s="771">
        <f t="shared" si="13"/>
        <v>100</v>
      </c>
      <c r="V45" s="770" t="s">
        <v>17</v>
      </c>
      <c r="W45" s="771">
        <f t="shared" si="14"/>
        <v>100</v>
      </c>
      <c r="X45" s="772"/>
      <c r="Y45" s="3193"/>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91"/>
      <c r="Q46" s="1810">
        <f t="shared" si="11"/>
        <v>111</v>
      </c>
      <c r="R46" s="774" t="s">
        <v>17</v>
      </c>
      <c r="S46" s="775">
        <f t="shared" si="12"/>
        <v>100</v>
      </c>
      <c r="T46" s="774" t="s">
        <v>17</v>
      </c>
      <c r="U46" s="775">
        <f t="shared" si="13"/>
        <v>100</v>
      </c>
      <c r="V46" s="774" t="s">
        <v>17</v>
      </c>
      <c r="W46" s="775">
        <f t="shared" si="14"/>
        <v>100</v>
      </c>
      <c r="X46" s="1813"/>
      <c r="Y46" s="3193"/>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92"/>
      <c r="Q47" s="1810">
        <f t="shared" si="11"/>
        <v>111</v>
      </c>
      <c r="R47" s="774" t="s">
        <v>17</v>
      </c>
      <c r="S47" s="775">
        <f t="shared" si="12"/>
        <v>100</v>
      </c>
      <c r="T47" s="774" t="s">
        <v>17</v>
      </c>
      <c r="U47" s="775">
        <f t="shared" si="13"/>
        <v>100</v>
      </c>
      <c r="V47" s="774" t="s">
        <v>17</v>
      </c>
      <c r="W47" s="775">
        <f t="shared" si="14"/>
        <v>100</v>
      </c>
      <c r="X47" s="1813"/>
      <c r="Y47" s="3194"/>
      <c r="Z47" s="1814">
        <f t="shared" si="15"/>
        <v>111</v>
      </c>
      <c r="AA47" s="1811">
        <f t="shared" si="3"/>
        <v>1</v>
      </c>
      <c r="AB47" s="1811">
        <f t="shared" si="4"/>
        <v>1</v>
      </c>
      <c r="AC47" s="2677">
        <f t="shared" si="5"/>
        <v>1</v>
      </c>
    </row>
    <row r="48" spans="1:29" ht="15">
      <c r="A48" s="479" t="s">
        <v>2575</v>
      </c>
      <c r="B48" s="480"/>
      <c r="C48" s="1407" t="s">
        <v>1</v>
      </c>
      <c r="D48" s="1408"/>
      <c r="E48" s="1409"/>
      <c r="F48" s="1410"/>
      <c r="G48" s="1411"/>
      <c r="H48" s="1412"/>
      <c r="I48" s="1409"/>
      <c r="J48" s="485"/>
      <c r="K48" s="783"/>
      <c r="L48" s="1143"/>
      <c r="M48" s="1131"/>
      <c r="N48" s="1131"/>
      <c r="O48" s="1131"/>
      <c r="P48" s="3197" t="str">
        <f>A48</f>
        <v>成交单价（元/平方米）</v>
      </c>
      <c r="Q48" s="3186"/>
      <c r="R48" s="3187">
        <f>E48</f>
        <v>0</v>
      </c>
      <c r="S48" s="3187"/>
      <c r="T48" s="3187">
        <f>G48</f>
        <v>0</v>
      </c>
      <c r="U48" s="3187"/>
      <c r="V48" s="3187">
        <f>I48</f>
        <v>0</v>
      </c>
      <c r="W48" s="3187"/>
      <c r="X48" s="446"/>
      <c r="Y48" s="781"/>
      <c r="Z48" s="446"/>
      <c r="AA48" s="446"/>
      <c r="AB48" s="446"/>
      <c r="AC48" s="630"/>
    </row>
    <row r="49" spans="1:29" ht="15.75" thickBot="1">
      <c r="A49" s="486" t="s">
        <v>2667</v>
      </c>
      <c r="B49" s="487"/>
      <c r="C49" s="1413" t="e">
        <f>R50</f>
        <v>#DIV/0!</v>
      </c>
      <c r="D49" s="1414"/>
      <c r="E49" s="1415" t="e">
        <f>R49</f>
        <v>#DIV/0!</v>
      </c>
      <c r="F49" s="1415"/>
      <c r="G49" s="1413" t="e">
        <f>T49</f>
        <v>#DIV/0!</v>
      </c>
      <c r="H49" s="1414"/>
      <c r="I49" s="1415" t="e">
        <f>V49</f>
        <v>#DIV/0!</v>
      </c>
      <c r="J49" s="489"/>
      <c r="K49" s="784"/>
      <c r="L49" s="1143"/>
      <c r="M49" s="1131"/>
      <c r="N49" s="1131"/>
      <c r="O49" s="1131"/>
      <c r="P49" s="3197" t="str">
        <f>A49</f>
        <v>比较价值（元/平方米）</v>
      </c>
      <c r="Q49" s="3186"/>
      <c r="R49" s="3187" t="e">
        <f>IF(F1="售价",ROUND(PRODUCT(R48,AA7:AA47),0),ROUND(PRODUCT(R48,AA7:AA47),1))</f>
        <v>#DIV/0!</v>
      </c>
      <c r="S49" s="3187"/>
      <c r="T49" s="3187" t="e">
        <f>IF(F1="售价",ROUND(PRODUCT(T48,AB7:AB47),0),ROUND(PRODUCT(T48,AB7:AB47),1))</f>
        <v>#DIV/0!</v>
      </c>
      <c r="U49" s="3187"/>
      <c r="V49" s="3187" t="e">
        <f>IF(F1="售价",ROUND(PRODUCT(V48,AC7:AC47),0),ROUND(PRODUCT(V48,AC7:AC47),1))</f>
        <v>#DIV/0!</v>
      </c>
      <c r="W49" s="3187"/>
      <c r="X49" s="446"/>
      <c r="Y49" s="446"/>
      <c r="Z49" s="446"/>
      <c r="AA49" s="446"/>
      <c r="AB49" s="446"/>
      <c r="AC49" s="630"/>
    </row>
    <row r="50" spans="1:29" ht="15.75" thickBot="1">
      <c r="A50" s="492" t="s">
        <v>2668</v>
      </c>
      <c r="B50" s="493"/>
      <c r="C50" s="1417" t="e">
        <f>R50</f>
        <v>#DIV/0!</v>
      </c>
      <c r="D50" s="1417"/>
      <c r="E50" s="1417"/>
      <c r="F50" s="1417"/>
      <c r="G50" s="1417"/>
      <c r="H50" s="1417"/>
      <c r="I50" s="1417"/>
      <c r="J50" s="494"/>
      <c r="K50" s="785"/>
      <c r="L50" s="1143"/>
      <c r="M50" s="1131"/>
      <c r="N50" s="1131"/>
      <c r="O50" s="1131"/>
      <c r="P50" s="3229" t="str">
        <f>A50</f>
        <v>估价对象XX用房的比较价值（楼面单价，元/平方米）</v>
      </c>
      <c r="Q50" s="3230"/>
      <c r="R50" s="3231" t="e">
        <f>IF(F1="售价",ROUND(AVERAGE(R49:V49),0),ROUND(AVERAGE(R49:V49),1))</f>
        <v>#DIV/0!</v>
      </c>
      <c r="S50" s="3231"/>
      <c r="T50" s="3231"/>
      <c r="U50" s="3231"/>
      <c r="V50" s="3231"/>
      <c r="W50" s="3231"/>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2672</v>
      </c>
      <c r="B58" s="759"/>
      <c r="C58" s="764"/>
      <c r="D58" s="764"/>
      <c r="E58" s="764"/>
      <c r="F58" s="765"/>
      <c r="G58" s="765"/>
      <c r="H58" s="764"/>
      <c r="I58" s="764"/>
      <c r="J58" s="764"/>
      <c r="K58" s="766"/>
      <c r="L58" s="1161"/>
      <c r="M58" s="1159"/>
      <c r="N58" s="1159"/>
      <c r="O58" s="1159"/>
      <c r="P58" s="2684"/>
      <c r="Q58" s="504"/>
    </row>
    <row r="59" spans="1:29" s="508" customFormat="1" ht="15">
      <c r="A59" s="505" t="s">
        <v>2546</v>
      </c>
      <c r="B59" s="506"/>
      <c r="C59" s="1574" t="str">
        <f>YEAR(C7)&amp;"-"&amp;MONTH(C7)</f>
        <v>2019-3</v>
      </c>
      <c r="D59" s="1575">
        <f>EDATE(C59,-1)</f>
        <v>43497</v>
      </c>
      <c r="E59" s="1575">
        <f>EDATE(D59,-1)</f>
        <v>43466</v>
      </c>
      <c r="F59" s="1575">
        <f t="shared" ref="F59:O59" si="16">EDATE(E59,-1)</f>
        <v>43435</v>
      </c>
      <c r="G59" s="1575">
        <f t="shared" si="16"/>
        <v>43405</v>
      </c>
      <c r="H59" s="1575">
        <f t="shared" si="16"/>
        <v>43374</v>
      </c>
      <c r="I59" s="1575">
        <f t="shared" si="16"/>
        <v>43344</v>
      </c>
      <c r="J59" s="1575">
        <f t="shared" si="16"/>
        <v>43313</v>
      </c>
      <c r="K59" s="1575">
        <f t="shared" si="16"/>
        <v>43282</v>
      </c>
      <c r="L59" s="1575">
        <f t="shared" si="16"/>
        <v>43252</v>
      </c>
      <c r="M59" s="1575">
        <f t="shared" si="16"/>
        <v>43221</v>
      </c>
      <c r="N59" s="1575">
        <f t="shared" si="16"/>
        <v>43191</v>
      </c>
      <c r="O59" s="1575">
        <f t="shared" si="16"/>
        <v>43160</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2583</v>
      </c>
      <c r="B61" s="516"/>
      <c r="C61" s="517"/>
      <c r="D61" s="518"/>
      <c r="E61" s="518"/>
      <c r="F61" s="518"/>
      <c r="G61" s="518"/>
      <c r="H61" s="518"/>
      <c r="I61" s="518"/>
      <c r="J61" s="518"/>
      <c r="K61" s="518"/>
      <c r="L61" s="518"/>
      <c r="M61" s="519"/>
      <c r="N61" s="518"/>
      <c r="O61" s="519"/>
      <c r="P61" s="2685"/>
      <c r="Q61" s="504"/>
    </row>
    <row r="62" spans="1:29" s="117" customFormat="1" ht="15">
      <c r="A62" s="521" t="s">
        <v>2548</v>
      </c>
      <c r="B62" s="510"/>
      <c r="C62" s="522" t="s">
        <v>2650</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2586</v>
      </c>
      <c r="B64" s="528" t="s">
        <v>2552</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2697</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2561</v>
      </c>
      <c r="B101" s="528" t="s">
        <v>2610</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2612</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2614</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2698</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2615</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2616</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2699</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2682</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2618</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72" t="s">
        <v>2700</v>
      </c>
      <c r="C1" s="1620" t="s">
        <v>2528</v>
      </c>
      <c r="D1" s="1621"/>
      <c r="E1" s="1630"/>
      <c r="F1" s="2587"/>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IF(C2="——",ROUND(C43*D3/10000,0),ROUND(C43*D3/10000,0)-D2)</f>
        <v>#DIV/0!</v>
      </c>
      <c r="C2" s="2589"/>
      <c r="D2" s="1124"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2642</v>
      </c>
      <c r="D3" s="399">
        <f>IF(D1="",'数据-汇总表'!E3,SUMIF('数据-汇总表'!$C19:$C33,D1,'数据-汇总表'!$E19:$E33))</f>
        <v>26356.14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1" t="s">
        <v>2644</v>
      </c>
      <c r="D4" s="3202"/>
      <c r="E4" s="3203" t="s">
        <v>2645</v>
      </c>
      <c r="F4" s="3204"/>
      <c r="G4" s="3201" t="s">
        <v>2646</v>
      </c>
      <c r="H4" s="3202"/>
      <c r="I4" s="3201" t="s">
        <v>2647</v>
      </c>
      <c r="J4" s="3202"/>
      <c r="K4" s="610" t="s">
        <v>2648</v>
      </c>
      <c r="L4" s="1130"/>
      <c r="M4" s="1131"/>
      <c r="N4" s="1131"/>
      <c r="O4" s="1131"/>
      <c r="P4" s="3205" t="s">
        <v>2649</v>
      </c>
      <c r="Q4" s="3206"/>
      <c r="R4" s="3211" t="s">
        <v>2645</v>
      </c>
      <c r="S4" s="3212"/>
      <c r="T4" s="3211" t="s">
        <v>2646</v>
      </c>
      <c r="U4" s="3212"/>
      <c r="V4" s="3217" t="s">
        <v>2647</v>
      </c>
      <c r="W4" s="3217"/>
      <c r="X4" s="1813"/>
      <c r="Y4" s="3211" t="s">
        <v>2649</v>
      </c>
      <c r="Z4" s="3212"/>
      <c r="AA4" s="3198" t="s">
        <v>2645</v>
      </c>
      <c r="AB4" s="3199" t="s">
        <v>2646</v>
      </c>
      <c r="AC4" s="3198" t="s">
        <v>2647</v>
      </c>
    </row>
    <row r="5" spans="1:29" ht="15">
      <c r="A5" s="404"/>
      <c r="B5" s="405"/>
      <c r="C5" s="3220" t="s">
        <v>2540</v>
      </c>
      <c r="D5" s="3221"/>
      <c r="E5" s="3227" t="s">
        <v>2541</v>
      </c>
      <c r="F5" s="3228"/>
      <c r="G5" s="3220" t="s">
        <v>2542</v>
      </c>
      <c r="H5" s="3221"/>
      <c r="I5" s="3220" t="s">
        <v>2543</v>
      </c>
      <c r="J5" s="3221"/>
      <c r="K5" s="610"/>
      <c r="L5" s="1130"/>
      <c r="M5" s="1131"/>
      <c r="N5" s="1131"/>
      <c r="O5" s="1131"/>
      <c r="P5" s="3207"/>
      <c r="Q5" s="3208"/>
      <c r="R5" s="3213"/>
      <c r="S5" s="3214"/>
      <c r="T5" s="3213"/>
      <c r="U5" s="3214"/>
      <c r="V5" s="3217"/>
      <c r="W5" s="3217"/>
      <c r="X5" s="1813"/>
      <c r="Y5" s="3213"/>
      <c r="Z5" s="3214"/>
      <c r="AA5" s="3199"/>
      <c r="AB5" s="3199"/>
      <c r="AC5" s="3199"/>
    </row>
    <row r="6" spans="1:29" ht="15.75" thickBot="1">
      <c r="A6" s="406"/>
      <c r="B6" s="407"/>
      <c r="C6" s="3218" t="s">
        <v>2544</v>
      </c>
      <c r="D6" s="3219"/>
      <c r="E6" s="3225" t="s">
        <v>2544</v>
      </c>
      <c r="F6" s="3226"/>
      <c r="G6" s="3218" t="s">
        <v>2544</v>
      </c>
      <c r="H6" s="3219"/>
      <c r="I6" s="3218" t="s">
        <v>2544</v>
      </c>
      <c r="J6" s="3219"/>
      <c r="K6" s="610" t="s">
        <v>2545</v>
      </c>
      <c r="L6" s="1130"/>
      <c r="M6" s="1131"/>
      <c r="N6" s="1131"/>
      <c r="O6" s="1131"/>
      <c r="P6" s="3209"/>
      <c r="Q6" s="3210"/>
      <c r="R6" s="3213"/>
      <c r="S6" s="3214"/>
      <c r="T6" s="3215"/>
      <c r="U6" s="3216"/>
      <c r="V6" s="3217"/>
      <c r="W6" s="3217"/>
      <c r="X6" s="1813"/>
      <c r="Y6" s="3215"/>
      <c r="Z6" s="3216"/>
      <c r="AA6" s="3200"/>
      <c r="AB6" s="3200"/>
      <c r="AC6" s="3200"/>
    </row>
    <row r="7" spans="1:29" s="117" customFormat="1" ht="15.75" thickBot="1">
      <c r="A7" s="408" t="s">
        <v>2546</v>
      </c>
      <c r="B7" s="409"/>
      <c r="C7" s="410">
        <f>'数据-取费表'!B2</f>
        <v>43538</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2" t="s">
        <v>2547</v>
      </c>
      <c r="Q7" s="3224"/>
      <c r="R7" s="770" t="s">
        <v>17</v>
      </c>
      <c r="S7" s="771">
        <f t="shared" ref="S7:S15" si="0">F7</f>
        <v>0</v>
      </c>
      <c r="T7" s="770" t="s">
        <v>17</v>
      </c>
      <c r="U7" s="771">
        <f t="shared" ref="U7:U15" si="1">H7</f>
        <v>0</v>
      </c>
      <c r="V7" s="770" t="s">
        <v>17</v>
      </c>
      <c r="W7" s="771">
        <f t="shared" ref="W7:W15" si="2">J7</f>
        <v>0</v>
      </c>
      <c r="X7" s="772"/>
      <c r="Y7" s="3222" t="s">
        <v>2547</v>
      </c>
      <c r="Z7" s="3223"/>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2" t="s">
        <v>2550</v>
      </c>
      <c r="Q8" s="3223"/>
      <c r="R8" s="770" t="s">
        <v>17</v>
      </c>
      <c r="S8" s="771">
        <f t="shared" si="0"/>
        <v>0</v>
      </c>
      <c r="T8" s="770" t="s">
        <v>17</v>
      </c>
      <c r="U8" s="771">
        <f t="shared" si="1"/>
        <v>0</v>
      </c>
      <c r="V8" s="770" t="s">
        <v>17</v>
      </c>
      <c r="W8" s="771">
        <f t="shared" si="2"/>
        <v>0</v>
      </c>
      <c r="X8" s="772"/>
      <c r="Y8" s="3222" t="s">
        <v>2550</v>
      </c>
      <c r="Z8" s="3223"/>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86" t="s">
        <v>2553</v>
      </c>
      <c r="Q9" s="1795" t="str">
        <f t="shared" ref="Q9:Q15" si="6">B9</f>
        <v>用途</v>
      </c>
      <c r="R9" s="770" t="s">
        <v>17</v>
      </c>
      <c r="S9" s="771">
        <f t="shared" si="0"/>
        <v>100</v>
      </c>
      <c r="T9" s="770" t="s">
        <v>17</v>
      </c>
      <c r="U9" s="771">
        <f t="shared" si="1"/>
        <v>100</v>
      </c>
      <c r="V9" s="770" t="s">
        <v>17</v>
      </c>
      <c r="W9" s="771">
        <f t="shared" si="2"/>
        <v>100</v>
      </c>
      <c r="X9" s="772"/>
      <c r="Y9" s="3011"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86"/>
      <c r="Q10" s="1795" t="str">
        <f t="shared" si="6"/>
        <v>土地使用年限（年）</v>
      </c>
      <c r="R10" s="770" t="s">
        <v>17</v>
      </c>
      <c r="S10" s="771">
        <f t="shared" si="0"/>
        <v>100</v>
      </c>
      <c r="T10" s="770" t="s">
        <v>17</v>
      </c>
      <c r="U10" s="771">
        <f t="shared" si="1"/>
        <v>100</v>
      </c>
      <c r="V10" s="770" t="s">
        <v>17</v>
      </c>
      <c r="W10" s="771">
        <f t="shared" si="2"/>
        <v>100</v>
      </c>
      <c r="X10" s="772"/>
      <c r="Y10" s="3011"/>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86"/>
      <c r="Q11" s="1795" t="str">
        <f t="shared" si="6"/>
        <v>容积率</v>
      </c>
      <c r="R11" s="770" t="s">
        <v>17</v>
      </c>
      <c r="S11" s="771" t="e">
        <f t="shared" si="0"/>
        <v>#N/A</v>
      </c>
      <c r="T11" s="770" t="s">
        <v>17</v>
      </c>
      <c r="U11" s="771" t="e">
        <f t="shared" si="1"/>
        <v>#N/A</v>
      </c>
      <c r="V11" s="770" t="s">
        <v>17</v>
      </c>
      <c r="W11" s="771" t="e">
        <f t="shared" si="2"/>
        <v>#N/A</v>
      </c>
      <c r="X11" s="772"/>
      <c r="Y11" s="3011"/>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186"/>
      <c r="Q12" s="1795">
        <f t="shared" si="6"/>
        <v>111</v>
      </c>
      <c r="R12" s="770" t="s">
        <v>17</v>
      </c>
      <c r="S12" s="771">
        <f t="shared" si="0"/>
        <v>100</v>
      </c>
      <c r="T12" s="770" t="s">
        <v>17</v>
      </c>
      <c r="U12" s="771">
        <f t="shared" si="1"/>
        <v>100</v>
      </c>
      <c r="V12" s="770" t="s">
        <v>17</v>
      </c>
      <c r="W12" s="771">
        <f t="shared" si="2"/>
        <v>100</v>
      </c>
      <c r="X12" s="772"/>
      <c r="Y12" s="3011"/>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186"/>
      <c r="Q13" s="1795">
        <f t="shared" si="6"/>
        <v>111</v>
      </c>
      <c r="R13" s="770" t="s">
        <v>17</v>
      </c>
      <c r="S13" s="771">
        <f t="shared" si="0"/>
        <v>100</v>
      </c>
      <c r="T13" s="770" t="s">
        <v>17</v>
      </c>
      <c r="U13" s="771">
        <f t="shared" si="1"/>
        <v>100</v>
      </c>
      <c r="V13" s="770" t="s">
        <v>17</v>
      </c>
      <c r="W13" s="771">
        <f t="shared" si="2"/>
        <v>100</v>
      </c>
      <c r="X13" s="772"/>
      <c r="Y13" s="3011"/>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186"/>
      <c r="Q14" s="1795">
        <f t="shared" si="6"/>
        <v>111</v>
      </c>
      <c r="R14" s="770" t="s">
        <v>17</v>
      </c>
      <c r="S14" s="771">
        <f t="shared" si="0"/>
        <v>100</v>
      </c>
      <c r="T14" s="770" t="s">
        <v>17</v>
      </c>
      <c r="U14" s="771">
        <f t="shared" si="1"/>
        <v>100</v>
      </c>
      <c r="V14" s="770" t="s">
        <v>17</v>
      </c>
      <c r="W14" s="771">
        <f t="shared" si="2"/>
        <v>100</v>
      </c>
      <c r="X14" s="772"/>
      <c r="Y14" s="3011"/>
      <c r="Z14" s="55">
        <f t="shared" si="7"/>
        <v>111</v>
      </c>
      <c r="AA14" s="773">
        <f t="shared" si="3"/>
        <v>1</v>
      </c>
      <c r="AB14" s="773">
        <f t="shared" si="4"/>
        <v>1</v>
      </c>
      <c r="AC14" s="773">
        <f t="shared" si="5"/>
        <v>1</v>
      </c>
    </row>
    <row r="15" spans="1:29" ht="57">
      <c r="A15" s="440" t="s">
        <v>2557</v>
      </c>
      <c r="B15" s="69" t="s">
        <v>2701</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88" t="s">
        <v>2558</v>
      </c>
      <c r="Q15" s="1810" t="str">
        <f t="shared" si="6"/>
        <v>产业集聚程度</v>
      </c>
      <c r="R15" s="774" t="s">
        <v>17</v>
      </c>
      <c r="S15" s="775">
        <f t="shared" si="0"/>
        <v>100</v>
      </c>
      <c r="T15" s="774" t="s">
        <v>17</v>
      </c>
      <c r="U15" s="775">
        <f t="shared" si="1"/>
        <v>100</v>
      </c>
      <c r="V15" s="774" t="s">
        <v>17</v>
      </c>
      <c r="W15" s="775">
        <f t="shared" si="2"/>
        <v>100</v>
      </c>
      <c r="X15" s="1813"/>
      <c r="Y15" s="3188" t="s">
        <v>2558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89"/>
      <c r="Q16" s="1810"/>
      <c r="R16" s="774"/>
      <c r="S16" s="775"/>
      <c r="T16" s="774"/>
      <c r="U16" s="775"/>
      <c r="V16" s="774"/>
      <c r="W16" s="775"/>
      <c r="X16" s="1813"/>
      <c r="Y16" s="3189"/>
      <c r="Z16" s="1814"/>
      <c r="AA16" s="1811">
        <v>1</v>
      </c>
      <c r="AB16" s="1811">
        <v>1</v>
      </c>
      <c r="AC16" s="1811">
        <v>1</v>
      </c>
    </row>
    <row r="17" spans="1:29" ht="85.5">
      <c r="A17" s="428"/>
      <c r="B17" s="451" t="s">
        <v>2097</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89"/>
      <c r="Q17" s="1810" t="str">
        <f>B17</f>
        <v>交通便捷度</v>
      </c>
      <c r="R17" s="774" t="s">
        <v>17</v>
      </c>
      <c r="S17" s="775">
        <f>F17</f>
        <v>100</v>
      </c>
      <c r="T17" s="774" t="s">
        <v>17</v>
      </c>
      <c r="U17" s="775">
        <f>H17</f>
        <v>100</v>
      </c>
      <c r="V17" s="774" t="s">
        <v>17</v>
      </c>
      <c r="W17" s="775">
        <f>J17</f>
        <v>100</v>
      </c>
      <c r="X17" s="1813"/>
      <c r="Y17" s="3189"/>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189"/>
      <c r="Q18" s="1810"/>
      <c r="R18" s="774"/>
      <c r="S18" s="775"/>
      <c r="T18" s="774"/>
      <c r="U18" s="775"/>
      <c r="V18" s="774"/>
      <c r="W18" s="775"/>
      <c r="X18" s="1813"/>
      <c r="Y18" s="3189"/>
      <c r="Z18" s="1814"/>
      <c r="AA18" s="1811">
        <v>1</v>
      </c>
      <c r="AB18" s="1811">
        <v>1</v>
      </c>
      <c r="AC18" s="1811">
        <v>1</v>
      </c>
    </row>
    <row r="19" spans="1:29" ht="42.75">
      <c r="A19" s="428"/>
      <c r="B19" s="451" t="s">
        <v>2686</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89"/>
      <c r="Q19" s="1810" t="str">
        <f>B19</f>
        <v>公共配套设施</v>
      </c>
      <c r="R19" s="774" t="s">
        <v>17</v>
      </c>
      <c r="S19" s="775">
        <f>F19</f>
        <v>100</v>
      </c>
      <c r="T19" s="774" t="s">
        <v>17</v>
      </c>
      <c r="U19" s="775">
        <f>H19</f>
        <v>100</v>
      </c>
      <c r="V19" s="774" t="s">
        <v>17</v>
      </c>
      <c r="W19" s="775">
        <f>J19</f>
        <v>100</v>
      </c>
      <c r="X19" s="1813"/>
      <c r="Y19" s="3189"/>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189"/>
      <c r="Q20" s="1810"/>
      <c r="R20" s="774"/>
      <c r="S20" s="775"/>
      <c r="T20" s="774"/>
      <c r="U20" s="775"/>
      <c r="V20" s="774"/>
      <c r="W20" s="775"/>
      <c r="X20" s="1813"/>
      <c r="Y20" s="3189"/>
      <c r="Z20" s="1814"/>
      <c r="AA20" s="1811">
        <v>1</v>
      </c>
      <c r="AB20" s="1811">
        <v>1</v>
      </c>
      <c r="AC20" s="1811">
        <v>1</v>
      </c>
    </row>
    <row r="21" spans="1:29" ht="28.5">
      <c r="A21" s="428"/>
      <c r="B21" s="1384" t="s">
        <v>2687</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89"/>
      <c r="Q21" s="1810" t="str">
        <f>B21</f>
        <v>基础设施水平</v>
      </c>
      <c r="R21" s="774" t="s">
        <v>17</v>
      </c>
      <c r="S21" s="775">
        <f>F21</f>
        <v>100</v>
      </c>
      <c r="T21" s="774" t="s">
        <v>17</v>
      </c>
      <c r="U21" s="775">
        <f>H21</f>
        <v>100</v>
      </c>
      <c r="V21" s="774" t="s">
        <v>17</v>
      </c>
      <c r="W21" s="775">
        <f>J21</f>
        <v>100</v>
      </c>
      <c r="X21" s="1813"/>
      <c r="Y21" s="3189"/>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189"/>
      <c r="Q22" s="1810"/>
      <c r="R22" s="774"/>
      <c r="S22" s="775"/>
      <c r="T22" s="774"/>
      <c r="U22" s="775"/>
      <c r="V22" s="774"/>
      <c r="W22" s="775"/>
      <c r="X22" s="1813"/>
      <c r="Y22" s="3189"/>
      <c r="Z22" s="1814"/>
      <c r="AA22" s="1811">
        <v>1</v>
      </c>
      <c r="AB22" s="1811">
        <v>1</v>
      </c>
      <c r="AC22" s="1811">
        <v>1</v>
      </c>
    </row>
    <row r="23" spans="1:29" ht="71.25">
      <c r="A23" s="428"/>
      <c r="B23" s="451" t="s">
        <v>2688</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89"/>
      <c r="Q23" s="1810" t="str">
        <f>B23</f>
        <v>环境质量</v>
      </c>
      <c r="R23" s="774" t="s">
        <v>17</v>
      </c>
      <c r="S23" s="775">
        <f>F23</f>
        <v>100</v>
      </c>
      <c r="T23" s="774" t="s">
        <v>17</v>
      </c>
      <c r="U23" s="775">
        <f>H23</f>
        <v>100</v>
      </c>
      <c r="V23" s="774" t="s">
        <v>17</v>
      </c>
      <c r="W23" s="775">
        <f>J23</f>
        <v>100</v>
      </c>
      <c r="X23" s="1813"/>
      <c r="Y23" s="3189"/>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189"/>
      <c r="Q24" s="1810"/>
      <c r="R24" s="774"/>
      <c r="S24" s="775"/>
      <c r="T24" s="774"/>
      <c r="U24" s="775"/>
      <c r="V24" s="774"/>
      <c r="W24" s="775"/>
      <c r="X24" s="1813"/>
      <c r="Y24" s="3189"/>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89"/>
      <c r="Q25" s="1810">
        <f>B25</f>
        <v>111</v>
      </c>
      <c r="R25" s="774" t="s">
        <v>17</v>
      </c>
      <c r="S25" s="775">
        <f>F25</f>
        <v>100</v>
      </c>
      <c r="T25" s="774" t="s">
        <v>17</v>
      </c>
      <c r="U25" s="775">
        <f>H25</f>
        <v>100</v>
      </c>
      <c r="V25" s="774" t="s">
        <v>17</v>
      </c>
      <c r="W25" s="775">
        <f>J25</f>
        <v>100</v>
      </c>
      <c r="X25" s="1813"/>
      <c r="Y25" s="3189"/>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89"/>
      <c r="Q26" s="1810">
        <f t="shared" ref="Q26:Q40" si="11">B26</f>
        <v>111</v>
      </c>
      <c r="R26" s="774" t="s">
        <v>17</v>
      </c>
      <c r="S26" s="775">
        <f>F26</f>
        <v>100</v>
      </c>
      <c r="T26" s="774" t="s">
        <v>17</v>
      </c>
      <c r="U26" s="775">
        <f>H26</f>
        <v>100</v>
      </c>
      <c r="V26" s="774" t="s">
        <v>17</v>
      </c>
      <c r="W26" s="775">
        <f>J26</f>
        <v>100</v>
      </c>
      <c r="X26" s="1813"/>
      <c r="Y26" s="3189"/>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89"/>
      <c r="Q27" s="1795">
        <f t="shared" si="11"/>
        <v>111</v>
      </c>
      <c r="R27" s="770" t="s">
        <v>17</v>
      </c>
      <c r="S27" s="771">
        <f>F27</f>
        <v>100</v>
      </c>
      <c r="T27" s="770" t="s">
        <v>17</v>
      </c>
      <c r="U27" s="771">
        <f>H27</f>
        <v>100</v>
      </c>
      <c r="V27" s="770" t="s">
        <v>17</v>
      </c>
      <c r="W27" s="771">
        <f>J27</f>
        <v>100</v>
      </c>
      <c r="X27" s="772"/>
      <c r="Y27" s="3189"/>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89"/>
      <c r="Q28" s="1810">
        <f t="shared" si="11"/>
        <v>111</v>
      </c>
      <c r="R28" s="774" t="s">
        <v>17</v>
      </c>
      <c r="S28" s="775">
        <f t="shared" ref="S28:S40" si="12">F28</f>
        <v>100</v>
      </c>
      <c r="T28" s="774" t="s">
        <v>17</v>
      </c>
      <c r="U28" s="775">
        <f t="shared" ref="U28:U40" si="13">H28</f>
        <v>100</v>
      </c>
      <c r="V28" s="774" t="s">
        <v>17</v>
      </c>
      <c r="W28" s="775">
        <f t="shared" ref="W28:W40" si="14">J28</f>
        <v>100</v>
      </c>
      <c r="X28" s="1813"/>
      <c r="Y28" s="3189"/>
      <c r="Z28" s="1814">
        <f t="shared" ref="Z28:Z40" si="15">Q28</f>
        <v>111</v>
      </c>
      <c r="AA28" s="1811">
        <f t="shared" si="3"/>
        <v>1</v>
      </c>
      <c r="AB28" s="1811">
        <f t="shared" si="4"/>
        <v>1</v>
      </c>
      <c r="AC28" s="1811">
        <f t="shared" si="5"/>
        <v>1</v>
      </c>
    </row>
    <row r="29" spans="1:29" ht="28.5">
      <c r="A29" s="466" t="s">
        <v>2561</v>
      </c>
      <c r="B29" s="71" t="s">
        <v>2691</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244" t="s">
        <v>2563</v>
      </c>
      <c r="Q29" s="1810" t="str">
        <f t="shared" si="11"/>
        <v>建筑类型</v>
      </c>
      <c r="R29" s="774" t="s">
        <v>17</v>
      </c>
      <c r="S29" s="775">
        <f t="shared" si="12"/>
        <v>100</v>
      </c>
      <c r="T29" s="774" t="s">
        <v>17</v>
      </c>
      <c r="U29" s="775">
        <f t="shared" si="13"/>
        <v>100</v>
      </c>
      <c r="V29" s="774" t="s">
        <v>17</v>
      </c>
      <c r="W29" s="775">
        <f t="shared" si="14"/>
        <v>100</v>
      </c>
      <c r="X29" s="1813"/>
      <c r="Y29" s="3193" t="s">
        <v>2563</v>
      </c>
      <c r="Z29" s="1814" t="str">
        <f t="shared" si="15"/>
        <v>建筑类型</v>
      </c>
      <c r="AA29" s="1811">
        <f t="shared" si="3"/>
        <v>1</v>
      </c>
      <c r="AB29" s="1811">
        <f t="shared" si="4"/>
        <v>1</v>
      </c>
      <c r="AC29" s="1811">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93"/>
      <c r="Q30" s="776" t="str">
        <f t="shared" si="11"/>
        <v>项目建筑规模</v>
      </c>
      <c r="R30" s="777" t="s">
        <v>17</v>
      </c>
      <c r="S30" s="778" t="e">
        <f t="shared" si="12"/>
        <v>#N/A</v>
      </c>
      <c r="T30" s="777" t="s">
        <v>17</v>
      </c>
      <c r="U30" s="778" t="e">
        <f t="shared" si="13"/>
        <v>#N/A</v>
      </c>
      <c r="V30" s="777" t="s">
        <v>17</v>
      </c>
      <c r="W30" s="778" t="e">
        <f t="shared" si="14"/>
        <v>#N/A</v>
      </c>
      <c r="X30" s="779"/>
      <c r="Y30" s="3193"/>
      <c r="Z30" s="780" t="str">
        <f t="shared" si="15"/>
        <v>项目建筑规模</v>
      </c>
      <c r="AA30" s="1811" t="e">
        <f t="shared" si="3"/>
        <v>#N/A</v>
      </c>
      <c r="AB30" s="1811" t="e">
        <f t="shared" si="4"/>
        <v>#N/A</v>
      </c>
      <c r="AC30" s="1811"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93"/>
      <c r="Q31" s="1810" t="str">
        <f t="shared" si="11"/>
        <v>建筑结构</v>
      </c>
      <c r="R31" s="774" t="s">
        <v>17</v>
      </c>
      <c r="S31" s="775">
        <f t="shared" si="12"/>
        <v>100</v>
      </c>
      <c r="T31" s="774" t="s">
        <v>17</v>
      </c>
      <c r="U31" s="775">
        <f t="shared" si="13"/>
        <v>100</v>
      </c>
      <c r="V31" s="774" t="s">
        <v>17</v>
      </c>
      <c r="W31" s="775">
        <f t="shared" si="14"/>
        <v>100</v>
      </c>
      <c r="X31" s="1813"/>
      <c r="Y31" s="3193"/>
      <c r="Z31" s="1814" t="str">
        <f t="shared" si="15"/>
        <v>建筑结构</v>
      </c>
      <c r="AA31" s="1811">
        <f t="shared" si="3"/>
        <v>1</v>
      </c>
      <c r="AB31" s="1811">
        <f t="shared" si="4"/>
        <v>1</v>
      </c>
      <c r="AC31" s="1811">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93"/>
      <c r="Q32" s="1810" t="str">
        <f t="shared" si="11"/>
        <v>公共部分装修</v>
      </c>
      <c r="R32" s="774" t="s">
        <v>17</v>
      </c>
      <c r="S32" s="775">
        <f t="shared" si="12"/>
        <v>100</v>
      </c>
      <c r="T32" s="774" t="s">
        <v>17</v>
      </c>
      <c r="U32" s="775">
        <f t="shared" si="13"/>
        <v>100</v>
      </c>
      <c r="V32" s="774" t="s">
        <v>17</v>
      </c>
      <c r="W32" s="775">
        <f t="shared" si="14"/>
        <v>100</v>
      </c>
      <c r="X32" s="1813"/>
      <c r="Y32" s="3193"/>
      <c r="Z32" s="1814" t="str">
        <f t="shared" si="15"/>
        <v>公共部分装修</v>
      </c>
      <c r="AA32" s="1811">
        <f t="shared" si="3"/>
        <v>1</v>
      </c>
      <c r="AB32" s="1811">
        <f t="shared" si="4"/>
        <v>1</v>
      </c>
      <c r="AC32" s="1811">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93"/>
      <c r="Q33" s="1810" t="str">
        <f t="shared" si="11"/>
        <v>成新度</v>
      </c>
      <c r="R33" s="774" t="s">
        <v>17</v>
      </c>
      <c r="S33" s="775" t="e">
        <f t="shared" si="12"/>
        <v>#N/A</v>
      </c>
      <c r="T33" s="774" t="s">
        <v>17</v>
      </c>
      <c r="U33" s="775" t="e">
        <f t="shared" si="13"/>
        <v>#N/A</v>
      </c>
      <c r="V33" s="774" t="s">
        <v>17</v>
      </c>
      <c r="W33" s="775" t="e">
        <f t="shared" si="14"/>
        <v>#N/A</v>
      </c>
      <c r="X33" s="1813"/>
      <c r="Y33" s="3193"/>
      <c r="Z33" s="1814" t="str">
        <f t="shared" si="15"/>
        <v>成新度</v>
      </c>
      <c r="AA33" s="1811" t="e">
        <f t="shared" si="3"/>
        <v>#N/A</v>
      </c>
      <c r="AB33" s="1811" t="e">
        <f t="shared" si="4"/>
        <v>#N/A</v>
      </c>
      <c r="AC33" s="1811"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93"/>
      <c r="Q34" s="1795" t="str">
        <f t="shared" si="11"/>
        <v>物业管理</v>
      </c>
      <c r="R34" s="770" t="s">
        <v>17</v>
      </c>
      <c r="S34" s="771">
        <f t="shared" si="12"/>
        <v>100</v>
      </c>
      <c r="T34" s="770" t="s">
        <v>17</v>
      </c>
      <c r="U34" s="771">
        <f t="shared" si="13"/>
        <v>100</v>
      </c>
      <c r="V34" s="770" t="s">
        <v>17</v>
      </c>
      <c r="W34" s="771">
        <f t="shared" si="14"/>
        <v>100</v>
      </c>
      <c r="X34" s="772"/>
      <c r="Y34" s="3193"/>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93" t="s">
        <v>2563</v>
      </c>
      <c r="Q35" s="1810" t="str">
        <f t="shared" si="11"/>
        <v>市政基础设施</v>
      </c>
      <c r="R35" s="774" t="s">
        <v>17</v>
      </c>
      <c r="S35" s="775">
        <f t="shared" si="12"/>
        <v>100</v>
      </c>
      <c r="T35" s="774" t="s">
        <v>17</v>
      </c>
      <c r="U35" s="775">
        <f t="shared" si="13"/>
        <v>100</v>
      </c>
      <c r="V35" s="774" t="s">
        <v>17</v>
      </c>
      <c r="W35" s="775">
        <f t="shared" si="14"/>
        <v>100</v>
      </c>
      <c r="X35" s="1813"/>
      <c r="Y35" s="3193" t="s">
        <v>2563</v>
      </c>
      <c r="Z35" s="1814" t="str">
        <f t="shared" si="15"/>
        <v>市政基础设施</v>
      </c>
      <c r="AA35" s="1811">
        <f t="shared" si="3"/>
        <v>1</v>
      </c>
      <c r="AB35" s="1811">
        <f t="shared" si="4"/>
        <v>1</v>
      </c>
      <c r="AC35" s="1811">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93"/>
      <c r="Q36" s="1810" t="str">
        <f t="shared" si="11"/>
        <v>内部装修</v>
      </c>
      <c r="R36" s="774" t="s">
        <v>17</v>
      </c>
      <c r="S36" s="775">
        <f t="shared" si="12"/>
        <v>100</v>
      </c>
      <c r="T36" s="774" t="s">
        <v>17</v>
      </c>
      <c r="U36" s="775">
        <f t="shared" si="13"/>
        <v>100</v>
      </c>
      <c r="V36" s="774" t="s">
        <v>17</v>
      </c>
      <c r="W36" s="775">
        <f t="shared" si="14"/>
        <v>100</v>
      </c>
      <c r="X36" s="1813"/>
      <c r="Y36" s="3193"/>
      <c r="Z36" s="1814" t="str">
        <f t="shared" si="15"/>
        <v>内部装修</v>
      </c>
      <c r="AA36" s="1811">
        <f t="shared" si="3"/>
        <v>1</v>
      </c>
      <c r="AB36" s="1811">
        <f t="shared" si="4"/>
        <v>1</v>
      </c>
      <c r="AC36" s="1811">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93"/>
      <c r="Q37" s="1810" t="str">
        <f t="shared" si="11"/>
        <v>内部装修状况</v>
      </c>
      <c r="R37" s="774" t="s">
        <v>17</v>
      </c>
      <c r="S37" s="775">
        <f t="shared" si="12"/>
        <v>100</v>
      </c>
      <c r="T37" s="774" t="s">
        <v>17</v>
      </c>
      <c r="U37" s="775">
        <f t="shared" si="13"/>
        <v>100</v>
      </c>
      <c r="V37" s="774" t="s">
        <v>17</v>
      </c>
      <c r="W37" s="775">
        <f t="shared" si="14"/>
        <v>100</v>
      </c>
      <c r="X37" s="1813"/>
      <c r="Y37" s="3193"/>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93"/>
      <c r="Q38" s="776">
        <f t="shared" si="11"/>
        <v>111</v>
      </c>
      <c r="R38" s="777" t="s">
        <v>17</v>
      </c>
      <c r="S38" s="778">
        <f t="shared" si="12"/>
        <v>100</v>
      </c>
      <c r="T38" s="777" t="s">
        <v>17</v>
      </c>
      <c r="U38" s="778">
        <f t="shared" si="13"/>
        <v>100</v>
      </c>
      <c r="V38" s="777" t="s">
        <v>17</v>
      </c>
      <c r="W38" s="778">
        <f t="shared" si="14"/>
        <v>100</v>
      </c>
      <c r="X38" s="779"/>
      <c r="Y38" s="3193"/>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93"/>
      <c r="Q39" s="1810">
        <f t="shared" si="11"/>
        <v>111</v>
      </c>
      <c r="R39" s="774" t="s">
        <v>17</v>
      </c>
      <c r="S39" s="775">
        <f t="shared" si="12"/>
        <v>100</v>
      </c>
      <c r="T39" s="774" t="s">
        <v>17</v>
      </c>
      <c r="U39" s="775">
        <f t="shared" si="13"/>
        <v>100</v>
      </c>
      <c r="V39" s="774" t="s">
        <v>17</v>
      </c>
      <c r="W39" s="775">
        <f t="shared" si="14"/>
        <v>100</v>
      </c>
      <c r="X39" s="1813"/>
      <c r="Y39" s="3193"/>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94"/>
      <c r="Q40" s="1810">
        <f t="shared" si="11"/>
        <v>111</v>
      </c>
      <c r="R40" s="774" t="s">
        <v>17</v>
      </c>
      <c r="S40" s="775">
        <f t="shared" si="12"/>
        <v>100</v>
      </c>
      <c r="T40" s="774" t="s">
        <v>17</v>
      </c>
      <c r="U40" s="775">
        <f t="shared" si="13"/>
        <v>100</v>
      </c>
      <c r="V40" s="774" t="s">
        <v>17</v>
      </c>
      <c r="W40" s="775">
        <f t="shared" si="14"/>
        <v>100</v>
      </c>
      <c r="X40" s="1813"/>
      <c r="Y40" s="3194"/>
      <c r="Z40" s="1814">
        <f t="shared" si="15"/>
        <v>111</v>
      </c>
      <c r="AA40" s="1811">
        <f t="shared" si="3"/>
        <v>1</v>
      </c>
      <c r="AB40" s="1811">
        <f t="shared" si="4"/>
        <v>1</v>
      </c>
      <c r="AC40" s="1811">
        <f t="shared" si="5"/>
        <v>1</v>
      </c>
    </row>
    <row r="41" spans="1:29" ht="15">
      <c r="A41" s="479" t="s">
        <v>2575</v>
      </c>
      <c r="B41" s="480"/>
      <c r="C41" s="1407" t="s">
        <v>1</v>
      </c>
      <c r="D41" s="1408"/>
      <c r="E41" s="1409"/>
      <c r="F41" s="1410"/>
      <c r="G41" s="1411"/>
      <c r="H41" s="1412"/>
      <c r="I41" s="1409"/>
      <c r="J41" s="1412"/>
      <c r="K41" s="783"/>
      <c r="L41" s="1143"/>
      <c r="M41" s="1144"/>
      <c r="N41" s="1131"/>
      <c r="O41" s="1144"/>
      <c r="P41" s="3186" t="str">
        <f>A41</f>
        <v>成交单价（元/平方米）</v>
      </c>
      <c r="Q41" s="3186"/>
      <c r="R41" s="3187">
        <f>E41</f>
        <v>0</v>
      </c>
      <c r="S41" s="3187"/>
      <c r="T41" s="3187">
        <f>G41</f>
        <v>0</v>
      </c>
      <c r="U41" s="3187"/>
      <c r="V41" s="3187">
        <f>I41</f>
        <v>0</v>
      </c>
      <c r="W41" s="3187"/>
      <c r="X41" s="759"/>
      <c r="Y41" s="781"/>
      <c r="Z41" s="759"/>
      <c r="AA41" s="759"/>
      <c r="AB41" s="759"/>
      <c r="AC41" s="759"/>
    </row>
    <row r="42" spans="1:29" ht="15.7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186" t="str">
        <f>A42</f>
        <v>比较价值（元/平方米）</v>
      </c>
      <c r="Q42" s="3186"/>
      <c r="R42" s="3187" t="e">
        <f>IF(F1="售价",ROUND(PRODUCT(R41,AA7:AA40),0),ROUND(PRODUCT(R41,AA7:AA40),1))</f>
        <v>#DIV/0!</v>
      </c>
      <c r="S42" s="3187"/>
      <c r="T42" s="3187" t="e">
        <f>IF(F1="售价",ROUND(PRODUCT(T41,AB7:AB40),0),ROUND(PRODUCT(T41,AB7:AB40),1))</f>
        <v>#DIV/0!</v>
      </c>
      <c r="U42" s="3187"/>
      <c r="V42" s="3187" t="e">
        <f>IF(F1="售价",ROUND(PRODUCT(V41,AC7:AC40),0),ROUND(PRODUCT(V41,AC7:AC40),1))</f>
        <v>#DIV/0!</v>
      </c>
      <c r="W42" s="3187"/>
      <c r="X42" s="759"/>
      <c r="Y42" s="759"/>
      <c r="Z42" s="759"/>
      <c r="AA42" s="759"/>
      <c r="AB42" s="759"/>
      <c r="AC42" s="759"/>
    </row>
    <row r="43" spans="1:29" ht="15.75" thickBot="1">
      <c r="A43" s="492" t="s">
        <v>2668</v>
      </c>
      <c r="B43" s="493"/>
      <c r="C43" s="1417" t="e">
        <f>R43</f>
        <v>#DIV/0!</v>
      </c>
      <c r="D43" s="1417"/>
      <c r="E43" s="1417"/>
      <c r="F43" s="1417"/>
      <c r="G43" s="1417"/>
      <c r="H43" s="1417"/>
      <c r="I43" s="1417"/>
      <c r="J43" s="1417"/>
      <c r="K43" s="785"/>
      <c r="L43" s="1143"/>
      <c r="M43" s="1144"/>
      <c r="N43" s="1144"/>
      <c r="O43" s="1144"/>
      <c r="P43" s="3183" t="str">
        <f>A43</f>
        <v>估价对象XX用房的比较价值（楼面单价，元/平方米）</v>
      </c>
      <c r="Q43" s="3184"/>
      <c r="R43" s="3185" t="e">
        <f>IF(F1="售价",ROUND(AVERAGE(R42:V42),0),ROUND(AVERAGE(R42:V42),1))</f>
        <v>#DIV/0!</v>
      </c>
      <c r="S43" s="3185"/>
      <c r="T43" s="3185"/>
      <c r="U43" s="3185"/>
      <c r="V43" s="3185"/>
      <c r="W43" s="3185"/>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2672</v>
      </c>
      <c r="B51" s="759"/>
      <c r="C51" s="764"/>
      <c r="D51" s="764"/>
      <c r="E51" s="764"/>
      <c r="F51" s="765"/>
      <c r="G51" s="765"/>
      <c r="H51" s="764"/>
      <c r="I51" s="764"/>
      <c r="J51" s="764"/>
      <c r="K51" s="1160"/>
      <c r="L51" s="1161"/>
      <c r="M51" s="1159"/>
      <c r="N51" s="1159"/>
      <c r="O51" s="1159"/>
      <c r="P51" s="503"/>
      <c r="Q51" s="504"/>
    </row>
    <row r="52" spans="1:17" s="508" customFormat="1" ht="15">
      <c r="A52" s="505" t="s">
        <v>2546</v>
      </c>
      <c r="B52" s="506"/>
      <c r="C52" s="1574" t="str">
        <f>YEAR(C7)&amp;"-"&amp;MONTH(C7)</f>
        <v>2019-3</v>
      </c>
      <c r="D52" s="1575">
        <f>EDATE(C52,-1)</f>
        <v>43497</v>
      </c>
      <c r="E52" s="1575">
        <f t="shared" ref="E52:O52" si="16">EDATE(D52,-1)</f>
        <v>43466</v>
      </c>
      <c r="F52" s="1575">
        <f t="shared" si="16"/>
        <v>43435</v>
      </c>
      <c r="G52" s="1575">
        <f t="shared" si="16"/>
        <v>43405</v>
      </c>
      <c r="H52" s="1575">
        <f t="shared" si="16"/>
        <v>43374</v>
      </c>
      <c r="I52" s="1575">
        <f t="shared" si="16"/>
        <v>43344</v>
      </c>
      <c r="J52" s="1575">
        <f t="shared" si="16"/>
        <v>43313</v>
      </c>
      <c r="K52" s="1575">
        <f t="shared" si="16"/>
        <v>43282</v>
      </c>
      <c r="L52" s="1575">
        <f t="shared" si="16"/>
        <v>43252</v>
      </c>
      <c r="M52" s="1575">
        <f t="shared" si="16"/>
        <v>43221</v>
      </c>
      <c r="N52" s="1575">
        <f t="shared" si="16"/>
        <v>43191</v>
      </c>
      <c r="O52" s="1575">
        <f t="shared" si="16"/>
        <v>43160</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2586</v>
      </c>
      <c r="B57" s="528" t="s">
        <v>2552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2561</v>
      </c>
      <c r="B88" s="528" t="s">
        <v>2610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22"/>
      <c r="F1" s="2587"/>
      <c r="G1" s="1623" t="s">
        <v>2641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2328</v>
      </c>
      <c r="B2" s="1418" t="e">
        <f ca="1">IF(C2="——",IF(B37="元/平方米",ROUND(C39*D3/10000,0),ROUND(F3*C39/10000,0)),IF(B37="元/平方米",ROUND(C39*D3/10000,0),ROUND(F3*C39/10000,0))-D2)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2643</v>
      </c>
      <c r="B4" s="402"/>
      <c r="C4" s="3201" t="s">
        <v>2644</v>
      </c>
      <c r="D4" s="3202"/>
      <c r="E4" s="3203" t="s">
        <v>2645</v>
      </c>
      <c r="F4" s="3204"/>
      <c r="G4" s="3201" t="s">
        <v>2646</v>
      </c>
      <c r="H4" s="3202"/>
      <c r="I4" s="3201" t="s">
        <v>2647</v>
      </c>
      <c r="J4" s="3202"/>
      <c r="K4" s="610" t="s">
        <v>2648</v>
      </c>
      <c r="L4" s="1130"/>
      <c r="M4" s="1131"/>
      <c r="N4" s="1131"/>
      <c r="O4" s="1131"/>
      <c r="P4" s="3205" t="s">
        <v>2649</v>
      </c>
      <c r="Q4" s="3206"/>
      <c r="R4" s="3211" t="s">
        <v>2645</v>
      </c>
      <c r="S4" s="3212"/>
      <c r="T4" s="3211" t="s">
        <v>2646</v>
      </c>
      <c r="U4" s="3212"/>
      <c r="V4" s="3217" t="s">
        <v>2647</v>
      </c>
      <c r="W4" s="3217"/>
      <c r="X4" s="1813"/>
      <c r="Y4" s="3211" t="s">
        <v>2649</v>
      </c>
      <c r="Z4" s="3212"/>
      <c r="AA4" s="3198" t="s">
        <v>2645</v>
      </c>
      <c r="AB4" s="3199" t="s">
        <v>2646</v>
      </c>
      <c r="AC4" s="3198" t="s">
        <v>2647</v>
      </c>
    </row>
    <row r="5" spans="1:29" ht="15">
      <c r="A5" s="404"/>
      <c r="B5" s="405"/>
      <c r="C5" s="3220" t="s">
        <v>2540</v>
      </c>
      <c r="D5" s="3221"/>
      <c r="E5" s="3227" t="s">
        <v>2541</v>
      </c>
      <c r="F5" s="3228"/>
      <c r="G5" s="3220" t="s">
        <v>2542</v>
      </c>
      <c r="H5" s="3221"/>
      <c r="I5" s="3220" t="s">
        <v>2543</v>
      </c>
      <c r="J5" s="3221"/>
      <c r="K5" s="610"/>
      <c r="L5" s="1130"/>
      <c r="M5" s="1131"/>
      <c r="N5" s="1131"/>
      <c r="O5" s="1131"/>
      <c r="P5" s="3207"/>
      <c r="Q5" s="3208"/>
      <c r="R5" s="3213"/>
      <c r="S5" s="3214"/>
      <c r="T5" s="3213"/>
      <c r="U5" s="3214"/>
      <c r="V5" s="3217"/>
      <c r="W5" s="3217"/>
      <c r="X5" s="1813"/>
      <c r="Y5" s="3213"/>
      <c r="Z5" s="3214"/>
      <c r="AA5" s="3199"/>
      <c r="AB5" s="3199"/>
      <c r="AC5" s="3199"/>
    </row>
    <row r="6" spans="1:29" ht="15.75" thickBot="1">
      <c r="A6" s="406"/>
      <c r="B6" s="407"/>
      <c r="C6" s="3218" t="s">
        <v>2544</v>
      </c>
      <c r="D6" s="3219"/>
      <c r="E6" s="3225" t="s">
        <v>2544</v>
      </c>
      <c r="F6" s="3226"/>
      <c r="G6" s="3218" t="s">
        <v>2544</v>
      </c>
      <c r="H6" s="3219"/>
      <c r="I6" s="3218" t="s">
        <v>2544</v>
      </c>
      <c r="J6" s="3219"/>
      <c r="K6" s="610" t="s">
        <v>2545</v>
      </c>
      <c r="L6" s="1130"/>
      <c r="M6" s="1131"/>
      <c r="N6" s="1131"/>
      <c r="O6" s="1131"/>
      <c r="P6" s="3209"/>
      <c r="Q6" s="3210"/>
      <c r="R6" s="3213"/>
      <c r="S6" s="3214"/>
      <c r="T6" s="3215"/>
      <c r="U6" s="3216"/>
      <c r="V6" s="3217"/>
      <c r="W6" s="3217"/>
      <c r="X6" s="1813"/>
      <c r="Y6" s="3215"/>
      <c r="Z6" s="3216"/>
      <c r="AA6" s="3200"/>
      <c r="AB6" s="3200"/>
      <c r="AC6" s="3200"/>
    </row>
    <row r="7" spans="1:29" s="117" customFormat="1" ht="15.75" thickBot="1">
      <c r="A7" s="408" t="s">
        <v>2546</v>
      </c>
      <c r="B7" s="409"/>
      <c r="C7" s="410">
        <f>'数据-取费表'!B2</f>
        <v>43538</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2" t="s">
        <v>2547</v>
      </c>
      <c r="Q7" s="3224"/>
      <c r="R7" s="770" t="s">
        <v>17</v>
      </c>
      <c r="S7" s="771">
        <f t="shared" ref="S7:S14" si="0">F7</f>
        <v>0</v>
      </c>
      <c r="T7" s="770" t="s">
        <v>17</v>
      </c>
      <c r="U7" s="771">
        <f t="shared" ref="U7:U14" si="1">H7</f>
        <v>0</v>
      </c>
      <c r="V7" s="770" t="s">
        <v>17</v>
      </c>
      <c r="W7" s="771">
        <f t="shared" ref="W7:W14" si="2">J7</f>
        <v>0</v>
      </c>
      <c r="X7" s="772"/>
      <c r="Y7" s="3222" t="s">
        <v>2547</v>
      </c>
      <c r="Z7" s="3223"/>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2" t="s">
        <v>2550</v>
      </c>
      <c r="Q8" s="3223"/>
      <c r="R8" s="770" t="s">
        <v>17</v>
      </c>
      <c r="S8" s="771">
        <f t="shared" si="0"/>
        <v>0</v>
      </c>
      <c r="T8" s="770" t="s">
        <v>17</v>
      </c>
      <c r="U8" s="771">
        <f t="shared" si="1"/>
        <v>0</v>
      </c>
      <c r="V8" s="770" t="s">
        <v>17</v>
      </c>
      <c r="W8" s="771">
        <f t="shared" si="2"/>
        <v>0</v>
      </c>
      <c r="X8" s="772"/>
      <c r="Y8" s="3222" t="s">
        <v>2550</v>
      </c>
      <c r="Z8" s="3223"/>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86" t="s">
        <v>2553</v>
      </c>
      <c r="Q9" s="1795" t="str">
        <f t="shared" ref="Q9:Q14" si="6">B9</f>
        <v>用途</v>
      </c>
      <c r="R9" s="770" t="s">
        <v>17</v>
      </c>
      <c r="S9" s="771">
        <f t="shared" si="0"/>
        <v>100</v>
      </c>
      <c r="T9" s="770" t="s">
        <v>17</v>
      </c>
      <c r="U9" s="771">
        <f t="shared" si="1"/>
        <v>100</v>
      </c>
      <c r="V9" s="770" t="s">
        <v>17</v>
      </c>
      <c r="W9" s="771">
        <f t="shared" si="2"/>
        <v>100</v>
      </c>
      <c r="X9" s="772"/>
      <c r="Y9" s="3011"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86"/>
      <c r="Q10" s="1795" t="str">
        <f t="shared" si="6"/>
        <v>土地使用年限（年）</v>
      </c>
      <c r="R10" s="770" t="s">
        <v>17</v>
      </c>
      <c r="S10" s="771">
        <f t="shared" si="0"/>
        <v>100</v>
      </c>
      <c r="T10" s="770" t="s">
        <v>17</v>
      </c>
      <c r="U10" s="771">
        <f t="shared" si="1"/>
        <v>100</v>
      </c>
      <c r="V10" s="770" t="s">
        <v>17</v>
      </c>
      <c r="W10" s="771">
        <f t="shared" si="2"/>
        <v>100</v>
      </c>
      <c r="X10" s="772"/>
      <c r="Y10" s="301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86"/>
      <c r="Q11" s="1795">
        <f t="shared" si="6"/>
        <v>111</v>
      </c>
      <c r="R11" s="770" t="s">
        <v>17</v>
      </c>
      <c r="S11" s="771">
        <f t="shared" si="0"/>
        <v>100</v>
      </c>
      <c r="T11" s="770" t="s">
        <v>17</v>
      </c>
      <c r="U11" s="771">
        <f t="shared" si="1"/>
        <v>100</v>
      </c>
      <c r="V11" s="770" t="s">
        <v>17</v>
      </c>
      <c r="W11" s="771">
        <f t="shared" si="2"/>
        <v>100</v>
      </c>
      <c r="X11" s="772"/>
      <c r="Y11" s="301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86"/>
      <c r="Q12" s="1795">
        <f t="shared" si="6"/>
        <v>111</v>
      </c>
      <c r="R12" s="770" t="s">
        <v>17</v>
      </c>
      <c r="S12" s="771">
        <f t="shared" si="0"/>
        <v>100</v>
      </c>
      <c r="T12" s="770" t="s">
        <v>17</v>
      </c>
      <c r="U12" s="771">
        <f t="shared" si="1"/>
        <v>100</v>
      </c>
      <c r="V12" s="770" t="s">
        <v>17</v>
      </c>
      <c r="W12" s="771">
        <f t="shared" si="2"/>
        <v>100</v>
      </c>
      <c r="X12" s="772"/>
      <c r="Y12" s="301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86"/>
      <c r="Q13" s="1795">
        <f t="shared" si="6"/>
        <v>111</v>
      </c>
      <c r="R13" s="770" t="s">
        <v>17</v>
      </c>
      <c r="S13" s="771">
        <f t="shared" si="0"/>
        <v>100</v>
      </c>
      <c r="T13" s="770" t="s">
        <v>17</v>
      </c>
      <c r="U13" s="771">
        <f t="shared" si="1"/>
        <v>100</v>
      </c>
      <c r="V13" s="770" t="s">
        <v>17</v>
      </c>
      <c r="W13" s="771">
        <f t="shared" si="2"/>
        <v>100</v>
      </c>
      <c r="X13" s="772"/>
      <c r="Y13" s="3011"/>
      <c r="Z13" s="55">
        <f t="shared" si="7"/>
        <v>111</v>
      </c>
      <c r="AA13" s="773">
        <f t="shared" si="3"/>
        <v>1</v>
      </c>
      <c r="AB13" s="773">
        <f t="shared" si="4"/>
        <v>1</v>
      </c>
      <c r="AC13" s="773">
        <f t="shared" si="5"/>
        <v>1</v>
      </c>
    </row>
    <row r="14" spans="1:29" ht="85.5">
      <c r="A14" s="401" t="s">
        <v>2557</v>
      </c>
      <c r="B14" s="629" t="s">
        <v>2707</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88" t="s">
        <v>2558</v>
      </c>
      <c r="Q14" s="1810" t="str">
        <f t="shared" si="6"/>
        <v>交通便捷度</v>
      </c>
      <c r="R14" s="774" t="s">
        <v>17</v>
      </c>
      <c r="S14" s="775">
        <f t="shared" si="0"/>
        <v>100</v>
      </c>
      <c r="T14" s="774" t="s">
        <v>17</v>
      </c>
      <c r="U14" s="775">
        <f t="shared" si="1"/>
        <v>100</v>
      </c>
      <c r="V14" s="774" t="s">
        <v>17</v>
      </c>
      <c r="W14" s="775">
        <f t="shared" si="2"/>
        <v>100</v>
      </c>
      <c r="X14" s="1813"/>
      <c r="Y14" s="3188" t="s">
        <v>2558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89"/>
      <c r="Q15" s="1810"/>
      <c r="R15" s="774"/>
      <c r="S15" s="775"/>
      <c r="T15" s="774"/>
      <c r="U15" s="775"/>
      <c r="V15" s="774"/>
      <c r="W15" s="775"/>
      <c r="X15" s="1813"/>
      <c r="Y15" s="3189"/>
      <c r="Z15" s="1814"/>
      <c r="AA15" s="1811">
        <v>1</v>
      </c>
      <c r="AB15" s="1811">
        <v>1</v>
      </c>
      <c r="AC15" s="1811">
        <v>1</v>
      </c>
    </row>
    <row r="16" spans="1:29" ht="42.75">
      <c r="A16" s="404"/>
      <c r="B16" s="631" t="s">
        <v>2686</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89"/>
      <c r="Q16" s="1810" t="str">
        <f>B16</f>
        <v>公共配套设施</v>
      </c>
      <c r="R16" s="774" t="s">
        <v>17</v>
      </c>
      <c r="S16" s="775">
        <f>F16</f>
        <v>100</v>
      </c>
      <c r="T16" s="774" t="s">
        <v>17</v>
      </c>
      <c r="U16" s="775">
        <f>H16</f>
        <v>100</v>
      </c>
      <c r="V16" s="774" t="s">
        <v>17</v>
      </c>
      <c r="W16" s="775">
        <f>J16</f>
        <v>100</v>
      </c>
      <c r="X16" s="1813"/>
      <c r="Y16" s="3189"/>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189"/>
      <c r="Q17" s="1810"/>
      <c r="R17" s="774"/>
      <c r="S17" s="775"/>
      <c r="T17" s="774"/>
      <c r="U17" s="775"/>
      <c r="V17" s="774"/>
      <c r="W17" s="775"/>
      <c r="X17" s="1813"/>
      <c r="Y17" s="3189"/>
      <c r="Z17" s="1814"/>
      <c r="AA17" s="1811">
        <v>1</v>
      </c>
      <c r="AB17" s="1811">
        <v>1</v>
      </c>
      <c r="AC17" s="1811">
        <v>1</v>
      </c>
    </row>
    <row r="18" spans="1:29" ht="28.5">
      <c r="A18" s="404"/>
      <c r="B18" s="633" t="s">
        <v>2687</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89"/>
      <c r="Q18" s="1810" t="str">
        <f>B18</f>
        <v>基础设施水平</v>
      </c>
      <c r="R18" s="774" t="s">
        <v>17</v>
      </c>
      <c r="S18" s="775">
        <f>F18</f>
        <v>100</v>
      </c>
      <c r="T18" s="774" t="s">
        <v>17</v>
      </c>
      <c r="U18" s="775">
        <f>H18</f>
        <v>100</v>
      </c>
      <c r="V18" s="774" t="s">
        <v>17</v>
      </c>
      <c r="W18" s="775">
        <f>J18</f>
        <v>100</v>
      </c>
      <c r="X18" s="1813"/>
      <c r="Y18" s="3189"/>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189"/>
      <c r="Q19" s="1810"/>
      <c r="R19" s="774"/>
      <c r="S19" s="775"/>
      <c r="T19" s="774"/>
      <c r="U19" s="775"/>
      <c r="V19" s="774"/>
      <c r="W19" s="775"/>
      <c r="X19" s="1813"/>
      <c r="Y19" s="3189"/>
      <c r="Z19" s="1814"/>
      <c r="AA19" s="1811">
        <v>1</v>
      </c>
      <c r="AB19" s="1811">
        <v>1</v>
      </c>
      <c r="AC19" s="1811">
        <v>1</v>
      </c>
    </row>
    <row r="20" spans="1:29" ht="57">
      <c r="A20" s="404"/>
      <c r="B20" s="631" t="s">
        <v>2708</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89"/>
      <c r="Q20" s="1810" t="str">
        <f>B20</f>
        <v>自然及人文环境</v>
      </c>
      <c r="R20" s="774" t="s">
        <v>17</v>
      </c>
      <c r="S20" s="775">
        <f>F20</f>
        <v>100</v>
      </c>
      <c r="T20" s="774" t="s">
        <v>17</v>
      </c>
      <c r="U20" s="775">
        <f>H20</f>
        <v>100</v>
      </c>
      <c r="V20" s="774" t="s">
        <v>17</v>
      </c>
      <c r="W20" s="775">
        <f>J20</f>
        <v>100</v>
      </c>
      <c r="X20" s="1813"/>
      <c r="Y20" s="3189"/>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89"/>
      <c r="Q21" s="1810"/>
      <c r="R21" s="774"/>
      <c r="S21" s="775"/>
      <c r="T21" s="774"/>
      <c r="U21" s="775"/>
      <c r="V21" s="774"/>
      <c r="W21" s="775"/>
      <c r="X21" s="1813"/>
      <c r="Y21" s="3189"/>
      <c r="Z21" s="1814"/>
      <c r="AA21" s="1811">
        <v>1</v>
      </c>
      <c r="AB21" s="1811">
        <v>1</v>
      </c>
      <c r="AC21" s="1811">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89"/>
      <c r="Q22" s="1810" t="str">
        <f>B22</f>
        <v>楼层</v>
      </c>
      <c r="R22" s="774" t="s">
        <v>17</v>
      </c>
      <c r="S22" s="775">
        <f>F22</f>
        <v>100</v>
      </c>
      <c r="T22" s="774" t="s">
        <v>17</v>
      </c>
      <c r="U22" s="775">
        <f>H22</f>
        <v>100</v>
      </c>
      <c r="V22" s="774" t="s">
        <v>17</v>
      </c>
      <c r="W22" s="775">
        <f>J22</f>
        <v>100</v>
      </c>
      <c r="X22" s="1813"/>
      <c r="Y22" s="3189"/>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89"/>
      <c r="Q23" s="1810">
        <f>B23</f>
        <v>111</v>
      </c>
      <c r="R23" s="774" t="s">
        <v>17</v>
      </c>
      <c r="S23" s="775">
        <f>F23</f>
        <v>100</v>
      </c>
      <c r="T23" s="774" t="s">
        <v>17</v>
      </c>
      <c r="U23" s="775">
        <f>H23</f>
        <v>100</v>
      </c>
      <c r="V23" s="774" t="s">
        <v>17</v>
      </c>
      <c r="W23" s="775">
        <f>J23</f>
        <v>100</v>
      </c>
      <c r="X23" s="1813"/>
      <c r="Y23" s="3189"/>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89"/>
      <c r="Q24" s="1810">
        <f t="shared" ref="Q24:Q36" si="11">B24</f>
        <v>111</v>
      </c>
      <c r="R24" s="774" t="s">
        <v>17</v>
      </c>
      <c r="S24" s="775">
        <f>F24</f>
        <v>100</v>
      </c>
      <c r="T24" s="774" t="s">
        <v>17</v>
      </c>
      <c r="U24" s="775">
        <f>H24</f>
        <v>100</v>
      </c>
      <c r="V24" s="774" t="s">
        <v>17</v>
      </c>
      <c r="W24" s="775">
        <f>J24</f>
        <v>100</v>
      </c>
      <c r="X24" s="1813"/>
      <c r="Y24" s="3189"/>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89"/>
      <c r="Q25" s="1795">
        <f t="shared" si="11"/>
        <v>111</v>
      </c>
      <c r="R25" s="770" t="s">
        <v>17</v>
      </c>
      <c r="S25" s="771">
        <f>F25</f>
        <v>100</v>
      </c>
      <c r="T25" s="770" t="s">
        <v>17</v>
      </c>
      <c r="U25" s="771">
        <f>H25</f>
        <v>100</v>
      </c>
      <c r="V25" s="770" t="s">
        <v>17</v>
      </c>
      <c r="W25" s="771">
        <f>J25</f>
        <v>100</v>
      </c>
      <c r="X25" s="772"/>
      <c r="Y25" s="3189"/>
      <c r="Z25" s="55">
        <f>Q25</f>
        <v>111</v>
      </c>
      <c r="AA25" s="1811">
        <f>D25/F25</f>
        <v>1</v>
      </c>
      <c r="AB25" s="1811">
        <f>D25/H25</f>
        <v>1</v>
      </c>
      <c r="AC25" s="1811">
        <f>D25/J25</f>
        <v>1</v>
      </c>
    </row>
    <row r="26" spans="1:29" ht="28.5">
      <c r="A26" s="652" t="s">
        <v>2561</v>
      </c>
      <c r="B26" s="70" t="s">
        <v>2710</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44" t="s">
        <v>2563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93" t="s">
        <v>2563</v>
      </c>
      <c r="Z26" s="1814" t="str">
        <f t="shared" ref="Z26:Z36" si="15">Q26</f>
        <v>配套类型</v>
      </c>
      <c r="AA26" s="1811">
        <f t="shared" si="3"/>
        <v>1</v>
      </c>
      <c r="AB26" s="1811">
        <f t="shared" si="4"/>
        <v>1</v>
      </c>
      <c r="AC26" s="1811">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93"/>
      <c r="Q27" s="776" t="str">
        <f t="shared" si="11"/>
        <v>项目停车位配比</v>
      </c>
      <c r="R27" s="777" t="s">
        <v>17</v>
      </c>
      <c r="S27" s="778">
        <f t="shared" si="12"/>
        <v>100</v>
      </c>
      <c r="T27" s="777" t="s">
        <v>17</v>
      </c>
      <c r="U27" s="778">
        <f t="shared" si="13"/>
        <v>100</v>
      </c>
      <c r="V27" s="777" t="s">
        <v>17</v>
      </c>
      <c r="W27" s="778">
        <f t="shared" si="14"/>
        <v>100</v>
      </c>
      <c r="X27" s="779"/>
      <c r="Y27" s="3193"/>
      <c r="Z27" s="780" t="str">
        <f t="shared" si="15"/>
        <v>项目停车位配比</v>
      </c>
      <c r="AA27" s="1811">
        <f t="shared" si="3"/>
        <v>1</v>
      </c>
      <c r="AB27" s="1811">
        <f t="shared" si="4"/>
        <v>1</v>
      </c>
      <c r="AC27" s="1811">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93"/>
      <c r="Q28" s="1810" t="str">
        <f t="shared" si="11"/>
        <v>公共部分装修</v>
      </c>
      <c r="R28" s="774" t="s">
        <v>17</v>
      </c>
      <c r="S28" s="775">
        <f t="shared" si="12"/>
        <v>100</v>
      </c>
      <c r="T28" s="774" t="s">
        <v>17</v>
      </c>
      <c r="U28" s="775">
        <f t="shared" si="13"/>
        <v>100</v>
      </c>
      <c r="V28" s="774" t="s">
        <v>17</v>
      </c>
      <c r="W28" s="775">
        <f t="shared" si="14"/>
        <v>100</v>
      </c>
      <c r="X28" s="1813"/>
      <c r="Y28" s="3193"/>
      <c r="Z28" s="1814" t="str">
        <f t="shared" si="15"/>
        <v>公共部分装修</v>
      </c>
      <c r="AA28" s="1811">
        <f t="shared" si="3"/>
        <v>1</v>
      </c>
      <c r="AB28" s="1811">
        <f t="shared" si="4"/>
        <v>1</v>
      </c>
      <c r="AC28" s="1811">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93"/>
      <c r="Q29" s="1810" t="str">
        <f t="shared" si="11"/>
        <v>成新率</v>
      </c>
      <c r="R29" s="774" t="s">
        <v>17</v>
      </c>
      <c r="S29" s="775" t="e">
        <f t="shared" si="12"/>
        <v>#N/A</v>
      </c>
      <c r="T29" s="774" t="s">
        <v>17</v>
      </c>
      <c r="U29" s="775" t="e">
        <f t="shared" si="13"/>
        <v>#N/A</v>
      </c>
      <c r="V29" s="774" t="s">
        <v>17</v>
      </c>
      <c r="W29" s="775" t="e">
        <f t="shared" si="14"/>
        <v>#N/A</v>
      </c>
      <c r="X29" s="1813"/>
      <c r="Y29" s="3193"/>
      <c r="Z29" s="1814" t="str">
        <f t="shared" si="15"/>
        <v>成新率</v>
      </c>
      <c r="AA29" s="1811" t="e">
        <f t="shared" si="3"/>
        <v>#N/A</v>
      </c>
      <c r="AB29" s="1811" t="e">
        <f t="shared" si="4"/>
        <v>#N/A</v>
      </c>
      <c r="AC29" s="1811"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93"/>
      <c r="Q30" s="1810" t="str">
        <f t="shared" si="11"/>
        <v>物业等级</v>
      </c>
      <c r="R30" s="774" t="s">
        <v>17</v>
      </c>
      <c r="S30" s="775">
        <f t="shared" si="12"/>
        <v>100</v>
      </c>
      <c r="T30" s="774" t="s">
        <v>17</v>
      </c>
      <c r="U30" s="775">
        <f t="shared" si="13"/>
        <v>100</v>
      </c>
      <c r="V30" s="774" t="s">
        <v>17</v>
      </c>
      <c r="W30" s="775">
        <f t="shared" si="14"/>
        <v>100</v>
      </c>
      <c r="X30" s="1813"/>
      <c r="Y30" s="3193"/>
      <c r="Z30" s="1814" t="str">
        <f t="shared" si="15"/>
        <v>物业等级</v>
      </c>
      <c r="AA30" s="1811">
        <f t="shared" si="3"/>
        <v>1</v>
      </c>
      <c r="AB30" s="1811">
        <f t="shared" si="4"/>
        <v>1</v>
      </c>
      <c r="AC30" s="1811">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93"/>
      <c r="Q31" s="1795" t="str">
        <f t="shared" si="11"/>
        <v>停车位面积</v>
      </c>
      <c r="R31" s="770" t="s">
        <v>17</v>
      </c>
      <c r="S31" s="771" t="e">
        <f t="shared" si="12"/>
        <v>#N/A</v>
      </c>
      <c r="T31" s="770" t="s">
        <v>17</v>
      </c>
      <c r="U31" s="771" t="e">
        <f t="shared" si="13"/>
        <v>#N/A</v>
      </c>
      <c r="V31" s="770" t="s">
        <v>17</v>
      </c>
      <c r="W31" s="771" t="e">
        <f t="shared" si="14"/>
        <v>#N/A</v>
      </c>
      <c r="X31" s="772"/>
      <c r="Y31" s="3193"/>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93" t="s">
        <v>2563</v>
      </c>
      <c r="Q32" s="1810" t="str">
        <f t="shared" si="11"/>
        <v>车位类型</v>
      </c>
      <c r="R32" s="774" t="s">
        <v>17</v>
      </c>
      <c r="S32" s="775">
        <f t="shared" si="12"/>
        <v>100</v>
      </c>
      <c r="T32" s="774" t="s">
        <v>17</v>
      </c>
      <c r="U32" s="775">
        <f t="shared" si="13"/>
        <v>100</v>
      </c>
      <c r="V32" s="774" t="s">
        <v>17</v>
      </c>
      <c r="W32" s="775">
        <f t="shared" si="14"/>
        <v>100</v>
      </c>
      <c r="X32" s="1813"/>
      <c r="Y32" s="3193" t="s">
        <v>2563</v>
      </c>
      <c r="Z32" s="1814" t="str">
        <f t="shared" si="15"/>
        <v>车位类型</v>
      </c>
      <c r="AA32" s="1811">
        <f t="shared" si="3"/>
        <v>1</v>
      </c>
      <c r="AB32" s="1811">
        <f t="shared" si="4"/>
        <v>1</v>
      </c>
      <c r="AC32" s="1811">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93"/>
      <c r="Q33" s="1810" t="str">
        <f t="shared" si="11"/>
        <v>是否直接入户</v>
      </c>
      <c r="R33" s="774" t="s">
        <v>17</v>
      </c>
      <c r="S33" s="775">
        <f t="shared" si="12"/>
        <v>100</v>
      </c>
      <c r="T33" s="774" t="s">
        <v>17</v>
      </c>
      <c r="U33" s="775">
        <f t="shared" si="13"/>
        <v>100</v>
      </c>
      <c r="V33" s="774" t="s">
        <v>17</v>
      </c>
      <c r="W33" s="775">
        <f t="shared" si="14"/>
        <v>100</v>
      </c>
      <c r="X33" s="1813"/>
      <c r="Y33" s="3193"/>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93"/>
      <c r="Q34" s="1810">
        <f t="shared" si="11"/>
        <v>111</v>
      </c>
      <c r="R34" s="774" t="s">
        <v>17</v>
      </c>
      <c r="S34" s="775">
        <f t="shared" si="12"/>
        <v>100</v>
      </c>
      <c r="T34" s="774" t="s">
        <v>17</v>
      </c>
      <c r="U34" s="775">
        <f t="shared" si="13"/>
        <v>100</v>
      </c>
      <c r="V34" s="774" t="s">
        <v>17</v>
      </c>
      <c r="W34" s="775">
        <f t="shared" si="14"/>
        <v>100</v>
      </c>
      <c r="X34" s="1813"/>
      <c r="Y34" s="3193"/>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93"/>
      <c r="Q35" s="776">
        <f t="shared" si="11"/>
        <v>111</v>
      </c>
      <c r="R35" s="777" t="s">
        <v>17</v>
      </c>
      <c r="S35" s="778">
        <f t="shared" si="12"/>
        <v>100</v>
      </c>
      <c r="T35" s="777" t="s">
        <v>17</v>
      </c>
      <c r="U35" s="778">
        <f t="shared" si="13"/>
        <v>100</v>
      </c>
      <c r="V35" s="777" t="s">
        <v>17</v>
      </c>
      <c r="W35" s="778">
        <f t="shared" si="14"/>
        <v>100</v>
      </c>
      <c r="X35" s="779"/>
      <c r="Y35" s="3193"/>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93"/>
      <c r="Q36" s="1810">
        <f t="shared" si="11"/>
        <v>111</v>
      </c>
      <c r="R36" s="774" t="s">
        <v>17</v>
      </c>
      <c r="S36" s="775">
        <f t="shared" si="12"/>
        <v>100</v>
      </c>
      <c r="T36" s="774" t="s">
        <v>17</v>
      </c>
      <c r="U36" s="775">
        <f t="shared" si="13"/>
        <v>100</v>
      </c>
      <c r="V36" s="774" t="s">
        <v>17</v>
      </c>
      <c r="W36" s="775">
        <f t="shared" si="14"/>
        <v>100</v>
      </c>
      <c r="X36" s="1813"/>
      <c r="Y36" s="3193"/>
      <c r="Z36" s="1814">
        <f t="shared" si="15"/>
        <v>111</v>
      </c>
      <c r="AA36" s="1811">
        <f t="shared" si="3"/>
        <v>1</v>
      </c>
      <c r="AB36" s="1811">
        <f t="shared" si="4"/>
        <v>1</v>
      </c>
      <c r="AC36" s="1811">
        <f t="shared" si="5"/>
        <v>1</v>
      </c>
    </row>
    <row r="37" spans="1:29" ht="15">
      <c r="A37" s="479" t="s">
        <v>2718</v>
      </c>
      <c r="B37" s="2698" t="s">
        <v>2719</v>
      </c>
      <c r="C37" s="1407" t="s">
        <v>1</v>
      </c>
      <c r="D37" s="1408"/>
      <c r="E37" s="1409"/>
      <c r="F37" s="1410"/>
      <c r="G37" s="1411"/>
      <c r="H37" s="1412"/>
      <c r="I37" s="1409"/>
      <c r="J37" s="1412"/>
      <c r="K37" s="619"/>
      <c r="L37" s="1143"/>
      <c r="M37" s="1144"/>
      <c r="N37" s="1131"/>
      <c r="O37" s="1144"/>
      <c r="P37" s="3186" t="str">
        <f>A37</f>
        <v>成交单价</v>
      </c>
      <c r="Q37" s="3186"/>
      <c r="R37" s="3187">
        <f>E37</f>
        <v>0</v>
      </c>
      <c r="S37" s="3187"/>
      <c r="T37" s="3187">
        <f>G37</f>
        <v>0</v>
      </c>
      <c r="U37" s="3187"/>
      <c r="V37" s="3187">
        <f>I37</f>
        <v>0</v>
      </c>
      <c r="W37" s="3187"/>
      <c r="X37" s="759"/>
      <c r="Y37" s="781"/>
      <c r="Z37" s="759"/>
      <c r="AA37" s="759"/>
      <c r="AB37" s="759"/>
      <c r="AC37" s="759"/>
    </row>
    <row r="38" spans="1:29" ht="15.7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86" t="str">
        <f>A38</f>
        <v>比较价值（元/平方米）</v>
      </c>
      <c r="Q38" s="3186"/>
      <c r="R38" s="3187" t="e">
        <f>IF(F1="售价",ROUND(PRODUCT(R37,AA7:AA36),0),ROUND(PRODUCT(R37,AA7:AA36),1))</f>
        <v>#DIV/0!</v>
      </c>
      <c r="S38" s="3187"/>
      <c r="T38" s="3187" t="e">
        <f>IF(F1="售价",ROUND(PRODUCT(T37,AB7:AB36),0),ROUND(PRODUCT(T37,AB7:AB36),1))</f>
        <v>#DIV/0!</v>
      </c>
      <c r="U38" s="3187"/>
      <c r="V38" s="3187" t="e">
        <f>IF(F1="售价",ROUND(PRODUCT(V37,AC7:AC36),0),ROUND(PRODUCT(V37,AC7:AC36),1))</f>
        <v>#DIV/0!</v>
      </c>
      <c r="W38" s="3187"/>
      <c r="X38" s="759"/>
      <c r="Y38" s="759"/>
      <c r="Z38" s="759"/>
      <c r="AA38" s="759"/>
      <c r="AB38" s="759"/>
      <c r="AC38" s="759"/>
    </row>
    <row r="39" spans="1:29" ht="15.75" thickBot="1">
      <c r="A39" s="492" t="s">
        <v>2721</v>
      </c>
      <c r="B39" s="493"/>
      <c r="C39" s="1417" t="e">
        <f>R39</f>
        <v>#DIV/0!</v>
      </c>
      <c r="D39" s="1417"/>
      <c r="E39" s="1417"/>
      <c r="F39" s="1417"/>
      <c r="G39" s="1417"/>
      <c r="H39" s="1417"/>
      <c r="I39" s="1417"/>
      <c r="J39" s="1417"/>
      <c r="K39" s="621"/>
      <c r="L39" s="1143"/>
      <c r="M39" s="1144"/>
      <c r="N39" s="1144"/>
      <c r="O39" s="1144"/>
      <c r="P39" s="3183" t="str">
        <f>A39</f>
        <v>估价对象XX用房的比较价值（楼面单价，元/平方米）</v>
      </c>
      <c r="Q39" s="3184"/>
      <c r="R39" s="3185" t="e">
        <f>IF(F1="售价",ROUND(AVERAGE(R38:V38),0),ROUND(AVERAGE(R38:V38),1))</f>
        <v>#DIV/0!</v>
      </c>
      <c r="S39" s="3185"/>
      <c r="T39" s="3185"/>
      <c r="U39" s="3185"/>
      <c r="V39" s="3185"/>
      <c r="W39" s="3185"/>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2726</v>
      </c>
      <c r="B48" s="506"/>
      <c r="C48" s="1574" t="str">
        <f>YEAR(C7)&amp;"-"&amp;MONTH(C7)</f>
        <v>2019-3</v>
      </c>
      <c r="D48" s="1575">
        <f>EDATE(C48,-1)</f>
        <v>43497</v>
      </c>
      <c r="E48" s="1575">
        <f t="shared" ref="E48:O48" si="16">EDATE(D48,-1)</f>
        <v>43466</v>
      </c>
      <c r="F48" s="1575">
        <f t="shared" si="16"/>
        <v>43435</v>
      </c>
      <c r="G48" s="1575">
        <f t="shared" si="16"/>
        <v>43405</v>
      </c>
      <c r="H48" s="1575">
        <f t="shared" si="16"/>
        <v>43374</v>
      </c>
      <c r="I48" s="1575">
        <f t="shared" si="16"/>
        <v>43344</v>
      </c>
      <c r="J48" s="1575">
        <f t="shared" si="16"/>
        <v>43313</v>
      </c>
      <c r="K48" s="1575">
        <f t="shared" si="16"/>
        <v>43282</v>
      </c>
      <c r="L48" s="1575">
        <f t="shared" si="16"/>
        <v>43252</v>
      </c>
      <c r="M48" s="1575">
        <f t="shared" si="16"/>
        <v>43221</v>
      </c>
      <c r="N48" s="1575">
        <f t="shared" si="16"/>
        <v>43191</v>
      </c>
      <c r="O48" s="1575">
        <f t="shared" si="16"/>
        <v>43160</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30"/>
      <c r="F1" s="2587"/>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IF(C2="——",ROUND(C37*D3/10000,0),ROUND(C37*D3/10000,0)-D2)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1" t="s">
        <v>2644</v>
      </c>
      <c r="D4" s="3202"/>
      <c r="E4" s="3203" t="s">
        <v>2645</v>
      </c>
      <c r="F4" s="3204"/>
      <c r="G4" s="3201" t="s">
        <v>2646</v>
      </c>
      <c r="H4" s="3202"/>
      <c r="I4" s="3201" t="s">
        <v>2647</v>
      </c>
      <c r="J4" s="3202"/>
      <c r="K4" s="610" t="s">
        <v>2648</v>
      </c>
      <c r="L4" s="1130"/>
      <c r="M4" s="1131"/>
      <c r="N4" s="1131"/>
      <c r="O4" s="1131"/>
      <c r="P4" s="3205" t="s">
        <v>2649</v>
      </c>
      <c r="Q4" s="3206"/>
      <c r="R4" s="3211" t="s">
        <v>2645</v>
      </c>
      <c r="S4" s="3212"/>
      <c r="T4" s="3211" t="s">
        <v>2646</v>
      </c>
      <c r="U4" s="3212"/>
      <c r="V4" s="3217" t="s">
        <v>2647</v>
      </c>
      <c r="W4" s="3217"/>
      <c r="X4" s="1813"/>
      <c r="Y4" s="3211" t="s">
        <v>2649</v>
      </c>
      <c r="Z4" s="3212"/>
      <c r="AA4" s="3198" t="s">
        <v>2645</v>
      </c>
      <c r="AB4" s="3199" t="s">
        <v>2646</v>
      </c>
      <c r="AC4" s="3198" t="s">
        <v>2647</v>
      </c>
    </row>
    <row r="5" spans="1:29" ht="15">
      <c r="A5" s="404"/>
      <c r="B5" s="405"/>
      <c r="C5" s="3220" t="s">
        <v>2540</v>
      </c>
      <c r="D5" s="3221"/>
      <c r="E5" s="3227" t="s">
        <v>2541</v>
      </c>
      <c r="F5" s="3228"/>
      <c r="G5" s="3220" t="s">
        <v>2542</v>
      </c>
      <c r="H5" s="3221"/>
      <c r="I5" s="3220" t="s">
        <v>2543</v>
      </c>
      <c r="J5" s="3221"/>
      <c r="K5" s="610"/>
      <c r="L5" s="1130"/>
      <c r="M5" s="1131"/>
      <c r="N5" s="1131"/>
      <c r="O5" s="1131"/>
      <c r="P5" s="3207"/>
      <c r="Q5" s="3208"/>
      <c r="R5" s="3213"/>
      <c r="S5" s="3214"/>
      <c r="T5" s="3213"/>
      <c r="U5" s="3214"/>
      <c r="V5" s="3217"/>
      <c r="W5" s="3217"/>
      <c r="X5" s="1813"/>
      <c r="Y5" s="3213"/>
      <c r="Z5" s="3214"/>
      <c r="AA5" s="3199"/>
      <c r="AB5" s="3199"/>
      <c r="AC5" s="3199"/>
    </row>
    <row r="6" spans="1:29" ht="15.75" thickBot="1">
      <c r="A6" s="406"/>
      <c r="B6" s="407"/>
      <c r="C6" s="3218" t="s">
        <v>2544</v>
      </c>
      <c r="D6" s="3219"/>
      <c r="E6" s="3225" t="s">
        <v>2544</v>
      </c>
      <c r="F6" s="3226"/>
      <c r="G6" s="3218" t="s">
        <v>2544</v>
      </c>
      <c r="H6" s="3219"/>
      <c r="I6" s="3218" t="s">
        <v>2544</v>
      </c>
      <c r="J6" s="3219"/>
      <c r="K6" s="610" t="s">
        <v>2545</v>
      </c>
      <c r="L6" s="1130"/>
      <c r="M6" s="1131"/>
      <c r="N6" s="1131"/>
      <c r="O6" s="1131"/>
      <c r="P6" s="3209"/>
      <c r="Q6" s="3210"/>
      <c r="R6" s="3213"/>
      <c r="S6" s="3214"/>
      <c r="T6" s="3215"/>
      <c r="U6" s="3216"/>
      <c r="V6" s="3217"/>
      <c r="W6" s="3217"/>
      <c r="X6" s="1813"/>
      <c r="Y6" s="3215"/>
      <c r="Z6" s="3216"/>
      <c r="AA6" s="3200"/>
      <c r="AB6" s="3200"/>
      <c r="AC6" s="3200"/>
    </row>
    <row r="7" spans="1:29" s="117" customFormat="1" ht="15.75" thickBot="1">
      <c r="A7" s="408" t="s">
        <v>2546</v>
      </c>
      <c r="B7" s="409"/>
      <c r="C7" s="410">
        <f>'数据-取费表'!B2</f>
        <v>43538</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222" t="s">
        <v>2547</v>
      </c>
      <c r="Q7" s="3224"/>
      <c r="R7" s="770" t="s">
        <v>17</v>
      </c>
      <c r="S7" s="771">
        <f t="shared" ref="S7:S14" si="0">F7</f>
        <v>0</v>
      </c>
      <c r="T7" s="770" t="s">
        <v>17</v>
      </c>
      <c r="U7" s="771">
        <f t="shared" ref="U7:U14" si="1">H7</f>
        <v>0</v>
      </c>
      <c r="V7" s="770" t="s">
        <v>17</v>
      </c>
      <c r="W7" s="771">
        <f t="shared" ref="W7:W14" si="2">J7</f>
        <v>0</v>
      </c>
      <c r="X7" s="772"/>
      <c r="Y7" s="3222" t="s">
        <v>2547</v>
      </c>
      <c r="Z7" s="3223"/>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2" t="s">
        <v>2550</v>
      </c>
      <c r="Q8" s="3223"/>
      <c r="R8" s="770" t="s">
        <v>17</v>
      </c>
      <c r="S8" s="771">
        <f t="shared" si="0"/>
        <v>0</v>
      </c>
      <c r="T8" s="770" t="s">
        <v>17</v>
      </c>
      <c r="U8" s="771">
        <f t="shared" si="1"/>
        <v>0</v>
      </c>
      <c r="V8" s="770" t="s">
        <v>17</v>
      </c>
      <c r="W8" s="771">
        <f t="shared" si="2"/>
        <v>0</v>
      </c>
      <c r="X8" s="772"/>
      <c r="Y8" s="3222" t="s">
        <v>2550</v>
      </c>
      <c r="Z8" s="3223"/>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86" t="s">
        <v>2553</v>
      </c>
      <c r="Q9" s="1795" t="str">
        <f t="shared" ref="Q9:Q14" si="6">B9</f>
        <v>用途</v>
      </c>
      <c r="R9" s="770" t="s">
        <v>17</v>
      </c>
      <c r="S9" s="771">
        <f t="shared" si="0"/>
        <v>100</v>
      </c>
      <c r="T9" s="770" t="s">
        <v>17</v>
      </c>
      <c r="U9" s="771">
        <f t="shared" si="1"/>
        <v>100</v>
      </c>
      <c r="V9" s="770" t="s">
        <v>17</v>
      </c>
      <c r="W9" s="771">
        <f t="shared" si="2"/>
        <v>100</v>
      </c>
      <c r="X9" s="772"/>
      <c r="Y9" s="3011"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86"/>
      <c r="Q10" s="1795" t="str">
        <f t="shared" si="6"/>
        <v>土地使用年限（年）</v>
      </c>
      <c r="R10" s="770" t="s">
        <v>17</v>
      </c>
      <c r="S10" s="771">
        <f t="shared" si="0"/>
        <v>100</v>
      </c>
      <c r="T10" s="770" t="s">
        <v>17</v>
      </c>
      <c r="U10" s="771">
        <f t="shared" si="1"/>
        <v>100</v>
      </c>
      <c r="V10" s="770" t="s">
        <v>17</v>
      </c>
      <c r="W10" s="771">
        <f t="shared" si="2"/>
        <v>100</v>
      </c>
      <c r="X10" s="772"/>
      <c r="Y10" s="3011"/>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86"/>
      <c r="Q11" s="1795">
        <f t="shared" si="6"/>
        <v>111</v>
      </c>
      <c r="R11" s="770" t="s">
        <v>17</v>
      </c>
      <c r="S11" s="771">
        <f t="shared" si="0"/>
        <v>100</v>
      </c>
      <c r="T11" s="770" t="s">
        <v>17</v>
      </c>
      <c r="U11" s="771">
        <f t="shared" si="1"/>
        <v>100</v>
      </c>
      <c r="V11" s="770" t="s">
        <v>17</v>
      </c>
      <c r="W11" s="771">
        <f t="shared" si="2"/>
        <v>100</v>
      </c>
      <c r="X11" s="772"/>
      <c r="Y11" s="3011"/>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86"/>
      <c r="Q12" s="1795">
        <f t="shared" si="6"/>
        <v>111</v>
      </c>
      <c r="R12" s="770" t="s">
        <v>17</v>
      </c>
      <c r="S12" s="771">
        <f t="shared" si="0"/>
        <v>100</v>
      </c>
      <c r="T12" s="770" t="s">
        <v>17</v>
      </c>
      <c r="U12" s="771">
        <f t="shared" si="1"/>
        <v>100</v>
      </c>
      <c r="V12" s="770" t="s">
        <v>17</v>
      </c>
      <c r="W12" s="771">
        <f t="shared" si="2"/>
        <v>100</v>
      </c>
      <c r="X12" s="772"/>
      <c r="Y12" s="3011"/>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186"/>
      <c r="Q13" s="1795">
        <f t="shared" si="6"/>
        <v>111</v>
      </c>
      <c r="R13" s="770" t="s">
        <v>17</v>
      </c>
      <c r="S13" s="771">
        <f t="shared" si="0"/>
        <v>100</v>
      </c>
      <c r="T13" s="770" t="s">
        <v>17</v>
      </c>
      <c r="U13" s="771">
        <f t="shared" si="1"/>
        <v>100</v>
      </c>
      <c r="V13" s="770" t="s">
        <v>17</v>
      </c>
      <c r="W13" s="771">
        <f t="shared" si="2"/>
        <v>100</v>
      </c>
      <c r="X13" s="772"/>
      <c r="Y13" s="3011"/>
      <c r="Z13" s="55">
        <f t="shared" si="7"/>
        <v>111</v>
      </c>
      <c r="AA13" s="773">
        <f t="shared" si="3"/>
        <v>1</v>
      </c>
      <c r="AB13" s="773">
        <f t="shared" si="4"/>
        <v>1</v>
      </c>
      <c r="AC13" s="773">
        <f t="shared" si="5"/>
        <v>1</v>
      </c>
    </row>
    <row r="14" spans="1:29" ht="85.5">
      <c r="A14" s="440" t="s">
        <v>2557</v>
      </c>
      <c r="B14" s="69" t="s">
        <v>2707</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88" t="s">
        <v>2558</v>
      </c>
      <c r="Q14" s="1810" t="str">
        <f t="shared" si="6"/>
        <v>交通便捷度</v>
      </c>
      <c r="R14" s="774" t="s">
        <v>17</v>
      </c>
      <c r="S14" s="775">
        <f t="shared" si="0"/>
        <v>100</v>
      </c>
      <c r="T14" s="774" t="s">
        <v>17</v>
      </c>
      <c r="U14" s="775">
        <f t="shared" si="1"/>
        <v>100</v>
      </c>
      <c r="V14" s="774" t="s">
        <v>17</v>
      </c>
      <c r="W14" s="775">
        <f t="shared" si="2"/>
        <v>100</v>
      </c>
      <c r="X14" s="1813"/>
      <c r="Y14" s="3188" t="s">
        <v>2558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89"/>
      <c r="Q15" s="1810"/>
      <c r="R15" s="774"/>
      <c r="S15" s="775"/>
      <c r="T15" s="774"/>
      <c r="U15" s="775"/>
      <c r="V15" s="774"/>
      <c r="W15" s="775"/>
      <c r="X15" s="1813"/>
      <c r="Y15" s="3189"/>
      <c r="Z15" s="1814"/>
      <c r="AA15" s="1811">
        <v>1</v>
      </c>
      <c r="AB15" s="1811">
        <v>1</v>
      </c>
      <c r="AC15" s="1811">
        <v>1</v>
      </c>
    </row>
    <row r="16" spans="1:29" ht="42.75">
      <c r="A16" s="428"/>
      <c r="B16" s="451" t="s">
        <v>2686</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89"/>
      <c r="Q16" s="1810" t="str">
        <f>B16</f>
        <v>公共配套设施</v>
      </c>
      <c r="R16" s="774" t="s">
        <v>17</v>
      </c>
      <c r="S16" s="775">
        <f>F16</f>
        <v>100</v>
      </c>
      <c r="T16" s="774" t="s">
        <v>17</v>
      </c>
      <c r="U16" s="775">
        <f>H16</f>
        <v>100</v>
      </c>
      <c r="V16" s="774" t="s">
        <v>17</v>
      </c>
      <c r="W16" s="775">
        <f>J16</f>
        <v>100</v>
      </c>
      <c r="X16" s="1813"/>
      <c r="Y16" s="3189"/>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189"/>
      <c r="Q17" s="1810"/>
      <c r="R17" s="774"/>
      <c r="S17" s="775"/>
      <c r="T17" s="774"/>
      <c r="U17" s="775"/>
      <c r="V17" s="774"/>
      <c r="W17" s="775"/>
      <c r="X17" s="1813"/>
      <c r="Y17" s="3189"/>
      <c r="Z17" s="1814"/>
      <c r="AA17" s="1811">
        <v>1</v>
      </c>
      <c r="AB17" s="1811">
        <v>1</v>
      </c>
      <c r="AC17" s="1811">
        <v>1</v>
      </c>
    </row>
    <row r="18" spans="1:29" ht="28.5">
      <c r="A18" s="428"/>
      <c r="B18" s="1384" t="s">
        <v>2687</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89"/>
      <c r="Q18" s="1810" t="str">
        <f>B18</f>
        <v>基础设施水平</v>
      </c>
      <c r="R18" s="774" t="s">
        <v>17</v>
      </c>
      <c r="S18" s="775">
        <f>F18</f>
        <v>100</v>
      </c>
      <c r="T18" s="774" t="s">
        <v>17</v>
      </c>
      <c r="U18" s="775">
        <f>H18</f>
        <v>100</v>
      </c>
      <c r="V18" s="774" t="s">
        <v>17</v>
      </c>
      <c r="W18" s="775">
        <f>J18</f>
        <v>100</v>
      </c>
      <c r="X18" s="1813"/>
      <c r="Y18" s="3189"/>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189"/>
      <c r="Q19" s="1810"/>
      <c r="R19" s="774"/>
      <c r="S19" s="775"/>
      <c r="T19" s="774"/>
      <c r="U19" s="775"/>
      <c r="V19" s="774"/>
      <c r="W19" s="775"/>
      <c r="X19" s="1813"/>
      <c r="Y19" s="3189"/>
      <c r="Z19" s="1814"/>
      <c r="AA19" s="1811">
        <v>1</v>
      </c>
      <c r="AB19" s="1811">
        <v>1</v>
      </c>
      <c r="AC19" s="1811">
        <v>1</v>
      </c>
    </row>
    <row r="20" spans="1:29" ht="57">
      <c r="A20" s="428"/>
      <c r="B20" s="451" t="s">
        <v>2708</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89"/>
      <c r="Q20" s="1810" t="str">
        <f>B20</f>
        <v>自然及人文环境</v>
      </c>
      <c r="R20" s="774" t="s">
        <v>17</v>
      </c>
      <c r="S20" s="775">
        <f>F20</f>
        <v>100</v>
      </c>
      <c r="T20" s="774" t="s">
        <v>17</v>
      </c>
      <c r="U20" s="775">
        <f>H20</f>
        <v>100</v>
      </c>
      <c r="V20" s="774" t="s">
        <v>17</v>
      </c>
      <c r="W20" s="775">
        <f>J20</f>
        <v>100</v>
      </c>
      <c r="X20" s="1813"/>
      <c r="Y20" s="3189"/>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89"/>
      <c r="Q21" s="1810"/>
      <c r="R21" s="774"/>
      <c r="S21" s="775"/>
      <c r="T21" s="774"/>
      <c r="U21" s="775"/>
      <c r="V21" s="774"/>
      <c r="W21" s="775"/>
      <c r="X21" s="1813"/>
      <c r="Y21" s="3189"/>
      <c r="Z21" s="1814"/>
      <c r="AA21" s="1811">
        <v>1</v>
      </c>
      <c r="AB21" s="1811">
        <v>1</v>
      </c>
      <c r="AC21" s="1811">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89"/>
      <c r="Q22" s="1810" t="str">
        <f>B22</f>
        <v>楼层</v>
      </c>
      <c r="R22" s="774" t="s">
        <v>17</v>
      </c>
      <c r="S22" s="775">
        <f>F22</f>
        <v>100</v>
      </c>
      <c r="T22" s="774" t="s">
        <v>17</v>
      </c>
      <c r="U22" s="775">
        <f>H22</f>
        <v>100</v>
      </c>
      <c r="V22" s="774" t="s">
        <v>17</v>
      </c>
      <c r="W22" s="775">
        <f>J22</f>
        <v>100</v>
      </c>
      <c r="X22" s="1813"/>
      <c r="Y22" s="3189"/>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89"/>
      <c r="Q23" s="1810">
        <f>B23</f>
        <v>111</v>
      </c>
      <c r="R23" s="774" t="s">
        <v>17</v>
      </c>
      <c r="S23" s="775">
        <f>F23</f>
        <v>100</v>
      </c>
      <c r="T23" s="774" t="s">
        <v>17</v>
      </c>
      <c r="U23" s="775">
        <f>H23</f>
        <v>100</v>
      </c>
      <c r="V23" s="774" t="s">
        <v>17</v>
      </c>
      <c r="W23" s="775">
        <f>J23</f>
        <v>100</v>
      </c>
      <c r="X23" s="1813"/>
      <c r="Y23" s="3189"/>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89"/>
      <c r="Q24" s="1810">
        <f t="shared" ref="Q24:Q34" si="11">B24</f>
        <v>111</v>
      </c>
      <c r="R24" s="774" t="s">
        <v>17</v>
      </c>
      <c r="S24" s="775">
        <f>F24</f>
        <v>100</v>
      </c>
      <c r="T24" s="774" t="s">
        <v>17</v>
      </c>
      <c r="U24" s="775">
        <f>H24</f>
        <v>100</v>
      </c>
      <c r="V24" s="774" t="s">
        <v>17</v>
      </c>
      <c r="W24" s="775">
        <f>J24</f>
        <v>100</v>
      </c>
      <c r="X24" s="1813"/>
      <c r="Y24" s="3189"/>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189"/>
      <c r="Q25" s="1795">
        <f t="shared" si="11"/>
        <v>111</v>
      </c>
      <c r="R25" s="770" t="s">
        <v>17</v>
      </c>
      <c r="S25" s="771">
        <f>F25</f>
        <v>100</v>
      </c>
      <c r="T25" s="770" t="s">
        <v>17</v>
      </c>
      <c r="U25" s="771">
        <f>H25</f>
        <v>100</v>
      </c>
      <c r="V25" s="770" t="s">
        <v>17</v>
      </c>
      <c r="W25" s="771">
        <f>J25</f>
        <v>100</v>
      </c>
      <c r="X25" s="772"/>
      <c r="Y25" s="3189"/>
      <c r="Z25" s="55">
        <f>Q25</f>
        <v>111</v>
      </c>
      <c r="AA25" s="1811">
        <f>D25/F25</f>
        <v>1</v>
      </c>
      <c r="AB25" s="1811">
        <f>D25/H25</f>
        <v>1</v>
      </c>
      <c r="AC25" s="1811">
        <f>D25/J25</f>
        <v>1</v>
      </c>
    </row>
    <row r="26" spans="1:29" ht="28.5">
      <c r="A26" s="466" t="s">
        <v>2561</v>
      </c>
      <c r="B26" s="71" t="s">
        <v>2712</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244" t="s">
        <v>2563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93" t="s">
        <v>2563</v>
      </c>
      <c r="Z26" s="1814" t="str">
        <f t="shared" ref="Z26:Z34" si="15">Q26</f>
        <v>公共部分装修</v>
      </c>
      <c r="AA26" s="1811">
        <f t="shared" si="3"/>
        <v>1</v>
      </c>
      <c r="AB26" s="1811">
        <f t="shared" si="4"/>
        <v>1</v>
      </c>
      <c r="AC26" s="1811">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93"/>
      <c r="Q27" s="776" t="str">
        <f t="shared" si="11"/>
        <v>成新率</v>
      </c>
      <c r="R27" s="777" t="s">
        <v>17</v>
      </c>
      <c r="S27" s="778" t="e">
        <f t="shared" si="12"/>
        <v>#N/A</v>
      </c>
      <c r="T27" s="777" t="s">
        <v>17</v>
      </c>
      <c r="U27" s="778" t="e">
        <f t="shared" si="13"/>
        <v>#N/A</v>
      </c>
      <c r="V27" s="777" t="s">
        <v>17</v>
      </c>
      <c r="W27" s="778" t="e">
        <f t="shared" si="14"/>
        <v>#N/A</v>
      </c>
      <c r="X27" s="779"/>
      <c r="Y27" s="3193"/>
      <c r="Z27" s="780" t="str">
        <f t="shared" si="15"/>
        <v>成新率</v>
      </c>
      <c r="AA27" s="1811" t="e">
        <f t="shared" si="3"/>
        <v>#N/A</v>
      </c>
      <c r="AB27" s="1811" t="e">
        <f t="shared" si="4"/>
        <v>#N/A</v>
      </c>
      <c r="AC27" s="1811"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93"/>
      <c r="Q28" s="1810" t="str">
        <f t="shared" si="11"/>
        <v>物业等级</v>
      </c>
      <c r="R28" s="774" t="s">
        <v>17</v>
      </c>
      <c r="S28" s="775">
        <f t="shared" si="12"/>
        <v>100</v>
      </c>
      <c r="T28" s="774" t="s">
        <v>17</v>
      </c>
      <c r="U28" s="775">
        <f t="shared" si="13"/>
        <v>100</v>
      </c>
      <c r="V28" s="774" t="s">
        <v>17</v>
      </c>
      <c r="W28" s="775">
        <f t="shared" si="14"/>
        <v>100</v>
      </c>
      <c r="X28" s="1813"/>
      <c r="Y28" s="3193"/>
      <c r="Z28" s="1814" t="str">
        <f t="shared" si="15"/>
        <v>物业等级</v>
      </c>
      <c r="AA28" s="1811">
        <f t="shared" si="3"/>
        <v>1</v>
      </c>
      <c r="AB28" s="1811">
        <f t="shared" si="4"/>
        <v>1</v>
      </c>
      <c r="AC28" s="1811">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93"/>
      <c r="Q29" s="1810" t="str">
        <f t="shared" si="11"/>
        <v>有无电梯</v>
      </c>
      <c r="R29" s="774" t="s">
        <v>17</v>
      </c>
      <c r="S29" s="775">
        <f t="shared" si="12"/>
        <v>100</v>
      </c>
      <c r="T29" s="774" t="s">
        <v>17</v>
      </c>
      <c r="U29" s="775">
        <f t="shared" si="13"/>
        <v>100</v>
      </c>
      <c r="V29" s="774" t="s">
        <v>17</v>
      </c>
      <c r="W29" s="775">
        <f t="shared" si="14"/>
        <v>100</v>
      </c>
      <c r="X29" s="1813"/>
      <c r="Y29" s="3193"/>
      <c r="Z29" s="1814" t="str">
        <f t="shared" si="15"/>
        <v>有无电梯</v>
      </c>
      <c r="AA29" s="1811">
        <f t="shared" si="3"/>
        <v>1</v>
      </c>
      <c r="AB29" s="1811">
        <f t="shared" si="4"/>
        <v>1</v>
      </c>
      <c r="AC29" s="1811">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93"/>
      <c r="Q30" s="1810" t="str">
        <f t="shared" si="11"/>
        <v>建筑面积</v>
      </c>
      <c r="R30" s="774" t="s">
        <v>17</v>
      </c>
      <c r="S30" s="775" t="e">
        <f t="shared" si="12"/>
        <v>#N/A</v>
      </c>
      <c r="T30" s="774" t="s">
        <v>17</v>
      </c>
      <c r="U30" s="775" t="e">
        <f t="shared" si="13"/>
        <v>#N/A</v>
      </c>
      <c r="V30" s="774" t="s">
        <v>17</v>
      </c>
      <c r="W30" s="775" t="e">
        <f t="shared" si="14"/>
        <v>#N/A</v>
      </c>
      <c r="X30" s="1813"/>
      <c r="Y30" s="3193"/>
      <c r="Z30" s="1814" t="str">
        <f t="shared" si="15"/>
        <v>建筑面积</v>
      </c>
      <c r="AA30" s="1811" t="e">
        <f t="shared" si="3"/>
        <v>#N/A</v>
      </c>
      <c r="AB30" s="1811" t="e">
        <f t="shared" si="4"/>
        <v>#N/A</v>
      </c>
      <c r="AC30" s="1811"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93"/>
      <c r="Q31" s="1795" t="str">
        <f t="shared" si="11"/>
        <v>是否封闭</v>
      </c>
      <c r="R31" s="770" t="s">
        <v>17</v>
      </c>
      <c r="S31" s="771">
        <f t="shared" si="12"/>
        <v>100</v>
      </c>
      <c r="T31" s="770" t="s">
        <v>17</v>
      </c>
      <c r="U31" s="771">
        <f t="shared" si="13"/>
        <v>100</v>
      </c>
      <c r="V31" s="770" t="s">
        <v>17</v>
      </c>
      <c r="W31" s="771">
        <f t="shared" si="14"/>
        <v>100</v>
      </c>
      <c r="X31" s="772"/>
      <c r="Y31" s="3193"/>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93" t="s">
        <v>2563</v>
      </c>
      <c r="Q32" s="1810">
        <f t="shared" si="11"/>
        <v>111</v>
      </c>
      <c r="R32" s="774" t="s">
        <v>17</v>
      </c>
      <c r="S32" s="775">
        <f t="shared" si="12"/>
        <v>100</v>
      </c>
      <c r="T32" s="774" t="s">
        <v>17</v>
      </c>
      <c r="U32" s="775">
        <f t="shared" si="13"/>
        <v>100</v>
      </c>
      <c r="V32" s="774" t="s">
        <v>17</v>
      </c>
      <c r="W32" s="775">
        <f t="shared" si="14"/>
        <v>100</v>
      </c>
      <c r="X32" s="1813"/>
      <c r="Y32" s="3193" t="s">
        <v>2563</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93"/>
      <c r="Q33" s="1810">
        <f t="shared" si="11"/>
        <v>111</v>
      </c>
      <c r="R33" s="774" t="s">
        <v>17</v>
      </c>
      <c r="S33" s="775">
        <f t="shared" si="12"/>
        <v>100</v>
      </c>
      <c r="T33" s="774" t="s">
        <v>17</v>
      </c>
      <c r="U33" s="775">
        <f t="shared" si="13"/>
        <v>100</v>
      </c>
      <c r="V33" s="774" t="s">
        <v>17</v>
      </c>
      <c r="W33" s="775">
        <f t="shared" si="14"/>
        <v>100</v>
      </c>
      <c r="X33" s="1813"/>
      <c r="Y33" s="3193"/>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193"/>
      <c r="Q34" s="1810">
        <f t="shared" si="11"/>
        <v>111</v>
      </c>
      <c r="R34" s="774" t="s">
        <v>17</v>
      </c>
      <c r="S34" s="775">
        <f t="shared" si="12"/>
        <v>100</v>
      </c>
      <c r="T34" s="774" t="s">
        <v>17</v>
      </c>
      <c r="U34" s="775">
        <f t="shared" si="13"/>
        <v>100</v>
      </c>
      <c r="V34" s="774" t="s">
        <v>17</v>
      </c>
      <c r="W34" s="775">
        <f t="shared" si="14"/>
        <v>100</v>
      </c>
      <c r="X34" s="1813"/>
      <c r="Y34" s="3193"/>
      <c r="Z34" s="1814">
        <f t="shared" si="15"/>
        <v>111</v>
      </c>
      <c r="AA34" s="1811">
        <f t="shared" si="3"/>
        <v>1</v>
      </c>
      <c r="AB34" s="1811">
        <f t="shared" si="4"/>
        <v>1</v>
      </c>
      <c r="AC34" s="1811">
        <f t="shared" si="5"/>
        <v>1</v>
      </c>
    </row>
    <row r="35" spans="1:29" ht="15">
      <c r="A35" s="479" t="s">
        <v>2575</v>
      </c>
      <c r="B35" s="480"/>
      <c r="C35" s="1407" t="s">
        <v>1</v>
      </c>
      <c r="D35" s="1408"/>
      <c r="E35" s="1409"/>
      <c r="F35" s="1410"/>
      <c r="G35" s="1411"/>
      <c r="H35" s="1412"/>
      <c r="I35" s="1409"/>
      <c r="J35" s="1412"/>
      <c r="K35" s="783"/>
      <c r="L35" s="1143"/>
      <c r="M35" s="1144"/>
      <c r="N35" s="1131"/>
      <c r="O35" s="1144"/>
      <c r="P35" s="3186" t="str">
        <f>A35</f>
        <v>成交单价（元/平方米）</v>
      </c>
      <c r="Q35" s="3186"/>
      <c r="R35" s="3187">
        <f>E35</f>
        <v>0</v>
      </c>
      <c r="S35" s="3187"/>
      <c r="T35" s="3187">
        <f>G35</f>
        <v>0</v>
      </c>
      <c r="U35" s="3187"/>
      <c r="V35" s="3187">
        <f>I35</f>
        <v>0</v>
      </c>
      <c r="W35" s="3187"/>
      <c r="X35" s="759"/>
      <c r="Y35" s="781"/>
      <c r="Z35" s="759"/>
      <c r="AA35" s="759"/>
      <c r="AB35" s="759"/>
      <c r="AC35" s="759"/>
    </row>
    <row r="36" spans="1:29" ht="15.7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186" t="str">
        <f>A36</f>
        <v>比较价值（元/平方米）</v>
      </c>
      <c r="Q36" s="3186"/>
      <c r="R36" s="3187" t="e">
        <f>IF(F1="售价",ROUND(PRODUCT(R35,AA7:AA34),0),ROUND(PRODUCT(R35,AA7:AA34),1))</f>
        <v>#DIV/0!</v>
      </c>
      <c r="S36" s="3187"/>
      <c r="T36" s="3187" t="e">
        <f>IF(F1="售价",ROUND(PRODUCT(T35,AB7:AB34),0),ROUND(PRODUCT(T35,AB7:AB34),1))</f>
        <v>#DIV/0!</v>
      </c>
      <c r="U36" s="3187"/>
      <c r="V36" s="3187" t="e">
        <f>IF(F1="售价",ROUND(PRODUCT(V35,AC7:AC34),0),ROUND(PRODUCT(V35,AC7:AC34),1))</f>
        <v>#DIV/0!</v>
      </c>
      <c r="W36" s="3187"/>
      <c r="X36" s="759"/>
      <c r="Y36" s="759"/>
      <c r="Z36" s="759"/>
      <c r="AA36" s="759"/>
      <c r="AB36" s="759"/>
      <c r="AC36" s="759"/>
    </row>
    <row r="37" spans="1:29" ht="15.75" thickBot="1">
      <c r="A37" s="492" t="s">
        <v>2668</v>
      </c>
      <c r="B37" s="493"/>
      <c r="C37" s="1417" t="e">
        <f>R37</f>
        <v>#DIV/0!</v>
      </c>
      <c r="D37" s="1417"/>
      <c r="E37" s="1417"/>
      <c r="F37" s="1417"/>
      <c r="G37" s="1417"/>
      <c r="H37" s="1417"/>
      <c r="I37" s="1417"/>
      <c r="J37" s="1417"/>
      <c r="K37" s="785"/>
      <c r="L37" s="1143"/>
      <c r="M37" s="1144"/>
      <c r="N37" s="1144"/>
      <c r="O37" s="1144"/>
      <c r="P37" s="3183" t="str">
        <f>A37</f>
        <v>估价对象XX用房的比较价值（楼面单价，元/平方米）</v>
      </c>
      <c r="Q37" s="3184"/>
      <c r="R37" s="3185" t="e">
        <f>IF(F1="售价",ROUND(AVERAGE(R36:V36),0),ROUND(AVERAGE(R36:V36),1))</f>
        <v>#DIV/0!</v>
      </c>
      <c r="S37" s="3185"/>
      <c r="T37" s="3185"/>
      <c r="U37" s="3185"/>
      <c r="V37" s="3185"/>
      <c r="W37" s="3185"/>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4" t="str">
        <f>YEAR(C7)&amp;"-"&amp;MONTH(C7)</f>
        <v>2019-3</v>
      </c>
      <c r="D46" s="1575">
        <f>EDATE(C46,-1)</f>
        <v>43497</v>
      </c>
      <c r="E46" s="1575">
        <f t="shared" ref="E46:O46" si="16">EDATE(D46,-1)</f>
        <v>43466</v>
      </c>
      <c r="F46" s="1575">
        <f t="shared" si="16"/>
        <v>43435</v>
      </c>
      <c r="G46" s="1575">
        <f t="shared" si="16"/>
        <v>43405</v>
      </c>
      <c r="H46" s="1575">
        <f t="shared" si="16"/>
        <v>43374</v>
      </c>
      <c r="I46" s="1575">
        <f t="shared" si="16"/>
        <v>43344</v>
      </c>
      <c r="J46" s="1575">
        <f t="shared" si="16"/>
        <v>43313</v>
      </c>
      <c r="K46" s="1575">
        <f t="shared" si="16"/>
        <v>43282</v>
      </c>
      <c r="L46" s="1575">
        <f t="shared" si="16"/>
        <v>43252</v>
      </c>
      <c r="M46" s="1575">
        <f t="shared" si="16"/>
        <v>43221</v>
      </c>
      <c r="N46" s="1575">
        <f t="shared" si="16"/>
        <v>43191</v>
      </c>
      <c r="O46" s="1575">
        <f t="shared" si="16"/>
        <v>43160</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2586</v>
      </c>
      <c r="B51" s="528" t="s">
        <v>2552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2643</v>
      </c>
      <c r="B4" s="402"/>
      <c r="C4" s="3201" t="s">
        <v>2644</v>
      </c>
      <c r="D4" s="3202"/>
      <c r="E4" s="3203" t="s">
        <v>2645</v>
      </c>
      <c r="F4" s="3204"/>
      <c r="G4" s="3201" t="s">
        <v>2646</v>
      </c>
      <c r="H4" s="3202"/>
      <c r="I4" s="3201" t="s">
        <v>2647</v>
      </c>
      <c r="J4" s="3202"/>
      <c r="K4" s="610" t="s">
        <v>2648</v>
      </c>
      <c r="L4" s="1130"/>
      <c r="M4" s="1131"/>
      <c r="N4" s="1131"/>
      <c r="O4" s="1131"/>
      <c r="P4" s="3205" t="s">
        <v>2649</v>
      </c>
      <c r="Q4" s="3206"/>
      <c r="R4" s="3211" t="s">
        <v>2645</v>
      </c>
      <c r="S4" s="3212"/>
      <c r="T4" s="3211" t="s">
        <v>2646</v>
      </c>
      <c r="U4" s="3212"/>
      <c r="V4" s="3217" t="s">
        <v>2647</v>
      </c>
      <c r="W4" s="3217"/>
      <c r="X4" s="1813"/>
      <c r="Y4" s="3211" t="s">
        <v>2649</v>
      </c>
      <c r="Z4" s="3212"/>
      <c r="AA4" s="3198" t="s">
        <v>2645</v>
      </c>
      <c r="AB4" s="3199" t="s">
        <v>2646</v>
      </c>
      <c r="AC4" s="3198" t="s">
        <v>2647</v>
      </c>
    </row>
    <row r="5" spans="1:30" ht="15">
      <c r="A5" s="404"/>
      <c r="B5" s="405"/>
      <c r="C5" s="3220" t="s">
        <v>2540</v>
      </c>
      <c r="D5" s="3221"/>
      <c r="E5" s="3227" t="s">
        <v>2541</v>
      </c>
      <c r="F5" s="3228"/>
      <c r="G5" s="3220" t="s">
        <v>2542</v>
      </c>
      <c r="H5" s="3221"/>
      <c r="I5" s="3220" t="s">
        <v>2543</v>
      </c>
      <c r="J5" s="3221"/>
      <c r="K5" s="610"/>
      <c r="L5" s="1130"/>
      <c r="M5" s="1131"/>
      <c r="N5" s="1131"/>
      <c r="O5" s="1131"/>
      <c r="P5" s="3207"/>
      <c r="Q5" s="3208"/>
      <c r="R5" s="3213"/>
      <c r="S5" s="3214"/>
      <c r="T5" s="3213"/>
      <c r="U5" s="3214"/>
      <c r="V5" s="3217"/>
      <c r="W5" s="3217"/>
      <c r="X5" s="1813"/>
      <c r="Y5" s="3213"/>
      <c r="Z5" s="3214"/>
      <c r="AA5" s="3199"/>
      <c r="AB5" s="3199"/>
      <c r="AC5" s="3199"/>
    </row>
    <row r="6" spans="1:30" ht="15.75" thickBot="1">
      <c r="A6" s="406"/>
      <c r="B6" s="407"/>
      <c r="C6" s="3218" t="s">
        <v>2544</v>
      </c>
      <c r="D6" s="3219"/>
      <c r="E6" s="3225" t="s">
        <v>2544</v>
      </c>
      <c r="F6" s="3226"/>
      <c r="G6" s="3218" t="s">
        <v>2544</v>
      </c>
      <c r="H6" s="3219"/>
      <c r="I6" s="3218" t="s">
        <v>2544</v>
      </c>
      <c r="J6" s="3219"/>
      <c r="K6" s="610" t="s">
        <v>2545</v>
      </c>
      <c r="L6" s="1130"/>
      <c r="M6" s="1131"/>
      <c r="N6" s="1131"/>
      <c r="O6" s="1131"/>
      <c r="P6" s="3209"/>
      <c r="Q6" s="3210"/>
      <c r="R6" s="3213"/>
      <c r="S6" s="3214"/>
      <c r="T6" s="3215"/>
      <c r="U6" s="3216"/>
      <c r="V6" s="3217"/>
      <c r="W6" s="3217"/>
      <c r="X6" s="1813"/>
      <c r="Y6" s="3215"/>
      <c r="Z6" s="3216"/>
      <c r="AA6" s="3200"/>
      <c r="AB6" s="3200"/>
      <c r="AC6" s="3200"/>
    </row>
    <row r="7" spans="1:30" s="117" customFormat="1" ht="15.75" thickBot="1">
      <c r="A7" s="408" t="s">
        <v>2546</v>
      </c>
      <c r="B7" s="409"/>
      <c r="C7" s="410">
        <f>'数据-取费表'!B2</f>
        <v>43538</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2"/>
      <c r="M7" s="1133"/>
      <c r="N7" s="1133"/>
      <c r="O7" s="1133"/>
      <c r="P7" s="3222" t="s">
        <v>2547</v>
      </c>
      <c r="Q7" s="3224"/>
      <c r="R7" s="770" t="s">
        <v>17</v>
      </c>
      <c r="S7" s="771">
        <f t="shared" ref="S7:S15" si="0">F7</f>
        <v>0</v>
      </c>
      <c r="T7" s="770" t="s">
        <v>17</v>
      </c>
      <c r="U7" s="771">
        <f t="shared" ref="U7:U15" si="1">H7</f>
        <v>0</v>
      </c>
      <c r="V7" s="770" t="s">
        <v>17</v>
      </c>
      <c r="W7" s="771">
        <f t="shared" ref="W7:W15" si="2">J7</f>
        <v>0</v>
      </c>
      <c r="X7" s="772"/>
      <c r="Y7" s="3222" t="s">
        <v>2547</v>
      </c>
      <c r="Z7" s="3223"/>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22" t="s">
        <v>2550</v>
      </c>
      <c r="Q8" s="3223"/>
      <c r="R8" s="770" t="s">
        <v>17</v>
      </c>
      <c r="S8" s="771">
        <f t="shared" si="0"/>
        <v>0</v>
      </c>
      <c r="T8" s="770" t="s">
        <v>17</v>
      </c>
      <c r="U8" s="771">
        <f t="shared" si="1"/>
        <v>0</v>
      </c>
      <c r="V8" s="770" t="s">
        <v>17</v>
      </c>
      <c r="W8" s="771">
        <f t="shared" si="2"/>
        <v>0</v>
      </c>
      <c r="X8" s="772"/>
      <c r="Y8" s="3222" t="s">
        <v>2550</v>
      </c>
      <c r="Z8" s="3223"/>
      <c r="AA8" s="773" t="e">
        <f t="shared" ref="AA8:AA45" si="3">D8/F8</f>
        <v>#DIV/0!</v>
      </c>
      <c r="AB8" s="773" t="e">
        <f t="shared" ref="AB8:AB45" si="4">D8/H8</f>
        <v>#DIV/0!</v>
      </c>
      <c r="AC8" s="773" t="e">
        <f t="shared" ref="AC8:AC45" si="5">D8/J8</f>
        <v>#DIV/0!</v>
      </c>
    </row>
    <row r="9" spans="1:30" s="117" customFormat="1">
      <c r="A9" s="415" t="s">
        <v>2551</v>
      </c>
      <c r="B9" s="71" t="s">
        <v>2552</v>
      </c>
      <c r="C9" s="2702"/>
      <c r="D9" s="135">
        <v>100</v>
      </c>
      <c r="E9" s="2702"/>
      <c r="F9" s="135">
        <f>SUMIF(75:75,E9,76:76)-SUMIF(75:75,C9,76:76)+100</f>
        <v>100</v>
      </c>
      <c r="G9" s="2702"/>
      <c r="H9" s="135">
        <f>SUMIF(75:75,G9,76:76)-SUMIF(75:75,C9,76:76)+100</f>
        <v>100</v>
      </c>
      <c r="I9" s="2702"/>
      <c r="J9" s="135">
        <f>SUMIF(75:75,I9,76:76)-SUMIF(75:75,C9,76:76)+100</f>
        <v>100</v>
      </c>
      <c r="K9" s="611"/>
      <c r="L9" s="1132"/>
      <c r="M9" s="1133"/>
      <c r="N9" s="1133"/>
      <c r="O9" s="1134"/>
      <c r="P9" s="3186" t="s">
        <v>2553</v>
      </c>
      <c r="Q9" s="1795" t="str">
        <f t="shared" ref="Q9:Q15" si="6">B9</f>
        <v>用途</v>
      </c>
      <c r="R9" s="770" t="s">
        <v>17</v>
      </c>
      <c r="S9" s="771">
        <f t="shared" si="0"/>
        <v>100</v>
      </c>
      <c r="T9" s="770" t="s">
        <v>17</v>
      </c>
      <c r="U9" s="771">
        <f t="shared" si="1"/>
        <v>100</v>
      </c>
      <c r="V9" s="770" t="s">
        <v>17</v>
      </c>
      <c r="W9" s="771">
        <f t="shared" si="2"/>
        <v>100</v>
      </c>
      <c r="X9" s="772"/>
      <c r="Y9" s="3011"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110</v>
      </c>
      <c r="G10" s="463"/>
      <c r="H10" s="136">
        <f>ROUND(100/'数据-取费表'!G16,0)</f>
        <v>110</v>
      </c>
      <c r="I10" s="463"/>
      <c r="J10" s="136">
        <f>ROUND(100/'数据-取费表'!G16,0)</f>
        <v>110</v>
      </c>
      <c r="K10" s="672"/>
      <c r="L10" s="1135"/>
      <c r="M10" s="1136"/>
      <c r="N10" s="1136"/>
      <c r="O10" s="1137"/>
      <c r="P10" s="3186"/>
      <c r="Q10" s="1795" t="str">
        <f t="shared" si="6"/>
        <v>土地使用年限（年）</v>
      </c>
      <c r="R10" s="770" t="s">
        <v>17</v>
      </c>
      <c r="S10" s="771">
        <f t="shared" si="0"/>
        <v>110</v>
      </c>
      <c r="T10" s="770" t="s">
        <v>17</v>
      </c>
      <c r="U10" s="771">
        <f t="shared" si="1"/>
        <v>110</v>
      </c>
      <c r="V10" s="770" t="s">
        <v>17</v>
      </c>
      <c r="W10" s="771">
        <f t="shared" si="2"/>
        <v>110</v>
      </c>
      <c r="X10" s="772"/>
      <c r="Y10" s="3011"/>
      <c r="Z10" s="55" t="str">
        <f t="shared" si="7"/>
        <v>土地使用年限（年）</v>
      </c>
      <c r="AA10" s="773">
        <f t="shared" si="3"/>
        <v>0.90909090909090906</v>
      </c>
      <c r="AB10" s="773">
        <f t="shared" si="4"/>
        <v>0.90909090909090906</v>
      </c>
      <c r="AC10" s="773">
        <f t="shared" si="5"/>
        <v>0.90909090909090906</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86"/>
      <c r="Q11" s="1795" t="str">
        <f t="shared" si="6"/>
        <v>容积率</v>
      </c>
      <c r="R11" s="770" t="s">
        <v>17</v>
      </c>
      <c r="S11" s="771" t="e">
        <f t="shared" si="0"/>
        <v>#N/A</v>
      </c>
      <c r="T11" s="770" t="s">
        <v>17</v>
      </c>
      <c r="U11" s="771" t="e">
        <f t="shared" si="1"/>
        <v>#N/A</v>
      </c>
      <c r="V11" s="770" t="s">
        <v>17</v>
      </c>
      <c r="W11" s="771" t="e">
        <f t="shared" si="2"/>
        <v>#N/A</v>
      </c>
      <c r="X11" s="772"/>
      <c r="Y11" s="3011"/>
      <c r="Z11" s="55" t="str">
        <f t="shared" si="7"/>
        <v>容积率</v>
      </c>
      <c r="AA11" s="773" t="e">
        <f t="shared" si="3"/>
        <v>#N/A</v>
      </c>
      <c r="AB11" s="773" t="e">
        <f t="shared" si="4"/>
        <v>#N/A</v>
      </c>
      <c r="AC11" s="773" t="e">
        <f t="shared" si="5"/>
        <v>#N/A</v>
      </c>
    </row>
    <row r="12" spans="1:30" s="117" customFormat="1" ht="15">
      <c r="A12" s="431"/>
      <c r="B12" s="2603" t="s">
        <v>2745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86"/>
      <c r="Q12" s="1795" t="str">
        <f t="shared" si="6"/>
        <v>配建</v>
      </c>
      <c r="R12" s="770" t="s">
        <v>17</v>
      </c>
      <c r="S12" s="771">
        <f t="shared" si="0"/>
        <v>100</v>
      </c>
      <c r="T12" s="770" t="s">
        <v>17</v>
      </c>
      <c r="U12" s="771">
        <f t="shared" si="1"/>
        <v>100</v>
      </c>
      <c r="V12" s="770" t="s">
        <v>17</v>
      </c>
      <c r="W12" s="771">
        <f t="shared" si="2"/>
        <v>100</v>
      </c>
      <c r="X12" s="772"/>
      <c r="Y12" s="3011"/>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86"/>
      <c r="Q13" s="1795">
        <f t="shared" si="6"/>
        <v>111</v>
      </c>
      <c r="R13" s="770" t="s">
        <v>17</v>
      </c>
      <c r="S13" s="771">
        <f t="shared" si="0"/>
        <v>100</v>
      </c>
      <c r="T13" s="770" t="s">
        <v>17</v>
      </c>
      <c r="U13" s="771">
        <f t="shared" si="1"/>
        <v>100</v>
      </c>
      <c r="V13" s="770" t="s">
        <v>17</v>
      </c>
      <c r="W13" s="771">
        <f t="shared" si="2"/>
        <v>100</v>
      </c>
      <c r="X13" s="772"/>
      <c r="Y13" s="3011"/>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86"/>
      <c r="Q14" s="1795">
        <f t="shared" si="6"/>
        <v>111</v>
      </c>
      <c r="R14" s="770" t="s">
        <v>17</v>
      </c>
      <c r="S14" s="771">
        <f t="shared" si="0"/>
        <v>100</v>
      </c>
      <c r="T14" s="770" t="s">
        <v>17</v>
      </c>
      <c r="U14" s="771">
        <f t="shared" si="1"/>
        <v>100</v>
      </c>
      <c r="V14" s="770" t="s">
        <v>17</v>
      </c>
      <c r="W14" s="771">
        <f t="shared" si="2"/>
        <v>100</v>
      </c>
      <c r="X14" s="772"/>
      <c r="Y14" s="3011"/>
      <c r="Z14" s="55">
        <f t="shared" si="7"/>
        <v>111</v>
      </c>
      <c r="AA14" s="773">
        <f>D14/F14</f>
        <v>1</v>
      </c>
      <c r="AB14" s="773">
        <f>D14/H14</f>
        <v>1</v>
      </c>
      <c r="AC14" s="773">
        <f>D14/J14</f>
        <v>1</v>
      </c>
    </row>
    <row r="15" spans="1:30" ht="99.75">
      <c r="A15" s="440" t="s">
        <v>2557</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88" t="s">
        <v>2558</v>
      </c>
      <c r="Q15" s="1810" t="str">
        <f t="shared" si="6"/>
        <v>居住社区成熟度</v>
      </c>
      <c r="R15" s="774" t="s">
        <v>17</v>
      </c>
      <c r="S15" s="775">
        <f t="shared" si="0"/>
        <v>100</v>
      </c>
      <c r="T15" s="774" t="s">
        <v>17</v>
      </c>
      <c r="U15" s="775">
        <f t="shared" si="1"/>
        <v>100</v>
      </c>
      <c r="V15" s="774" t="s">
        <v>17</v>
      </c>
      <c r="W15" s="775">
        <f t="shared" si="2"/>
        <v>100</v>
      </c>
      <c r="X15" s="1813"/>
      <c r="Y15" s="3188" t="s">
        <v>2558</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189"/>
      <c r="Q16" s="1810"/>
      <c r="R16" s="774"/>
      <c r="S16" s="775"/>
      <c r="T16" s="774"/>
      <c r="U16" s="775"/>
      <c r="V16" s="774"/>
      <c r="W16" s="775"/>
      <c r="X16" s="1813"/>
      <c r="Y16" s="3189"/>
      <c r="Z16" s="1814"/>
      <c r="AA16" s="1811">
        <v>1</v>
      </c>
      <c r="AB16" s="1811">
        <v>1</v>
      </c>
      <c r="AC16" s="1811">
        <v>1</v>
      </c>
    </row>
    <row r="17" spans="1:29" ht="71.25">
      <c r="A17" s="428"/>
      <c r="B17" s="451" t="s">
        <v>2651</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89"/>
      <c r="Q17" s="1810" t="str">
        <f>B17</f>
        <v>商业繁华度</v>
      </c>
      <c r="R17" s="774" t="s">
        <v>17</v>
      </c>
      <c r="S17" s="775">
        <f>F17</f>
        <v>100</v>
      </c>
      <c r="T17" s="774" t="s">
        <v>17</v>
      </c>
      <c r="U17" s="775">
        <f>H17</f>
        <v>100</v>
      </c>
      <c r="V17" s="774" t="s">
        <v>17</v>
      </c>
      <c r="W17" s="775">
        <f>J17</f>
        <v>100</v>
      </c>
      <c r="X17" s="1813"/>
      <c r="Y17" s="3189"/>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189"/>
      <c r="Q18" s="1810"/>
      <c r="R18" s="774"/>
      <c r="S18" s="775"/>
      <c r="T18" s="774"/>
      <c r="U18" s="775"/>
      <c r="V18" s="774"/>
      <c r="W18" s="775"/>
      <c r="X18" s="1813"/>
      <c r="Y18" s="3189"/>
      <c r="Z18" s="1814"/>
      <c r="AA18" s="1811">
        <v>1</v>
      </c>
      <c r="AB18" s="1811">
        <v>1</v>
      </c>
      <c r="AC18" s="1811">
        <v>1</v>
      </c>
    </row>
    <row r="19" spans="1:29" ht="71.25">
      <c r="A19" s="428"/>
      <c r="B19" s="451" t="s">
        <v>2685</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89"/>
      <c r="Q19" s="1810" t="str">
        <f>B19</f>
        <v>办公集聚程度</v>
      </c>
      <c r="R19" s="774" t="s">
        <v>17</v>
      </c>
      <c r="S19" s="775">
        <f>F19</f>
        <v>100</v>
      </c>
      <c r="T19" s="774" t="s">
        <v>17</v>
      </c>
      <c r="U19" s="775">
        <f>H19</f>
        <v>100</v>
      </c>
      <c r="V19" s="774" t="s">
        <v>17</v>
      </c>
      <c r="W19" s="775">
        <f>J19</f>
        <v>100</v>
      </c>
      <c r="X19" s="1813"/>
      <c r="Y19" s="3189"/>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189"/>
      <c r="Q20" s="1810"/>
      <c r="R20" s="774"/>
      <c r="S20" s="775"/>
      <c r="T20" s="774"/>
      <c r="U20" s="775"/>
      <c r="V20" s="774"/>
      <c r="W20" s="775"/>
      <c r="X20" s="1813"/>
      <c r="Y20" s="3189"/>
      <c r="Z20" s="1814"/>
      <c r="AA20" s="1811">
        <v>1</v>
      </c>
      <c r="AB20" s="1811">
        <v>1</v>
      </c>
      <c r="AC20" s="1811">
        <v>1</v>
      </c>
    </row>
    <row r="21" spans="1:29" ht="85.5">
      <c r="A21" s="428"/>
      <c r="B21" s="451" t="s">
        <v>2707</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89"/>
      <c r="Q21" s="1810" t="str">
        <f>B21</f>
        <v>交通便捷度</v>
      </c>
      <c r="R21" s="774" t="s">
        <v>17</v>
      </c>
      <c r="S21" s="775">
        <f>F21</f>
        <v>100</v>
      </c>
      <c r="T21" s="774" t="s">
        <v>17</v>
      </c>
      <c r="U21" s="775">
        <f>H21</f>
        <v>100</v>
      </c>
      <c r="V21" s="774" t="s">
        <v>17</v>
      </c>
      <c r="W21" s="775">
        <f>J21</f>
        <v>100</v>
      </c>
      <c r="X21" s="1813"/>
      <c r="Y21" s="3189"/>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189"/>
      <c r="Q22" s="1810"/>
      <c r="R22" s="774"/>
      <c r="S22" s="775"/>
      <c r="T22" s="774"/>
      <c r="U22" s="775"/>
      <c r="V22" s="774"/>
      <c r="W22" s="775"/>
      <c r="X22" s="1813"/>
      <c r="Y22" s="3189"/>
      <c r="Z22" s="1814"/>
      <c r="AA22" s="1811">
        <v>1</v>
      </c>
      <c r="AB22" s="1811">
        <v>1</v>
      </c>
      <c r="AC22" s="1811">
        <v>1</v>
      </c>
    </row>
    <row r="23" spans="1:29" ht="15">
      <c r="A23" s="404"/>
      <c r="B23" s="451" t="s">
        <v>2746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89"/>
      <c r="Q23" s="1810" t="str">
        <f t="shared" ref="Q23:Q37" si="8">B23</f>
        <v>区域土地利用方向</v>
      </c>
      <c r="R23" s="774" t="s">
        <v>17</v>
      </c>
      <c r="S23" s="775">
        <f>F23</f>
        <v>100</v>
      </c>
      <c r="T23" s="774" t="s">
        <v>17</v>
      </c>
      <c r="U23" s="775">
        <f>H23</f>
        <v>100</v>
      </c>
      <c r="V23" s="774" t="s">
        <v>17</v>
      </c>
      <c r="W23" s="775">
        <f>J23</f>
        <v>100</v>
      </c>
      <c r="X23" s="1813"/>
      <c r="Y23" s="3189"/>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09"/>
      <c r="L24" s="1140"/>
      <c r="M24" s="1131"/>
      <c r="N24" s="1131"/>
      <c r="O24" s="1139"/>
      <c r="P24" s="3189"/>
      <c r="Q24" s="1810"/>
      <c r="R24" s="774"/>
      <c r="S24" s="775"/>
      <c r="T24" s="774"/>
      <c r="U24" s="775"/>
      <c r="V24" s="774"/>
      <c r="W24" s="775"/>
      <c r="X24" s="1813"/>
      <c r="Y24" s="3189"/>
      <c r="Z24" s="1814"/>
      <c r="AA24" s="1811"/>
      <c r="AB24" s="1811"/>
      <c r="AC24" s="1811"/>
    </row>
    <row r="25" spans="1:29" ht="57">
      <c r="A25" s="404"/>
      <c r="B25" s="1384" t="s">
        <v>2747</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89"/>
      <c r="Q25" s="1810" t="str">
        <f t="shared" si="8"/>
        <v>自然及人文环境状况</v>
      </c>
      <c r="R25" s="774" t="s">
        <v>17</v>
      </c>
      <c r="S25" s="775">
        <f>F25</f>
        <v>100</v>
      </c>
      <c r="T25" s="774" t="s">
        <v>17</v>
      </c>
      <c r="U25" s="775">
        <f>H25</f>
        <v>100</v>
      </c>
      <c r="V25" s="774" t="s">
        <v>17</v>
      </c>
      <c r="W25" s="775">
        <f>J25</f>
        <v>100</v>
      </c>
      <c r="X25" s="1813"/>
      <c r="Y25" s="3189"/>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189"/>
      <c r="Q26" s="1810"/>
      <c r="R26" s="774"/>
      <c r="S26" s="775"/>
      <c r="T26" s="774"/>
      <c r="U26" s="775"/>
      <c r="V26" s="774"/>
      <c r="W26" s="775"/>
      <c r="X26" s="1813"/>
      <c r="Y26" s="3189"/>
      <c r="Z26" s="1814"/>
      <c r="AA26" s="1811">
        <v>1</v>
      </c>
      <c r="AB26" s="1811">
        <v>1</v>
      </c>
      <c r="AC26" s="1811">
        <v>1</v>
      </c>
    </row>
    <row r="27" spans="1:29" s="117" customFormat="1" ht="42.75">
      <c r="A27" s="649"/>
      <c r="B27" s="1384" t="s">
        <v>2652</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89"/>
      <c r="Q27" s="1795" t="str">
        <f t="shared" si="8"/>
        <v>公共配套设施</v>
      </c>
      <c r="R27" s="770" t="s">
        <v>17</v>
      </c>
      <c r="S27" s="771">
        <f>F27</f>
        <v>100</v>
      </c>
      <c r="T27" s="770" t="s">
        <v>17</v>
      </c>
      <c r="U27" s="771">
        <f>H27</f>
        <v>100</v>
      </c>
      <c r="V27" s="770" t="s">
        <v>17</v>
      </c>
      <c r="W27" s="771">
        <f>J27</f>
        <v>100</v>
      </c>
      <c r="X27" s="772"/>
      <c r="Y27" s="3189"/>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189"/>
      <c r="Q28" s="1795"/>
      <c r="R28" s="770"/>
      <c r="S28" s="771"/>
      <c r="T28" s="770"/>
      <c r="U28" s="771"/>
      <c r="V28" s="770"/>
      <c r="W28" s="771"/>
      <c r="X28" s="772"/>
      <c r="Y28" s="3189"/>
      <c r="Z28" s="55"/>
      <c r="AA28" s="1811">
        <v>1</v>
      </c>
      <c r="AB28" s="1811">
        <v>1</v>
      </c>
      <c r="AC28" s="1811">
        <v>1</v>
      </c>
    </row>
    <row r="29" spans="1:29" s="117" customFormat="1" ht="28.5">
      <c r="A29" s="649"/>
      <c r="B29" s="1384" t="s">
        <v>2653</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89"/>
      <c r="Q29" s="1795" t="str">
        <f t="shared" ref="Q29" si="9">B29</f>
        <v>基础设施水平</v>
      </c>
      <c r="R29" s="770" t="s">
        <v>17</v>
      </c>
      <c r="S29" s="771">
        <f>F29</f>
        <v>100</v>
      </c>
      <c r="T29" s="770" t="s">
        <v>17</v>
      </c>
      <c r="U29" s="771">
        <f>H29</f>
        <v>100</v>
      </c>
      <c r="V29" s="770" t="s">
        <v>17</v>
      </c>
      <c r="W29" s="771">
        <f>J29</f>
        <v>100</v>
      </c>
      <c r="X29" s="772"/>
      <c r="Y29" s="3189"/>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189"/>
      <c r="Q30" s="1795"/>
      <c r="R30" s="770"/>
      <c r="S30" s="771"/>
      <c r="T30" s="770"/>
      <c r="U30" s="771"/>
      <c r="V30" s="770"/>
      <c r="W30" s="771"/>
      <c r="X30" s="772"/>
      <c r="Y30" s="3189"/>
      <c r="Z30" s="55"/>
      <c r="AA30" s="1811">
        <v>1</v>
      </c>
      <c r="AB30" s="1811">
        <v>1</v>
      </c>
      <c r="AC30" s="1811">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89"/>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89"/>
      <c r="Z31" s="1814" t="str">
        <f t="shared" ref="Z31:Z45" si="13">Q31</f>
        <v>临街状况</v>
      </c>
      <c r="AA31" s="1811">
        <f t="shared" si="3"/>
        <v>1</v>
      </c>
      <c r="AB31" s="1811">
        <f t="shared" si="4"/>
        <v>1</v>
      </c>
      <c r="AC31" s="1811">
        <f t="shared" si="5"/>
        <v>1</v>
      </c>
    </row>
    <row r="32" spans="1:29" ht="27">
      <c r="A32" s="428"/>
      <c r="B32" s="1384"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89"/>
      <c r="Q32" s="1810" t="str">
        <f t="shared" si="8"/>
        <v>毗邻道路的类型与等级</v>
      </c>
      <c r="R32" s="774" t="s">
        <v>17</v>
      </c>
      <c r="S32" s="775">
        <f t="shared" si="10"/>
        <v>100</v>
      </c>
      <c r="T32" s="774" t="s">
        <v>17</v>
      </c>
      <c r="U32" s="775">
        <f t="shared" si="11"/>
        <v>100</v>
      </c>
      <c r="V32" s="774" t="s">
        <v>17</v>
      </c>
      <c r="W32" s="775">
        <f t="shared" si="12"/>
        <v>100</v>
      </c>
      <c r="X32" s="1813"/>
      <c r="Y32" s="3189"/>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189"/>
      <c r="Q33" s="1810"/>
      <c r="R33" s="774"/>
      <c r="S33" s="775"/>
      <c r="T33" s="774"/>
      <c r="U33" s="775"/>
      <c r="V33" s="774"/>
      <c r="W33" s="775"/>
      <c r="X33" s="1813"/>
      <c r="Y33" s="3189"/>
      <c r="Z33" s="1814"/>
      <c r="AA33" s="1811">
        <v>1</v>
      </c>
      <c r="AB33" s="1811">
        <v>1</v>
      </c>
      <c r="AC33" s="1811">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89"/>
      <c r="Q34" s="1810" t="str">
        <f t="shared" si="8"/>
        <v>土地级别</v>
      </c>
      <c r="R34" s="774" t="s">
        <v>17</v>
      </c>
      <c r="S34" s="775">
        <f t="shared" si="10"/>
        <v>100</v>
      </c>
      <c r="T34" s="774" t="s">
        <v>17</v>
      </c>
      <c r="U34" s="775">
        <f t="shared" si="11"/>
        <v>100</v>
      </c>
      <c r="V34" s="774" t="s">
        <v>17</v>
      </c>
      <c r="W34" s="775">
        <f t="shared" si="12"/>
        <v>100</v>
      </c>
      <c r="X34" s="1813"/>
      <c r="Y34" s="3189"/>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89"/>
      <c r="Q35" s="1810">
        <f t="shared" si="8"/>
        <v>111</v>
      </c>
      <c r="R35" s="774" t="s">
        <v>17</v>
      </c>
      <c r="S35" s="775">
        <f t="shared" si="10"/>
        <v>100</v>
      </c>
      <c r="T35" s="774" t="s">
        <v>17</v>
      </c>
      <c r="U35" s="775">
        <f t="shared" si="11"/>
        <v>100</v>
      </c>
      <c r="V35" s="774" t="s">
        <v>17</v>
      </c>
      <c r="W35" s="775">
        <f t="shared" si="12"/>
        <v>100</v>
      </c>
      <c r="X35" s="1813"/>
      <c r="Y35" s="3189"/>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44" t="s">
        <v>2563</v>
      </c>
      <c r="Q36" s="1810">
        <f t="shared" si="8"/>
        <v>111</v>
      </c>
      <c r="R36" s="774" t="s">
        <v>17</v>
      </c>
      <c r="S36" s="775">
        <f t="shared" si="10"/>
        <v>100</v>
      </c>
      <c r="T36" s="774" t="s">
        <v>17</v>
      </c>
      <c r="U36" s="775">
        <f t="shared" si="11"/>
        <v>100</v>
      </c>
      <c r="V36" s="774" t="s">
        <v>17</v>
      </c>
      <c r="W36" s="775">
        <f t="shared" si="12"/>
        <v>100</v>
      </c>
      <c r="X36" s="1813"/>
      <c r="Y36" s="3193" t="s">
        <v>2563</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93"/>
      <c r="Q37" s="1810">
        <f t="shared" si="8"/>
        <v>111</v>
      </c>
      <c r="R37" s="777" t="s">
        <v>17</v>
      </c>
      <c r="S37" s="778">
        <f t="shared" si="10"/>
        <v>100</v>
      </c>
      <c r="T37" s="777" t="s">
        <v>17</v>
      </c>
      <c r="U37" s="778">
        <f t="shared" si="11"/>
        <v>100</v>
      </c>
      <c r="V37" s="777" t="s">
        <v>17</v>
      </c>
      <c r="W37" s="778">
        <f t="shared" si="12"/>
        <v>100</v>
      </c>
      <c r="X37" s="779"/>
      <c r="Y37" s="3193"/>
      <c r="Z37" s="780">
        <f t="shared" si="13"/>
        <v>111</v>
      </c>
      <c r="AA37" s="1811">
        <f t="shared" si="3"/>
        <v>1</v>
      </c>
      <c r="AB37" s="1811">
        <f t="shared" si="4"/>
        <v>1</v>
      </c>
      <c r="AC37" s="1811">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93"/>
      <c r="Q38" s="1810" t="str">
        <f>B38</f>
        <v>宗地面积</v>
      </c>
      <c r="R38" s="774" t="s">
        <v>17</v>
      </c>
      <c r="S38" s="775" t="e">
        <f t="shared" si="10"/>
        <v>#N/A</v>
      </c>
      <c r="T38" s="774" t="s">
        <v>17</v>
      </c>
      <c r="U38" s="775" t="e">
        <f t="shared" si="11"/>
        <v>#N/A</v>
      </c>
      <c r="V38" s="774" t="s">
        <v>17</v>
      </c>
      <c r="W38" s="775" t="e">
        <f t="shared" si="12"/>
        <v>#N/A</v>
      </c>
      <c r="X38" s="1813"/>
      <c r="Y38" s="3193"/>
      <c r="Z38" s="1814" t="str">
        <f t="shared" si="13"/>
        <v>宗地面积</v>
      </c>
      <c r="AA38" s="1811" t="e">
        <f t="shared" si="3"/>
        <v>#N/A</v>
      </c>
      <c r="AB38" s="1811" t="e">
        <f t="shared" si="4"/>
        <v>#N/A</v>
      </c>
      <c r="AC38" s="1811" t="e">
        <f t="shared" si="5"/>
        <v>#N/A</v>
      </c>
    </row>
    <row r="39" spans="1:29" ht="15">
      <c r="A39" s="472"/>
      <c r="B39" s="422" t="s">
        <v>2750</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193"/>
      <c r="Q39" s="1810" t="str">
        <f t="shared" ref="Q39:Q45" si="14">B39</f>
        <v>宗地形状</v>
      </c>
      <c r="R39" s="774" t="s">
        <v>17</v>
      </c>
      <c r="S39" s="775">
        <f t="shared" si="10"/>
        <v>100</v>
      </c>
      <c r="T39" s="774" t="s">
        <v>17</v>
      </c>
      <c r="U39" s="775">
        <f t="shared" si="11"/>
        <v>100</v>
      </c>
      <c r="V39" s="774" t="s">
        <v>17</v>
      </c>
      <c r="W39" s="775">
        <f t="shared" si="12"/>
        <v>100</v>
      </c>
      <c r="X39" s="1813"/>
      <c r="Y39" s="3193"/>
      <c r="Z39" s="1814" t="str">
        <f t="shared" si="13"/>
        <v>宗地形状</v>
      </c>
      <c r="AA39" s="1811">
        <f t="shared" si="3"/>
        <v>1</v>
      </c>
      <c r="AB39" s="1811">
        <f t="shared" si="4"/>
        <v>1</v>
      </c>
      <c r="AC39" s="1811">
        <f t="shared" si="5"/>
        <v>1</v>
      </c>
    </row>
    <row r="40" spans="1:29" ht="15">
      <c r="A40" s="472"/>
      <c r="B40" s="422" t="s">
        <v>2751</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193"/>
      <c r="Q40" s="1810" t="str">
        <f t="shared" si="14"/>
        <v>临街宽度及深度</v>
      </c>
      <c r="R40" s="774" t="s">
        <v>17</v>
      </c>
      <c r="S40" s="775">
        <f t="shared" si="10"/>
        <v>100</v>
      </c>
      <c r="T40" s="774" t="s">
        <v>17</v>
      </c>
      <c r="U40" s="775">
        <f t="shared" si="11"/>
        <v>100</v>
      </c>
      <c r="V40" s="774" t="s">
        <v>17</v>
      </c>
      <c r="W40" s="775">
        <f t="shared" si="12"/>
        <v>100</v>
      </c>
      <c r="X40" s="1813"/>
      <c r="Y40" s="3193"/>
      <c r="Z40" s="1814" t="str">
        <f t="shared" si="13"/>
        <v>临街宽度及深度</v>
      </c>
      <c r="AA40" s="1811">
        <f t="shared" si="3"/>
        <v>1</v>
      </c>
      <c r="AB40" s="1811">
        <f t="shared" si="4"/>
        <v>1</v>
      </c>
      <c r="AC40" s="1811">
        <f t="shared" si="5"/>
        <v>1</v>
      </c>
    </row>
    <row r="41" spans="1:29" s="117" customFormat="1" ht="15">
      <c r="A41" s="473"/>
      <c r="B41" s="422" t="s">
        <v>2752</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193"/>
      <c r="Q41" s="1810" t="str">
        <f t="shared" si="14"/>
        <v>宗地开发程度</v>
      </c>
      <c r="R41" s="770" t="s">
        <v>17</v>
      </c>
      <c r="S41" s="771">
        <f t="shared" si="10"/>
        <v>100</v>
      </c>
      <c r="T41" s="770" t="s">
        <v>17</v>
      </c>
      <c r="U41" s="771">
        <f t="shared" si="11"/>
        <v>100</v>
      </c>
      <c r="V41" s="770" t="s">
        <v>17</v>
      </c>
      <c r="W41" s="771">
        <f t="shared" si="12"/>
        <v>100</v>
      </c>
      <c r="X41" s="772"/>
      <c r="Y41" s="3193"/>
      <c r="Z41" s="55" t="str">
        <f t="shared" si="13"/>
        <v>宗地开发程度</v>
      </c>
      <c r="AA41" s="773">
        <f t="shared" si="3"/>
        <v>1</v>
      </c>
      <c r="AB41" s="773">
        <f t="shared" si="4"/>
        <v>1</v>
      </c>
      <c r="AC41" s="773">
        <f t="shared" si="5"/>
        <v>1</v>
      </c>
    </row>
    <row r="42" spans="1:29" ht="15">
      <c r="A42" s="472"/>
      <c r="B42" s="422" t="s">
        <v>2753</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193" t="s">
        <v>2563</v>
      </c>
      <c r="Q42" s="1810" t="str">
        <f t="shared" si="14"/>
        <v>工程地质条件</v>
      </c>
      <c r="R42" s="774" t="s">
        <v>17</v>
      </c>
      <c r="S42" s="775">
        <f t="shared" si="10"/>
        <v>100</v>
      </c>
      <c r="T42" s="774" t="s">
        <v>17</v>
      </c>
      <c r="U42" s="775">
        <f t="shared" si="11"/>
        <v>100</v>
      </c>
      <c r="V42" s="774" t="s">
        <v>17</v>
      </c>
      <c r="W42" s="775">
        <f t="shared" si="12"/>
        <v>100</v>
      </c>
      <c r="X42" s="1813"/>
      <c r="Y42" s="3193" t="s">
        <v>2563</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93"/>
      <c r="Q43" s="1810">
        <f t="shared" si="14"/>
        <v>111</v>
      </c>
      <c r="R43" s="774" t="s">
        <v>17</v>
      </c>
      <c r="S43" s="775">
        <f t="shared" si="10"/>
        <v>100</v>
      </c>
      <c r="T43" s="774" t="s">
        <v>17</v>
      </c>
      <c r="U43" s="775">
        <f t="shared" si="11"/>
        <v>100</v>
      </c>
      <c r="V43" s="774" t="s">
        <v>17</v>
      </c>
      <c r="W43" s="775">
        <f t="shared" si="12"/>
        <v>100</v>
      </c>
      <c r="X43" s="1813"/>
      <c r="Y43" s="3193"/>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93"/>
      <c r="Q44" s="1810">
        <f t="shared" si="14"/>
        <v>111</v>
      </c>
      <c r="R44" s="774" t="s">
        <v>17</v>
      </c>
      <c r="S44" s="775">
        <f t="shared" si="10"/>
        <v>100</v>
      </c>
      <c r="T44" s="774" t="s">
        <v>17</v>
      </c>
      <c r="U44" s="775">
        <f t="shared" si="11"/>
        <v>100</v>
      </c>
      <c r="V44" s="774" t="s">
        <v>17</v>
      </c>
      <c r="W44" s="775">
        <f t="shared" si="12"/>
        <v>100</v>
      </c>
      <c r="X44" s="1813"/>
      <c r="Y44" s="3193"/>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93"/>
      <c r="Q45" s="1810">
        <f t="shared" si="14"/>
        <v>111</v>
      </c>
      <c r="R45" s="777" t="s">
        <v>17</v>
      </c>
      <c r="S45" s="778">
        <f t="shared" si="10"/>
        <v>100</v>
      </c>
      <c r="T45" s="777" t="s">
        <v>17</v>
      </c>
      <c r="U45" s="778">
        <f t="shared" si="11"/>
        <v>100</v>
      </c>
      <c r="V45" s="777" t="s">
        <v>17</v>
      </c>
      <c r="W45" s="778">
        <f t="shared" si="12"/>
        <v>100</v>
      </c>
      <c r="X45" s="779"/>
      <c r="Y45" s="3193"/>
      <c r="Z45" s="780">
        <f t="shared" si="13"/>
        <v>111</v>
      </c>
      <c r="AA45" s="1811">
        <f t="shared" si="3"/>
        <v>1</v>
      </c>
      <c r="AB45" s="1811">
        <f t="shared" si="4"/>
        <v>1</v>
      </c>
      <c r="AC45" s="1811">
        <f t="shared" si="5"/>
        <v>1</v>
      </c>
    </row>
    <row r="46" spans="1:29" ht="15">
      <c r="A46" s="479" t="s">
        <v>2718</v>
      </c>
      <c r="B46" s="2707" t="s">
        <v>2754</v>
      </c>
      <c r="C46" s="682" t="s">
        <v>1</v>
      </c>
      <c r="D46" s="481"/>
      <c r="E46" s="482"/>
      <c r="F46" s="483"/>
      <c r="G46" s="484"/>
      <c r="H46" s="485"/>
      <c r="I46" s="482"/>
      <c r="J46" s="485"/>
      <c r="K46" s="783"/>
      <c r="L46" s="1143"/>
      <c r="M46" s="1144"/>
      <c r="N46" s="1131"/>
      <c r="O46" s="1144"/>
      <c r="P46" s="3186" t="str">
        <f>A46</f>
        <v>成交单价</v>
      </c>
      <c r="Q46" s="3186"/>
      <c r="R46" s="3217">
        <f>E46</f>
        <v>0</v>
      </c>
      <c r="S46" s="3217"/>
      <c r="T46" s="3217">
        <f>G46</f>
        <v>0</v>
      </c>
      <c r="U46" s="3217"/>
      <c r="V46" s="3217">
        <f>I46</f>
        <v>0</v>
      </c>
      <c r="W46" s="3217"/>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3"/>
      <c r="M47" s="1144"/>
      <c r="N47" s="1144"/>
      <c r="O47" s="1144"/>
      <c r="P47" s="3186" t="str">
        <f>A47</f>
        <v>比较价值（元/平方米）</v>
      </c>
      <c r="Q47" s="3186"/>
      <c r="R47" s="3245" t="e">
        <f>ROUND(PRODUCT(R46,AA7:AA45),0)</f>
        <v>#DIV/0!</v>
      </c>
      <c r="S47" s="3245"/>
      <c r="T47" s="3245" t="e">
        <f>ROUND(PRODUCT(T46,AB7:AB45),0)</f>
        <v>#DIV/0!</v>
      </c>
      <c r="U47" s="3245"/>
      <c r="V47" s="3245" t="e">
        <f>ROUND(PRODUCT(V46,AC7:AC45),0)</f>
        <v>#DIV/0!</v>
      </c>
      <c r="W47" s="3245"/>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3"/>
      <c r="M48" s="1144"/>
      <c r="N48" s="1144"/>
      <c r="O48" s="1144"/>
      <c r="P48" s="3183" t="str">
        <f>A48</f>
        <v>估价对象XX用房的比较价值（楼面单价，元/平方米）</v>
      </c>
      <c r="Q48" s="3184"/>
      <c r="R48" s="3246" t="e">
        <f>ROUND(AVERAGE(R47:V47),0)</f>
        <v>#DIV/0!</v>
      </c>
      <c r="S48" s="3246"/>
      <c r="T48" s="3246"/>
      <c r="U48" s="3246"/>
      <c r="V48" s="3246"/>
      <c r="W48" s="324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2756</v>
      </c>
      <c r="B55" s="685" t="s">
        <v>2757</v>
      </c>
      <c r="C55" s="2708" t="s">
        <v>2758</v>
      </c>
      <c r="D55" s="2709" t="s">
        <v>2759</v>
      </c>
      <c r="E55" s="686" t="s">
        <v>2760</v>
      </c>
      <c r="F55" s="1107" t="s">
        <v>2761</v>
      </c>
      <c r="G55" s="3201" t="s">
        <v>2762</v>
      </c>
      <c r="H55" s="3247"/>
      <c r="I55" s="144" t="s">
        <v>2763</v>
      </c>
      <c r="J55" s="2710">
        <f>项目基本情况!F35</f>
        <v>0</v>
      </c>
      <c r="K55" s="2711" t="s">
        <v>2764</v>
      </c>
      <c r="L55" s="1106"/>
      <c r="M55" s="1144"/>
      <c r="N55" s="1144"/>
      <c r="O55" s="1144"/>
    </row>
    <row r="56" spans="1:15" s="692" customFormat="1">
      <c r="A56" s="688" t="s">
        <v>2765</v>
      </c>
      <c r="B56" s="689" t="e">
        <f>C48</f>
        <v>#DIV/0!</v>
      </c>
      <c r="C56" s="690">
        <v>1</v>
      </c>
      <c r="D56" s="1163">
        <v>1</v>
      </c>
      <c r="E56" s="690">
        <f>'数据-汇总表'!E8+'数据-汇总表'!E9</f>
        <v>21060.7</v>
      </c>
      <c r="F56" s="1103" t="e">
        <f t="shared" ref="F56:F65" si="15">ROUND(B56*E56/10000,0)</f>
        <v>#DIV/0!</v>
      </c>
      <c r="G56" s="3197"/>
      <c r="H56" s="3186"/>
      <c r="I56" s="1108">
        <v>1</v>
      </c>
      <c r="J56" s="1111">
        <v>1</v>
      </c>
      <c r="K56" s="1145"/>
      <c r="L56" s="941"/>
      <c r="M56" s="941"/>
      <c r="N56" s="941"/>
      <c r="O56" s="941"/>
    </row>
    <row r="57" spans="1:15" s="692" customFormat="1">
      <c r="A57" s="693" t="s">
        <v>2766</v>
      </c>
      <c r="B57" s="262" t="e">
        <f>ROUND($C$48*C57*D57,0)</f>
        <v>#DIV/0!</v>
      </c>
      <c r="C57" s="200">
        <f t="shared" ref="C57:C65" si="16">IF($C$55="北京市系数",I57,J57)</f>
        <v>0.7</v>
      </c>
      <c r="D57" s="1164">
        <v>0.25</v>
      </c>
      <c r="E57" s="694"/>
      <c r="F57" s="1103" t="e">
        <f t="shared" si="15"/>
        <v>#DIV/0!</v>
      </c>
      <c r="G57" s="3248" t="s">
        <v>2767</v>
      </c>
      <c r="H57" s="1104" t="str">
        <f>项目基本情况!B37</f>
        <v>六级</v>
      </c>
      <c r="I57" s="1108">
        <f>SUMIF(修正!A45:A56,H57,修正!B45:B56)</f>
        <v>0.7</v>
      </c>
      <c r="J57" s="1112"/>
      <c r="K57" s="1144"/>
      <c r="L57" s="941"/>
      <c r="M57" s="941"/>
      <c r="N57" s="941"/>
      <c r="O57" s="941"/>
    </row>
    <row r="58" spans="1:15" s="692" customFormat="1">
      <c r="A58" s="693" t="s">
        <v>2768</v>
      </c>
      <c r="B58" s="262" t="e">
        <f t="shared" ref="B58:B65" si="17">ROUND($C$48*C58*D58,0)</f>
        <v>#DIV/0!</v>
      </c>
      <c r="C58" s="200">
        <f t="shared" si="16"/>
        <v>0.4</v>
      </c>
      <c r="D58" s="1164">
        <v>0.25</v>
      </c>
      <c r="E58" s="694"/>
      <c r="F58" s="1103" t="e">
        <f t="shared" si="15"/>
        <v>#DIV/0!</v>
      </c>
      <c r="G58" s="3248"/>
      <c r="H58" s="1104" t="str">
        <f>项目基本情况!B37</f>
        <v>六级</v>
      </c>
      <c r="I58" s="1108">
        <f>SUMIF(修正!A45:A56,H58,修正!C45:C56)</f>
        <v>0.4</v>
      </c>
      <c r="J58" s="1112"/>
      <c r="K58" s="1145"/>
      <c r="L58" s="941"/>
      <c r="M58" s="941"/>
      <c r="N58" s="941"/>
      <c r="O58" s="941"/>
    </row>
    <row r="59" spans="1:15" s="692" customFormat="1">
      <c r="A59" s="693" t="s">
        <v>2769</v>
      </c>
      <c r="B59" s="262" t="e">
        <f t="shared" si="17"/>
        <v>#DIV/0!</v>
      </c>
      <c r="C59" s="200">
        <f t="shared" si="16"/>
        <v>0.28000000000000003</v>
      </c>
      <c r="D59" s="1164">
        <v>0.25</v>
      </c>
      <c r="E59" s="694"/>
      <c r="F59" s="1103" t="e">
        <f t="shared" si="15"/>
        <v>#DIV/0!</v>
      </c>
      <c r="G59" s="3248"/>
      <c r="H59" s="1104" t="str">
        <f>项目基本情况!B37</f>
        <v>六级</v>
      </c>
      <c r="I59" s="1108">
        <f>SUMIF(修正!A45:A56,H59,修正!D45:D56)</f>
        <v>0.28000000000000003</v>
      </c>
      <c r="J59" s="1112"/>
      <c r="K59" s="1144"/>
      <c r="L59" s="941"/>
      <c r="M59" s="941"/>
      <c r="N59" s="941"/>
      <c r="O59" s="941"/>
    </row>
    <row r="60" spans="1:15" s="692" customFormat="1">
      <c r="A60" s="693" t="s">
        <v>2770</v>
      </c>
      <c r="B60" s="262" t="e">
        <f t="shared" si="17"/>
        <v>#DIV/0!</v>
      </c>
      <c r="C60" s="200">
        <f t="shared" si="16"/>
        <v>0.25</v>
      </c>
      <c r="D60" s="1164">
        <v>0.25</v>
      </c>
      <c r="E60" s="694"/>
      <c r="F60" s="1103" t="e">
        <f t="shared" si="15"/>
        <v>#DIV/0!</v>
      </c>
      <c r="G60" s="3248"/>
      <c r="H60" s="1104" t="str">
        <f>项目基本情况!B37</f>
        <v>六级</v>
      </c>
      <c r="I60" s="1108">
        <f>SUMIF(修正!A45:A56,H60,修正!E45:E56)</f>
        <v>0.25</v>
      </c>
      <c r="J60" s="1112"/>
      <c r="K60" s="1145"/>
      <c r="L60" s="941"/>
      <c r="M60" s="941"/>
      <c r="N60" s="941"/>
      <c r="O60" s="941"/>
    </row>
    <row r="61" spans="1:15" s="692" customFormat="1">
      <c r="A61" s="693" t="s">
        <v>2771</v>
      </c>
      <c r="B61" s="262" t="e">
        <f t="shared" si="17"/>
        <v>#DIV/0!</v>
      </c>
      <c r="C61" s="200">
        <f t="shared" si="16"/>
        <v>0.25</v>
      </c>
      <c r="D61" s="1164">
        <v>0.25</v>
      </c>
      <c r="E61" s="261">
        <f>'数据-汇总表'!E11</f>
        <v>0</v>
      </c>
      <c r="F61" s="1103" t="e">
        <f t="shared" si="15"/>
        <v>#DIV/0!</v>
      </c>
      <c r="G61" s="2712" t="s">
        <v>2772</v>
      </c>
      <c r="H61" s="1104" t="str">
        <f>项目基本情况!C37</f>
        <v>六级</v>
      </c>
      <c r="I61" s="1108">
        <f>SUMIF(修正!A45:A56,H61,修正!F45:F56)</f>
        <v>0.25</v>
      </c>
      <c r="J61" s="1112"/>
      <c r="K61" s="1144"/>
      <c r="L61" s="941"/>
      <c r="M61" s="941"/>
      <c r="N61" s="941"/>
      <c r="O61" s="941"/>
    </row>
    <row r="62" spans="1:15" s="692" customFormat="1">
      <c r="A62" s="693" t="s">
        <v>2773</v>
      </c>
      <c r="B62" s="262" t="e">
        <f t="shared" si="17"/>
        <v>#DIV/0!</v>
      </c>
      <c r="C62" s="200">
        <f t="shared" si="16"/>
        <v>0.25</v>
      </c>
      <c r="D62" s="1164">
        <v>0.25</v>
      </c>
      <c r="E62" s="261">
        <f>'数据-汇总表'!E12</f>
        <v>617.01</v>
      </c>
      <c r="F62" s="1103" t="e">
        <f t="shared" si="15"/>
        <v>#DIV/0!</v>
      </c>
      <c r="G62" s="1109" t="s">
        <v>2774</v>
      </c>
      <c r="H62" s="1104" t="str">
        <f>IF(G62="商业",项目基本情况!B37,IF(G62="办公",项目基本情况!C37,IF(G62="住宅",项目基本情况!D37,项目基本情况!E37)))</f>
        <v>六级</v>
      </c>
      <c r="I62" s="1108">
        <f>SUMIF(修正!A45:A56,H62,修正!G45:G56)</f>
        <v>0.25</v>
      </c>
      <c r="J62" s="1112"/>
      <c r="K62" s="1145"/>
      <c r="L62" s="941"/>
      <c r="M62" s="941"/>
      <c r="N62" s="941"/>
      <c r="O62" s="941"/>
    </row>
    <row r="63" spans="1:15" s="692" customFormat="1">
      <c r="A63" s="693" t="s">
        <v>2775</v>
      </c>
      <c r="B63" s="262" t="e">
        <f t="shared" si="17"/>
        <v>#DIV/0!</v>
      </c>
      <c r="C63" s="200">
        <f t="shared" si="16"/>
        <v>0</v>
      </c>
      <c r="D63" s="1164">
        <v>0.25</v>
      </c>
      <c r="E63" s="261">
        <f>'数据-汇总表'!E13</f>
        <v>0</v>
      </c>
      <c r="F63" s="1103" t="e">
        <f t="shared" si="15"/>
        <v>#DIV/0!</v>
      </c>
      <c r="G63" s="1109" t="s">
        <v>2776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2777</v>
      </c>
      <c r="B64" s="262" t="e">
        <f t="shared" si="17"/>
        <v>#DIV/0!</v>
      </c>
      <c r="C64" s="200">
        <f t="shared" si="16"/>
        <v>0.2</v>
      </c>
      <c r="D64" s="1164">
        <v>0.25</v>
      </c>
      <c r="E64" s="261">
        <f>'数据-汇总表'!E14</f>
        <v>0</v>
      </c>
      <c r="F64" s="1103" t="e">
        <f t="shared" si="15"/>
        <v>#DIV/0!</v>
      </c>
      <c r="G64" s="2712" t="s">
        <v>2767</v>
      </c>
      <c r="H64" s="1104" t="str">
        <f>项目基本情况!B37</f>
        <v>六级</v>
      </c>
      <c r="I64" s="1108">
        <f>SUMIF(修正!A45:A56,H64,修正!H45:H56)</f>
        <v>0.2</v>
      </c>
      <c r="J64" s="1112"/>
      <c r="K64" s="1145"/>
      <c r="L64" s="941"/>
      <c r="M64" s="941"/>
      <c r="N64" s="941"/>
      <c r="O64" s="941"/>
    </row>
    <row r="65" spans="1:17" s="692" customFormat="1" ht="15" thickBot="1">
      <c r="A65" s="693" t="s">
        <v>2778</v>
      </c>
      <c r="B65" s="262" t="e">
        <f t="shared" si="17"/>
        <v>#DIV/0!</v>
      </c>
      <c r="C65" s="200">
        <f t="shared" si="16"/>
        <v>0.2</v>
      </c>
      <c r="D65" s="1164">
        <v>0.25</v>
      </c>
      <c r="E65" s="261">
        <f>'数据-汇总表'!E15</f>
        <v>0</v>
      </c>
      <c r="F65" s="1103" t="e">
        <f t="shared" si="15"/>
        <v>#DIV/0!</v>
      </c>
      <c r="G65" s="2713" t="s">
        <v>2772</v>
      </c>
      <c r="H65" s="1114" t="str">
        <f>项目基本情况!C37</f>
        <v>六级</v>
      </c>
      <c r="I65" s="1110">
        <f>SUMIF(修正!A45:A56,H65,修正!H45:H56)</f>
        <v>0.2</v>
      </c>
      <c r="J65" s="1113"/>
      <c r="K65" s="1144"/>
      <c r="L65" s="941"/>
      <c r="M65" s="941"/>
      <c r="N65" s="941"/>
      <c r="O65" s="941"/>
    </row>
    <row r="66" spans="1:17" s="692" customFormat="1" ht="13.5" thickBot="1">
      <c r="A66" s="695" t="s">
        <v>2779</v>
      </c>
      <c r="B66" s="696" t="s">
        <v>28</v>
      </c>
      <c r="C66" s="696" t="s">
        <v>29</v>
      </c>
      <c r="D66" s="696" t="s">
        <v>1026</v>
      </c>
      <c r="E66" s="696">
        <f>IF(B46="楼面地价",SUM(E56:E65),'数据-汇总表'!D3)</f>
        <v>21677.71</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2672</v>
      </c>
      <c r="B69" s="759"/>
      <c r="C69" s="764"/>
      <c r="D69" s="764"/>
      <c r="E69" s="764"/>
      <c r="F69" s="765"/>
      <c r="G69" s="765"/>
      <c r="H69" s="764"/>
      <c r="I69" s="764"/>
      <c r="J69" s="1159"/>
      <c r="K69" s="1160"/>
      <c r="L69" s="1161"/>
      <c r="M69" s="1159"/>
      <c r="N69" s="1159"/>
      <c r="O69" s="1159"/>
      <c r="P69" s="503"/>
      <c r="Q69" s="504"/>
    </row>
    <row r="70" spans="1:17" s="508" customFormat="1" ht="15">
      <c r="A70" s="2714" t="s">
        <v>2780</v>
      </c>
      <c r="B70" s="1359"/>
      <c r="C70" s="1572" t="str">
        <f>YEAR(C68)&amp;"-"&amp;ROUNDUP(MONTH(C68)/3,0)</f>
        <v>2019-1</v>
      </c>
      <c r="D70" s="1572" t="str">
        <f>YEAR(D68)&amp;"-"&amp;ROUNDUP(MONTH(D68)/3,0)</f>
        <v>2018-4</v>
      </c>
      <c r="E70" s="1572" t="str">
        <f t="shared" ref="E70:O70" si="19">YEAR(E68)&amp;"-"&amp;ROUNDUP(MONTH(E68)/3,0)</f>
        <v>2018-3</v>
      </c>
      <c r="F70" s="1572" t="str">
        <f t="shared" si="19"/>
        <v>2018-2</v>
      </c>
      <c r="G70" s="1572" t="str">
        <f t="shared" si="19"/>
        <v>2018-1</v>
      </c>
      <c r="H70" s="1572" t="str">
        <f t="shared" si="19"/>
        <v>2017-4</v>
      </c>
      <c r="I70" s="1572" t="str">
        <f t="shared" si="19"/>
        <v>2017-3</v>
      </c>
      <c r="J70" s="1572" t="str">
        <f t="shared" si="19"/>
        <v>2017-2</v>
      </c>
      <c r="K70" s="1572" t="str">
        <f t="shared" si="19"/>
        <v>2017-1</v>
      </c>
      <c r="L70" s="1572" t="str">
        <f t="shared" si="19"/>
        <v>2016-4</v>
      </c>
      <c r="M70" s="1572" t="str">
        <f t="shared" si="19"/>
        <v>2016-3</v>
      </c>
      <c r="N70" s="1572" t="str">
        <f t="shared" si="19"/>
        <v>2016-2</v>
      </c>
      <c r="O70" s="1572" t="str">
        <f t="shared" si="19"/>
        <v>2016-1</v>
      </c>
      <c r="P70" s="507"/>
    </row>
    <row r="71" spans="1:17" s="117" customFormat="1" ht="30" customHeight="1">
      <c r="A71" s="2715" t="s">
        <v>2781</v>
      </c>
      <c r="B71" s="332" t="str">
        <f>"北京市平均增长率"&amp;TEXT(SUMIF('基准地价修正-办公'!N21:N25,A71,'基准地价修正-办公'!P21:P25),"0.00%")</f>
        <v>北京市平均增长率2.34%</v>
      </c>
      <c r="C71" s="603">
        <v>100</v>
      </c>
      <c r="D71" s="595"/>
      <c r="E71" s="595"/>
      <c r="F71" s="595"/>
      <c r="G71" s="595"/>
      <c r="H71" s="595"/>
      <c r="I71" s="595"/>
      <c r="J71" s="595"/>
      <c r="K71" s="595"/>
      <c r="L71" s="595"/>
      <c r="M71" s="1567"/>
      <c r="N71" s="595"/>
      <c r="O71" s="1568"/>
      <c r="P71" s="504"/>
    </row>
    <row r="72" spans="1:17" s="117" customFormat="1" ht="15.75" thickBot="1">
      <c r="A72" s="515" t="s">
        <v>2583</v>
      </c>
      <c r="B72" s="516"/>
      <c r="C72" s="517"/>
      <c r="D72" s="518"/>
      <c r="E72" s="518"/>
      <c r="F72" s="518"/>
      <c r="G72" s="518"/>
      <c r="H72" s="518"/>
      <c r="I72" s="518"/>
      <c r="J72" s="518"/>
      <c r="K72" s="518"/>
      <c r="L72" s="518"/>
      <c r="M72" s="519"/>
      <c r="N72" s="518"/>
      <c r="O72" s="1162"/>
      <c r="P72" s="504"/>
      <c r="Q72" s="504"/>
    </row>
    <row r="73" spans="1:17" s="117" customFormat="1" ht="15">
      <c r="A73" s="521" t="s">
        <v>2548</v>
      </c>
      <c r="B73" s="510"/>
      <c r="C73" s="522" t="s">
        <v>2650</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2586</v>
      </c>
      <c r="B75" s="528" t="s">
        <v>2552</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2555</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2790</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2791</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2792</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2793</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7" priority="14" stopIfTrue="1" operator="containsText" text="超过">
      <formula>NOT(ISERROR(SEARCH("超过",F51)))</formula>
    </cfRule>
  </conditionalFormatting>
  <conditionalFormatting sqref="J53">
    <cfRule type="containsText" dxfId="46" priority="13" stopIfTrue="1" operator="containsText" text="超过">
      <formula>NOT(ISERROR(SEARCH("超过",J53)))</formula>
    </cfRule>
  </conditionalFormatting>
  <conditionalFormatting sqref="H53">
    <cfRule type="containsText" dxfId="45" priority="12" stopIfTrue="1" operator="containsText" text="超过">
      <formula>NOT(ISERROR(SEARCH("超过",H53)))</formula>
    </cfRule>
  </conditionalFormatting>
  <conditionalFormatting sqref="F53">
    <cfRule type="containsText" dxfId="44" priority="11" stopIfTrue="1" operator="containsText" text="超过">
      <formula>NOT(ISERROR(SEARCH("超过",F53)))</formula>
    </cfRule>
  </conditionalFormatting>
  <conditionalFormatting sqref="F52 H52 J52">
    <cfRule type="containsText" dxfId="43" priority="10" stopIfTrue="1" operator="containsText" text="超过">
      <formula>NOT(ISERROR(SEARCH("超过",F52)))</formula>
    </cfRule>
  </conditionalFormatting>
  <conditionalFormatting sqref="E51">
    <cfRule type="expression" dxfId="42" priority="9" stopIfTrue="1">
      <formula>$F$51="超过30%"</formula>
    </cfRule>
  </conditionalFormatting>
  <conditionalFormatting sqref="G53">
    <cfRule type="expression" dxfId="41" priority="8" stopIfTrue="1">
      <formula>$H$53="超过30%"</formula>
    </cfRule>
  </conditionalFormatting>
  <conditionalFormatting sqref="E52">
    <cfRule type="expression" dxfId="40" priority="7" stopIfTrue="1">
      <formula>$F$52="超过20%"</formula>
    </cfRule>
  </conditionalFormatting>
  <conditionalFormatting sqref="E53">
    <cfRule type="expression" dxfId="39" priority="6" stopIfTrue="1">
      <formula>$F$53="超过30%"</formula>
    </cfRule>
  </conditionalFormatting>
  <conditionalFormatting sqref="G51">
    <cfRule type="expression" dxfId="38" priority="5" stopIfTrue="1">
      <formula>$H$53+$H$51="超过30%"</formula>
    </cfRule>
  </conditionalFormatting>
  <conditionalFormatting sqref="G52">
    <cfRule type="expression" dxfId="37" priority="4" stopIfTrue="1">
      <formula>$H$52="超过20%"</formula>
    </cfRule>
  </conditionalFormatting>
  <conditionalFormatting sqref="I51">
    <cfRule type="expression" dxfId="36" priority="3" stopIfTrue="1">
      <formula>$J$51="超过30%"</formula>
    </cfRule>
  </conditionalFormatting>
  <conditionalFormatting sqref="I52">
    <cfRule type="expression" dxfId="35" priority="2" stopIfTrue="1">
      <formula>$J$52="超过20%"</formula>
    </cfRule>
  </conditionalFormatting>
  <conditionalFormatting sqref="I53">
    <cfRule type="expression" dxfId="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1" t="s">
        <v>2644</v>
      </c>
      <c r="D4" s="3202"/>
      <c r="E4" s="3203" t="s">
        <v>2645</v>
      </c>
      <c r="F4" s="3204"/>
      <c r="G4" s="3201" t="s">
        <v>2646</v>
      </c>
      <c r="H4" s="3202"/>
      <c r="I4" s="3201" t="s">
        <v>2647</v>
      </c>
      <c r="J4" s="3202"/>
      <c r="K4" s="610" t="s">
        <v>2648</v>
      </c>
      <c r="L4" s="1130"/>
      <c r="M4" s="1131"/>
      <c r="N4" s="1131"/>
      <c r="O4" s="1131"/>
      <c r="P4" s="3205" t="s">
        <v>2649</v>
      </c>
      <c r="Q4" s="3206"/>
      <c r="R4" s="3211" t="s">
        <v>2645</v>
      </c>
      <c r="S4" s="3212"/>
      <c r="T4" s="3211" t="s">
        <v>2646</v>
      </c>
      <c r="U4" s="3212"/>
      <c r="V4" s="3217" t="s">
        <v>2647</v>
      </c>
      <c r="W4" s="3217"/>
      <c r="X4" s="1813"/>
      <c r="Y4" s="3211" t="s">
        <v>2649</v>
      </c>
      <c r="Z4" s="3212"/>
      <c r="AA4" s="3198" t="s">
        <v>2645</v>
      </c>
      <c r="AB4" s="3199" t="s">
        <v>2646</v>
      </c>
      <c r="AC4" s="3198" t="s">
        <v>2647</v>
      </c>
    </row>
    <row r="5" spans="1:29" ht="15">
      <c r="A5" s="404"/>
      <c r="B5" s="405"/>
      <c r="C5" s="3220" t="s">
        <v>2540</v>
      </c>
      <c r="D5" s="3221"/>
      <c r="E5" s="3227" t="s">
        <v>2541</v>
      </c>
      <c r="F5" s="3228"/>
      <c r="G5" s="3220" t="s">
        <v>2542</v>
      </c>
      <c r="H5" s="3221"/>
      <c r="I5" s="3220" t="s">
        <v>2543</v>
      </c>
      <c r="J5" s="3221"/>
      <c r="K5" s="610"/>
      <c r="L5" s="1130"/>
      <c r="M5" s="1131"/>
      <c r="N5" s="1131"/>
      <c r="O5" s="1131"/>
      <c r="P5" s="3207"/>
      <c r="Q5" s="3208"/>
      <c r="R5" s="3213"/>
      <c r="S5" s="3214"/>
      <c r="T5" s="3213"/>
      <c r="U5" s="3214"/>
      <c r="V5" s="3217"/>
      <c r="W5" s="3217"/>
      <c r="X5" s="1813"/>
      <c r="Y5" s="3213"/>
      <c r="Z5" s="3214"/>
      <c r="AA5" s="3199"/>
      <c r="AB5" s="3199"/>
      <c r="AC5" s="3199"/>
    </row>
    <row r="6" spans="1:29" ht="15.75" thickBot="1">
      <c r="A6" s="406"/>
      <c r="B6" s="407"/>
      <c r="C6" s="3249" t="s">
        <v>2795</v>
      </c>
      <c r="D6" s="3250"/>
      <c r="E6" s="3251" t="s">
        <v>2795</v>
      </c>
      <c r="F6" s="3252"/>
      <c r="G6" s="3249" t="s">
        <v>2795</v>
      </c>
      <c r="H6" s="3250"/>
      <c r="I6" s="3249" t="s">
        <v>2795</v>
      </c>
      <c r="J6" s="3250"/>
      <c r="K6" s="610" t="s">
        <v>2545</v>
      </c>
      <c r="L6" s="1130"/>
      <c r="M6" s="1131"/>
      <c r="N6" s="1131"/>
      <c r="O6" s="1131"/>
      <c r="P6" s="3209"/>
      <c r="Q6" s="3210"/>
      <c r="R6" s="3213"/>
      <c r="S6" s="3214"/>
      <c r="T6" s="3215"/>
      <c r="U6" s="3216"/>
      <c r="V6" s="3217"/>
      <c r="W6" s="3217"/>
      <c r="X6" s="1813"/>
      <c r="Y6" s="3215"/>
      <c r="Z6" s="3216"/>
      <c r="AA6" s="3200"/>
      <c r="AB6" s="3200"/>
      <c r="AC6" s="3200"/>
    </row>
    <row r="7" spans="1:29" s="117" customFormat="1" ht="15.75" thickBot="1">
      <c r="A7" s="408" t="s">
        <v>2546</v>
      </c>
      <c r="B7" s="409"/>
      <c r="C7" s="410">
        <f>'数据-取费表'!B2</f>
        <v>43538</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222" t="s">
        <v>2547</v>
      </c>
      <c r="Q7" s="3224"/>
      <c r="R7" s="770" t="s">
        <v>17</v>
      </c>
      <c r="S7" s="771">
        <f t="shared" ref="S7:S15" si="0">F7</f>
        <v>0</v>
      </c>
      <c r="T7" s="770" t="s">
        <v>17</v>
      </c>
      <c r="U7" s="771">
        <f t="shared" ref="U7:U15" si="1">H7</f>
        <v>0</v>
      </c>
      <c r="V7" s="770" t="s">
        <v>17</v>
      </c>
      <c r="W7" s="771">
        <f t="shared" ref="W7:W15" si="2">J7</f>
        <v>0</v>
      </c>
      <c r="X7" s="772"/>
      <c r="Y7" s="3222" t="s">
        <v>2547</v>
      </c>
      <c r="Z7" s="3223"/>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2" t="s">
        <v>2550</v>
      </c>
      <c r="Q8" s="3223"/>
      <c r="R8" s="770" t="s">
        <v>17</v>
      </c>
      <c r="S8" s="771">
        <f t="shared" si="0"/>
        <v>0</v>
      </c>
      <c r="T8" s="770" t="s">
        <v>17</v>
      </c>
      <c r="U8" s="771">
        <f t="shared" si="1"/>
        <v>0</v>
      </c>
      <c r="V8" s="770" t="s">
        <v>17</v>
      </c>
      <c r="W8" s="771">
        <f t="shared" si="2"/>
        <v>0</v>
      </c>
      <c r="X8" s="772"/>
      <c r="Y8" s="3222" t="s">
        <v>2550</v>
      </c>
      <c r="Z8" s="3223"/>
      <c r="AA8" s="773" t="e">
        <f t="shared" ref="AA8:AA40" si="3">D8/F8</f>
        <v>#DIV/0!</v>
      </c>
      <c r="AB8" s="773" t="e">
        <f t="shared" ref="AB8:AB40" si="4">D8/H8</f>
        <v>#DIV/0!</v>
      </c>
      <c r="AC8" s="773" t="e">
        <f t="shared" ref="AC8:AC40" si="5">D8/J8</f>
        <v>#DIV/0!</v>
      </c>
    </row>
    <row r="9" spans="1:29" s="117" customFormat="1">
      <c r="A9" s="415" t="s">
        <v>2551</v>
      </c>
      <c r="B9" s="71" t="s">
        <v>2552</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186" t="s">
        <v>2553</v>
      </c>
      <c r="Q9" s="1795" t="str">
        <f t="shared" ref="Q9:Q15" si="6">B9</f>
        <v>用途</v>
      </c>
      <c r="R9" s="770" t="s">
        <v>17</v>
      </c>
      <c r="S9" s="771">
        <f t="shared" si="0"/>
        <v>100</v>
      </c>
      <c r="T9" s="770" t="s">
        <v>17</v>
      </c>
      <c r="U9" s="771">
        <f t="shared" si="1"/>
        <v>100</v>
      </c>
      <c r="V9" s="770" t="s">
        <v>17</v>
      </c>
      <c r="W9" s="771">
        <f t="shared" si="2"/>
        <v>100</v>
      </c>
      <c r="X9" s="772"/>
      <c r="Y9" s="3011"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110</v>
      </c>
      <c r="G10" s="432"/>
      <c r="H10" s="136">
        <f>ROUND(100/'数据-取费表'!G16,0)</f>
        <v>110</v>
      </c>
      <c r="I10" s="432"/>
      <c r="J10" s="136">
        <f>ROUND(100/'数据-取费表'!G16,0)</f>
        <v>110</v>
      </c>
      <c r="K10" s="672"/>
      <c r="L10" s="1135"/>
      <c r="M10" s="1136"/>
      <c r="N10" s="1136"/>
      <c r="O10" s="1137"/>
      <c r="P10" s="3186"/>
      <c r="Q10" s="1795" t="str">
        <f t="shared" si="6"/>
        <v>土地使用年限（年）</v>
      </c>
      <c r="R10" s="770" t="s">
        <v>17</v>
      </c>
      <c r="S10" s="771">
        <f t="shared" si="0"/>
        <v>110</v>
      </c>
      <c r="T10" s="770" t="s">
        <v>17</v>
      </c>
      <c r="U10" s="771">
        <f t="shared" si="1"/>
        <v>110</v>
      </c>
      <c r="V10" s="770" t="s">
        <v>17</v>
      </c>
      <c r="W10" s="771">
        <f t="shared" si="2"/>
        <v>110</v>
      </c>
      <c r="X10" s="772"/>
      <c r="Y10" s="3011"/>
      <c r="Z10" s="55" t="str">
        <f t="shared" si="7"/>
        <v>土地使用年限（年）</v>
      </c>
      <c r="AA10" s="773">
        <f t="shared" si="3"/>
        <v>0.90909090909090906</v>
      </c>
      <c r="AB10" s="773">
        <f t="shared" si="4"/>
        <v>0.90909090909090906</v>
      </c>
      <c r="AC10" s="773">
        <f t="shared" si="5"/>
        <v>0.90909090909090906</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86"/>
      <c r="Q11" s="1795" t="str">
        <f t="shared" si="6"/>
        <v>容积率</v>
      </c>
      <c r="R11" s="770" t="s">
        <v>17</v>
      </c>
      <c r="S11" s="771" t="e">
        <f t="shared" si="0"/>
        <v>#N/A</v>
      </c>
      <c r="T11" s="770" t="s">
        <v>17</v>
      </c>
      <c r="U11" s="771" t="e">
        <f t="shared" si="1"/>
        <v>#N/A</v>
      </c>
      <c r="V11" s="770" t="s">
        <v>17</v>
      </c>
      <c r="W11" s="771" t="e">
        <f t="shared" si="2"/>
        <v>#N/A</v>
      </c>
      <c r="X11" s="772"/>
      <c r="Y11" s="3011"/>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86"/>
      <c r="Q12" s="1795">
        <f t="shared" si="6"/>
        <v>111</v>
      </c>
      <c r="R12" s="770" t="s">
        <v>17</v>
      </c>
      <c r="S12" s="771">
        <f t="shared" si="0"/>
        <v>100</v>
      </c>
      <c r="T12" s="770" t="s">
        <v>17</v>
      </c>
      <c r="U12" s="771">
        <f t="shared" si="1"/>
        <v>100</v>
      </c>
      <c r="V12" s="770" t="s">
        <v>17</v>
      </c>
      <c r="W12" s="771">
        <f t="shared" si="2"/>
        <v>100</v>
      </c>
      <c r="X12" s="772"/>
      <c r="Y12" s="3011"/>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86"/>
      <c r="Q13" s="1795">
        <f t="shared" si="6"/>
        <v>111</v>
      </c>
      <c r="R13" s="770" t="s">
        <v>17</v>
      </c>
      <c r="S13" s="771">
        <f t="shared" si="0"/>
        <v>100</v>
      </c>
      <c r="T13" s="770" t="s">
        <v>17</v>
      </c>
      <c r="U13" s="771">
        <f t="shared" si="1"/>
        <v>100</v>
      </c>
      <c r="V13" s="770" t="s">
        <v>17</v>
      </c>
      <c r="W13" s="771">
        <f t="shared" si="2"/>
        <v>100</v>
      </c>
      <c r="X13" s="772"/>
      <c r="Y13" s="3011"/>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86"/>
      <c r="Q14" s="1795">
        <f t="shared" si="6"/>
        <v>111</v>
      </c>
      <c r="R14" s="770" t="s">
        <v>17</v>
      </c>
      <c r="S14" s="771">
        <f t="shared" si="0"/>
        <v>100</v>
      </c>
      <c r="T14" s="770" t="s">
        <v>17</v>
      </c>
      <c r="U14" s="771">
        <f t="shared" si="1"/>
        <v>100</v>
      </c>
      <c r="V14" s="770" t="s">
        <v>17</v>
      </c>
      <c r="W14" s="771">
        <f t="shared" si="2"/>
        <v>100</v>
      </c>
      <c r="X14" s="772"/>
      <c r="Y14" s="3011"/>
      <c r="Z14" s="55">
        <f t="shared" si="7"/>
        <v>111</v>
      </c>
      <c r="AA14" s="773">
        <f t="shared" si="3"/>
        <v>1</v>
      </c>
      <c r="AB14" s="773">
        <f t="shared" si="4"/>
        <v>1</v>
      </c>
      <c r="AC14" s="773">
        <f t="shared" si="5"/>
        <v>1</v>
      </c>
    </row>
    <row r="15" spans="1:29" ht="57">
      <c r="A15" s="440" t="s">
        <v>2557</v>
      </c>
      <c r="B15" s="629" t="s">
        <v>2796</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88" t="s">
        <v>2558</v>
      </c>
      <c r="Q15" s="1810" t="str">
        <f t="shared" si="6"/>
        <v>产业集聚程度</v>
      </c>
      <c r="R15" s="774" t="s">
        <v>17</v>
      </c>
      <c r="S15" s="775">
        <f t="shared" si="0"/>
        <v>100</v>
      </c>
      <c r="T15" s="774" t="s">
        <v>17</v>
      </c>
      <c r="U15" s="775">
        <f t="shared" si="1"/>
        <v>100</v>
      </c>
      <c r="V15" s="774" t="s">
        <v>17</v>
      </c>
      <c r="W15" s="775">
        <f t="shared" si="2"/>
        <v>100</v>
      </c>
      <c r="X15" s="1813"/>
      <c r="Y15" s="3188" t="s">
        <v>2558</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189"/>
      <c r="Q16" s="1810"/>
      <c r="R16" s="774"/>
      <c r="S16" s="775"/>
      <c r="T16" s="774"/>
      <c r="U16" s="775"/>
      <c r="V16" s="774"/>
      <c r="W16" s="775"/>
      <c r="X16" s="1813"/>
      <c r="Y16" s="3189"/>
      <c r="Z16" s="1814"/>
      <c r="AA16" s="1811">
        <v>1</v>
      </c>
      <c r="AB16" s="1811">
        <v>1</v>
      </c>
      <c r="AC16" s="1811">
        <v>1</v>
      </c>
    </row>
    <row r="17" spans="1:29" ht="85.5">
      <c r="A17" s="428"/>
      <c r="B17" s="631" t="s">
        <v>2707</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89"/>
      <c r="Q17" s="1810" t="str">
        <f>B17</f>
        <v>交通便捷度</v>
      </c>
      <c r="R17" s="774" t="s">
        <v>17</v>
      </c>
      <c r="S17" s="775">
        <f>F17</f>
        <v>100</v>
      </c>
      <c r="T17" s="774" t="s">
        <v>17</v>
      </c>
      <c r="U17" s="775">
        <f>H17</f>
        <v>100</v>
      </c>
      <c r="V17" s="774" t="s">
        <v>17</v>
      </c>
      <c r="W17" s="775">
        <f>J17</f>
        <v>100</v>
      </c>
      <c r="X17" s="1813"/>
      <c r="Y17" s="3189"/>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189"/>
      <c r="Q18" s="1810"/>
      <c r="R18" s="774"/>
      <c r="S18" s="775"/>
      <c r="T18" s="774"/>
      <c r="U18" s="775"/>
      <c r="V18" s="774"/>
      <c r="W18" s="775"/>
      <c r="X18" s="1813"/>
      <c r="Y18" s="3189"/>
      <c r="Z18" s="1814"/>
      <c r="AA18" s="1811">
        <v>1</v>
      </c>
      <c r="AB18" s="1811">
        <v>1</v>
      </c>
      <c r="AC18" s="1811">
        <v>1</v>
      </c>
    </row>
    <row r="19" spans="1:29" ht="15">
      <c r="A19" s="428"/>
      <c r="B19" s="631" t="s">
        <v>2746</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89"/>
      <c r="Q19" s="1810" t="str">
        <f t="shared" ref="Q19:Q33" si="8">B19</f>
        <v>区域土地利用方向</v>
      </c>
      <c r="R19" s="774" t="s">
        <v>17</v>
      </c>
      <c r="S19" s="775">
        <f>F19</f>
        <v>100</v>
      </c>
      <c r="T19" s="774" t="s">
        <v>17</v>
      </c>
      <c r="U19" s="775">
        <f>H19</f>
        <v>100</v>
      </c>
      <c r="V19" s="774" t="s">
        <v>17</v>
      </c>
      <c r="W19" s="775">
        <f>J19</f>
        <v>100</v>
      </c>
      <c r="X19" s="1813"/>
      <c r="Y19" s="3189"/>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09"/>
      <c r="L20" s="1140"/>
      <c r="M20" s="1131"/>
      <c r="N20" s="1131"/>
      <c r="O20" s="1139"/>
      <c r="P20" s="3189"/>
      <c r="Q20" s="1810"/>
      <c r="R20" s="774"/>
      <c r="S20" s="775"/>
      <c r="T20" s="774"/>
      <c r="U20" s="775"/>
      <c r="V20" s="774"/>
      <c r="W20" s="775"/>
      <c r="X20" s="1813"/>
      <c r="Y20" s="3189"/>
      <c r="Z20" s="1814"/>
      <c r="AA20" s="1811"/>
      <c r="AB20" s="1811"/>
      <c r="AC20" s="1811"/>
    </row>
    <row r="21" spans="1:29" ht="71.25">
      <c r="A21" s="404"/>
      <c r="B21" s="631" t="s">
        <v>2797</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89"/>
      <c r="Q21" s="1810" t="str">
        <f t="shared" si="8"/>
        <v>环境状况</v>
      </c>
      <c r="R21" s="774" t="s">
        <v>17</v>
      </c>
      <c r="S21" s="775">
        <f>F21</f>
        <v>100</v>
      </c>
      <c r="T21" s="774" t="s">
        <v>17</v>
      </c>
      <c r="U21" s="775">
        <f>H21</f>
        <v>100</v>
      </c>
      <c r="V21" s="774" t="s">
        <v>17</v>
      </c>
      <c r="W21" s="775">
        <f>J21</f>
        <v>100</v>
      </c>
      <c r="X21" s="1813"/>
      <c r="Y21" s="3189"/>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189"/>
      <c r="Q22" s="1810"/>
      <c r="R22" s="774"/>
      <c r="S22" s="775"/>
      <c r="T22" s="774"/>
      <c r="U22" s="775"/>
      <c r="V22" s="774"/>
      <c r="W22" s="775"/>
      <c r="X22" s="1813"/>
      <c r="Y22" s="3189"/>
      <c r="Z22" s="1814"/>
      <c r="AA22" s="1811">
        <v>1</v>
      </c>
      <c r="AB22" s="1811">
        <v>1</v>
      </c>
      <c r="AC22" s="1811">
        <v>1</v>
      </c>
    </row>
    <row r="23" spans="1:29" s="117" customFormat="1" ht="42.75">
      <c r="A23" s="649"/>
      <c r="B23" s="633" t="s">
        <v>2652</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89"/>
      <c r="Q23" s="1795" t="str">
        <f t="shared" si="8"/>
        <v>公共配套设施</v>
      </c>
      <c r="R23" s="770" t="s">
        <v>17</v>
      </c>
      <c r="S23" s="771">
        <f>F23</f>
        <v>100</v>
      </c>
      <c r="T23" s="770" t="s">
        <v>17</v>
      </c>
      <c r="U23" s="771">
        <f>H23</f>
        <v>100</v>
      </c>
      <c r="V23" s="770" t="s">
        <v>17</v>
      </c>
      <c r="W23" s="771">
        <f>J23</f>
        <v>100</v>
      </c>
      <c r="X23" s="772"/>
      <c r="Y23" s="3189"/>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189"/>
      <c r="Q24" s="1795"/>
      <c r="R24" s="770"/>
      <c r="S24" s="771"/>
      <c r="T24" s="770"/>
      <c r="U24" s="771"/>
      <c r="V24" s="770"/>
      <c r="W24" s="771"/>
      <c r="X24" s="772"/>
      <c r="Y24" s="3189"/>
      <c r="Z24" s="55"/>
      <c r="AA24" s="773">
        <v>1</v>
      </c>
      <c r="AB24" s="773">
        <v>1</v>
      </c>
      <c r="AC24" s="773">
        <v>1</v>
      </c>
    </row>
    <row r="25" spans="1:29" s="117" customFormat="1" ht="28.5">
      <c r="A25" s="649"/>
      <c r="B25" s="633" t="s">
        <v>2653</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89"/>
      <c r="Q25" s="1795" t="str">
        <f t="shared" ref="Q25" si="9">B25</f>
        <v>基础设施水平</v>
      </c>
      <c r="R25" s="770" t="s">
        <v>17</v>
      </c>
      <c r="S25" s="771">
        <f>F25</f>
        <v>100</v>
      </c>
      <c r="T25" s="770" t="s">
        <v>17</v>
      </c>
      <c r="U25" s="771">
        <f>H25</f>
        <v>100</v>
      </c>
      <c r="V25" s="770" t="s">
        <v>17</v>
      </c>
      <c r="W25" s="771">
        <f>J25</f>
        <v>100</v>
      </c>
      <c r="X25" s="772"/>
      <c r="Y25" s="3189"/>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189"/>
      <c r="Q26" s="1795"/>
      <c r="R26" s="770"/>
      <c r="S26" s="771"/>
      <c r="T26" s="770"/>
      <c r="U26" s="771"/>
      <c r="V26" s="770"/>
      <c r="W26" s="771"/>
      <c r="X26" s="772"/>
      <c r="Y26" s="3189"/>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89"/>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89"/>
      <c r="Z27" s="1814" t="str">
        <f t="shared" ref="Z27:Z40" si="13">Q27</f>
        <v>临街状况</v>
      </c>
      <c r="AA27" s="1811">
        <f t="shared" si="3"/>
        <v>1</v>
      </c>
      <c r="AB27" s="1811">
        <f t="shared" si="4"/>
        <v>1</v>
      </c>
      <c r="AC27" s="1811">
        <f t="shared" si="5"/>
        <v>1</v>
      </c>
    </row>
    <row r="28" spans="1:29" ht="27">
      <c r="A28" s="428"/>
      <c r="B28" s="633" t="s">
        <v>2689</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89"/>
      <c r="Q28" s="1810" t="str">
        <f t="shared" si="8"/>
        <v>毗邻道路的类型与等级</v>
      </c>
      <c r="R28" s="774" t="s">
        <v>17</v>
      </c>
      <c r="S28" s="775">
        <f t="shared" si="10"/>
        <v>100</v>
      </c>
      <c r="T28" s="774" t="s">
        <v>17</v>
      </c>
      <c r="U28" s="775">
        <f t="shared" si="11"/>
        <v>100</v>
      </c>
      <c r="V28" s="774" t="s">
        <v>17</v>
      </c>
      <c r="W28" s="775">
        <f t="shared" si="12"/>
        <v>100</v>
      </c>
      <c r="X28" s="1813"/>
      <c r="Y28" s="3189"/>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189"/>
      <c r="Q29" s="1810"/>
      <c r="R29" s="774"/>
      <c r="S29" s="775"/>
      <c r="T29" s="774"/>
      <c r="U29" s="775"/>
      <c r="V29" s="774"/>
      <c r="W29" s="775"/>
      <c r="X29" s="1813"/>
      <c r="Y29" s="3189"/>
      <c r="Z29" s="1814"/>
      <c r="AA29" s="1811">
        <v>1</v>
      </c>
      <c r="AB29" s="1811">
        <v>1</v>
      </c>
      <c r="AC29" s="1811">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89"/>
      <c r="Q30" s="1810" t="str">
        <f t="shared" si="8"/>
        <v>土地级别</v>
      </c>
      <c r="R30" s="774" t="s">
        <v>17</v>
      </c>
      <c r="S30" s="775">
        <f t="shared" si="10"/>
        <v>100</v>
      </c>
      <c r="T30" s="774" t="s">
        <v>17</v>
      </c>
      <c r="U30" s="775">
        <f t="shared" si="11"/>
        <v>100</v>
      </c>
      <c r="V30" s="774" t="s">
        <v>17</v>
      </c>
      <c r="W30" s="775">
        <f t="shared" si="12"/>
        <v>100</v>
      </c>
      <c r="X30" s="1813"/>
      <c r="Y30" s="3189"/>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89"/>
      <c r="Q31" s="1810">
        <f t="shared" si="8"/>
        <v>111</v>
      </c>
      <c r="R31" s="774" t="s">
        <v>17</v>
      </c>
      <c r="S31" s="775">
        <f t="shared" si="10"/>
        <v>100</v>
      </c>
      <c r="T31" s="774" t="s">
        <v>17</v>
      </c>
      <c r="U31" s="775">
        <f t="shared" si="11"/>
        <v>100</v>
      </c>
      <c r="V31" s="774" t="s">
        <v>17</v>
      </c>
      <c r="W31" s="775">
        <f t="shared" si="12"/>
        <v>100</v>
      </c>
      <c r="X31" s="1813"/>
      <c r="Y31" s="3189"/>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44" t="s">
        <v>2563</v>
      </c>
      <c r="Q32" s="1810">
        <f t="shared" si="8"/>
        <v>111</v>
      </c>
      <c r="R32" s="774" t="s">
        <v>17</v>
      </c>
      <c r="S32" s="775">
        <f t="shared" si="10"/>
        <v>100</v>
      </c>
      <c r="T32" s="774" t="s">
        <v>17</v>
      </c>
      <c r="U32" s="775">
        <f t="shared" si="11"/>
        <v>100</v>
      </c>
      <c r="V32" s="774" t="s">
        <v>17</v>
      </c>
      <c r="W32" s="775">
        <f t="shared" si="12"/>
        <v>100</v>
      </c>
      <c r="X32" s="1813"/>
      <c r="Y32" s="3193" t="s">
        <v>2563</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93"/>
      <c r="Q33" s="1810">
        <f t="shared" si="8"/>
        <v>111</v>
      </c>
      <c r="R33" s="777" t="s">
        <v>17</v>
      </c>
      <c r="S33" s="778">
        <f t="shared" si="10"/>
        <v>100</v>
      </c>
      <c r="T33" s="777" t="s">
        <v>17</v>
      </c>
      <c r="U33" s="778">
        <f t="shared" si="11"/>
        <v>100</v>
      </c>
      <c r="V33" s="777" t="s">
        <v>17</v>
      </c>
      <c r="W33" s="778">
        <f t="shared" si="12"/>
        <v>100</v>
      </c>
      <c r="X33" s="779"/>
      <c r="Y33" s="3193"/>
      <c r="Z33" s="780">
        <f t="shared" si="13"/>
        <v>111</v>
      </c>
      <c r="AA33" s="1811">
        <f t="shared" si="3"/>
        <v>1</v>
      </c>
      <c r="AB33" s="1811">
        <f t="shared" si="4"/>
        <v>1</v>
      </c>
      <c r="AC33" s="1811">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93"/>
      <c r="Q34" s="1810" t="str">
        <f>B34</f>
        <v>宗地面积</v>
      </c>
      <c r="R34" s="774" t="s">
        <v>17</v>
      </c>
      <c r="S34" s="775" t="e">
        <f t="shared" si="10"/>
        <v>#N/A</v>
      </c>
      <c r="T34" s="774" t="s">
        <v>17</v>
      </c>
      <c r="U34" s="775" t="e">
        <f t="shared" si="11"/>
        <v>#N/A</v>
      </c>
      <c r="V34" s="774" t="s">
        <v>17</v>
      </c>
      <c r="W34" s="775" t="e">
        <f t="shared" si="12"/>
        <v>#N/A</v>
      </c>
      <c r="X34" s="1813"/>
      <c r="Y34" s="3193"/>
      <c r="Z34" s="1814" t="str">
        <f t="shared" si="13"/>
        <v>宗地面积</v>
      </c>
      <c r="AA34" s="1811" t="e">
        <f t="shared" si="3"/>
        <v>#N/A</v>
      </c>
      <c r="AB34" s="1811" t="e">
        <f t="shared" si="4"/>
        <v>#N/A</v>
      </c>
      <c r="AC34" s="1811" t="e">
        <f t="shared" si="5"/>
        <v>#N/A</v>
      </c>
    </row>
    <row r="35" spans="1:29" ht="15">
      <c r="A35" s="472"/>
      <c r="B35" s="422" t="s">
        <v>2750</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193"/>
      <c r="Q35" s="1810" t="str">
        <f t="shared" ref="Q35:Q40" si="14">B35</f>
        <v>宗地形状</v>
      </c>
      <c r="R35" s="774" t="s">
        <v>17</v>
      </c>
      <c r="S35" s="775">
        <f t="shared" si="10"/>
        <v>100</v>
      </c>
      <c r="T35" s="774" t="s">
        <v>17</v>
      </c>
      <c r="U35" s="775">
        <f t="shared" si="11"/>
        <v>100</v>
      </c>
      <c r="V35" s="774" t="s">
        <v>17</v>
      </c>
      <c r="W35" s="775">
        <f t="shared" si="12"/>
        <v>100</v>
      </c>
      <c r="X35" s="1813"/>
      <c r="Y35" s="3193"/>
      <c r="Z35" s="1814" t="str">
        <f t="shared" si="13"/>
        <v>宗地形状</v>
      </c>
      <c r="AA35" s="1811">
        <f t="shared" si="3"/>
        <v>1</v>
      </c>
      <c r="AB35" s="1811">
        <f t="shared" si="4"/>
        <v>1</v>
      </c>
      <c r="AC35" s="1811">
        <f t="shared" si="5"/>
        <v>1</v>
      </c>
    </row>
    <row r="36" spans="1:29" s="117" customFormat="1" ht="15">
      <c r="A36" s="473"/>
      <c r="B36" s="422" t="s">
        <v>2752</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193"/>
      <c r="Q36" s="1810" t="str">
        <f t="shared" si="14"/>
        <v>宗地开发程度</v>
      </c>
      <c r="R36" s="770" t="s">
        <v>17</v>
      </c>
      <c r="S36" s="771">
        <f t="shared" si="10"/>
        <v>100</v>
      </c>
      <c r="T36" s="770" t="s">
        <v>17</v>
      </c>
      <c r="U36" s="771">
        <f t="shared" si="11"/>
        <v>100</v>
      </c>
      <c r="V36" s="770" t="s">
        <v>17</v>
      </c>
      <c r="W36" s="771">
        <f t="shared" si="12"/>
        <v>100</v>
      </c>
      <c r="X36" s="772"/>
      <c r="Y36" s="3193"/>
      <c r="Z36" s="55" t="str">
        <f t="shared" si="13"/>
        <v>宗地开发程度</v>
      </c>
      <c r="AA36" s="773">
        <f t="shared" si="3"/>
        <v>1</v>
      </c>
      <c r="AB36" s="773">
        <f t="shared" si="4"/>
        <v>1</v>
      </c>
      <c r="AC36" s="773">
        <f t="shared" si="5"/>
        <v>1</v>
      </c>
    </row>
    <row r="37" spans="1:29" ht="15">
      <c r="A37" s="472"/>
      <c r="B37" s="422" t="s">
        <v>2753</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193" t="s">
        <v>2563</v>
      </c>
      <c r="Q37" s="1810" t="str">
        <f t="shared" si="14"/>
        <v>工程地质条件</v>
      </c>
      <c r="R37" s="774" t="s">
        <v>17</v>
      </c>
      <c r="S37" s="775">
        <f t="shared" si="10"/>
        <v>100</v>
      </c>
      <c r="T37" s="774" t="s">
        <v>17</v>
      </c>
      <c r="U37" s="775">
        <f t="shared" si="11"/>
        <v>100</v>
      </c>
      <c r="V37" s="774" t="s">
        <v>17</v>
      </c>
      <c r="W37" s="775">
        <f t="shared" si="12"/>
        <v>100</v>
      </c>
      <c r="X37" s="1813"/>
      <c r="Y37" s="3193" t="s">
        <v>2563</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93"/>
      <c r="Q38" s="1810">
        <f t="shared" si="14"/>
        <v>111</v>
      </c>
      <c r="R38" s="774" t="s">
        <v>17</v>
      </c>
      <c r="S38" s="775">
        <f t="shared" si="10"/>
        <v>100</v>
      </c>
      <c r="T38" s="774" t="s">
        <v>17</v>
      </c>
      <c r="U38" s="775">
        <f t="shared" si="11"/>
        <v>100</v>
      </c>
      <c r="V38" s="774" t="s">
        <v>17</v>
      </c>
      <c r="W38" s="775">
        <f t="shared" si="12"/>
        <v>100</v>
      </c>
      <c r="X38" s="1813"/>
      <c r="Y38" s="3193"/>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93"/>
      <c r="Q39" s="1810">
        <f t="shared" si="14"/>
        <v>111</v>
      </c>
      <c r="R39" s="774" t="s">
        <v>17</v>
      </c>
      <c r="S39" s="775">
        <f t="shared" si="10"/>
        <v>100</v>
      </c>
      <c r="T39" s="774" t="s">
        <v>17</v>
      </c>
      <c r="U39" s="775">
        <f t="shared" si="11"/>
        <v>100</v>
      </c>
      <c r="V39" s="774" t="s">
        <v>17</v>
      </c>
      <c r="W39" s="775">
        <f t="shared" si="12"/>
        <v>100</v>
      </c>
      <c r="X39" s="1813"/>
      <c r="Y39" s="3193"/>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93"/>
      <c r="Q40" s="1810">
        <f t="shared" si="14"/>
        <v>111</v>
      </c>
      <c r="R40" s="777" t="s">
        <v>17</v>
      </c>
      <c r="S40" s="778">
        <f t="shared" si="10"/>
        <v>100</v>
      </c>
      <c r="T40" s="777" t="s">
        <v>17</v>
      </c>
      <c r="U40" s="778">
        <f t="shared" si="11"/>
        <v>100</v>
      </c>
      <c r="V40" s="777" t="s">
        <v>17</v>
      </c>
      <c r="W40" s="778">
        <f t="shared" si="12"/>
        <v>100</v>
      </c>
      <c r="X40" s="779"/>
      <c r="Y40" s="3193"/>
      <c r="Z40" s="780">
        <f t="shared" si="13"/>
        <v>111</v>
      </c>
      <c r="AA40" s="1811">
        <f t="shared" si="3"/>
        <v>1</v>
      </c>
      <c r="AB40" s="1811">
        <f t="shared" si="4"/>
        <v>1</v>
      </c>
      <c r="AC40" s="1811">
        <f t="shared" si="5"/>
        <v>1</v>
      </c>
    </row>
    <row r="41" spans="1:29" ht="15">
      <c r="A41" s="479" t="s">
        <v>2718</v>
      </c>
      <c r="B41" s="2707" t="s">
        <v>2798</v>
      </c>
      <c r="C41" s="682" t="s">
        <v>1</v>
      </c>
      <c r="D41" s="481"/>
      <c r="E41" s="482"/>
      <c r="F41" s="483"/>
      <c r="G41" s="484"/>
      <c r="H41" s="485"/>
      <c r="I41" s="482"/>
      <c r="J41" s="485"/>
      <c r="K41" s="783"/>
      <c r="L41" s="1143"/>
      <c r="M41" s="1131"/>
      <c r="N41" s="1131"/>
      <c r="O41" s="1144"/>
      <c r="P41" s="3186" t="str">
        <f>A41</f>
        <v>成交单价</v>
      </c>
      <c r="Q41" s="3186"/>
      <c r="R41" s="3217">
        <f>E41</f>
        <v>0</v>
      </c>
      <c r="S41" s="3217"/>
      <c r="T41" s="3217">
        <f>G41</f>
        <v>0</v>
      </c>
      <c r="U41" s="3217"/>
      <c r="V41" s="3217">
        <f>I41</f>
        <v>0</v>
      </c>
      <c r="W41" s="3217"/>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186" t="str">
        <f>A42</f>
        <v>比较价值（元/平方米）</v>
      </c>
      <c r="Q42" s="3186"/>
      <c r="R42" s="3245" t="e">
        <f>ROUND(PRODUCT(R41,AA7:AA40),0)</f>
        <v>#DIV/0!</v>
      </c>
      <c r="S42" s="3245"/>
      <c r="T42" s="3245" t="e">
        <f>ROUND(PRODUCT(T41,AB7:AB40),0)</f>
        <v>#DIV/0!</v>
      </c>
      <c r="U42" s="3245"/>
      <c r="V42" s="3245" t="e">
        <f>ROUND(PRODUCT(V41,AC7:AC40),0)</f>
        <v>#DIV/0!</v>
      </c>
      <c r="W42" s="3245"/>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3"/>
      <c r="M43" s="1131"/>
      <c r="N43" s="1131"/>
      <c r="O43" s="1144"/>
      <c r="P43" s="3183" t="str">
        <f>A43</f>
        <v>估价对象XX用房的比较价值（楼面单价，元/平方米）</v>
      </c>
      <c r="Q43" s="3184"/>
      <c r="R43" s="3246" t="e">
        <f>ROUND(AVERAGE(R42:V42),0)</f>
        <v>#DIV/0!</v>
      </c>
      <c r="S43" s="3246"/>
      <c r="T43" s="3246"/>
      <c r="U43" s="3246"/>
      <c r="V43" s="3246"/>
      <c r="W43" s="324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2756</v>
      </c>
      <c r="B50" s="685" t="s">
        <v>2757</v>
      </c>
      <c r="C50" s="2708" t="s">
        <v>2758</v>
      </c>
      <c r="D50" s="2709" t="s">
        <v>2759</v>
      </c>
      <c r="E50" s="686" t="s">
        <v>2760</v>
      </c>
      <c r="F50" s="687" t="s">
        <v>2761</v>
      </c>
      <c r="G50" s="3201" t="s">
        <v>2762</v>
      </c>
      <c r="H50" s="3247"/>
      <c r="I50" s="1814" t="s">
        <v>2799</v>
      </c>
      <c r="J50" s="1814">
        <f>项目基本情况!F35</f>
        <v>0</v>
      </c>
      <c r="K50" s="2711" t="s">
        <v>2764</v>
      </c>
      <c r="L50" s="1106"/>
      <c r="M50" s="1144"/>
      <c r="N50" s="1144"/>
      <c r="O50" s="1144"/>
    </row>
    <row r="51" spans="1:17" s="692" customFormat="1">
      <c r="A51" s="688" t="s">
        <v>2765</v>
      </c>
      <c r="B51" s="689" t="e">
        <f>C43</f>
        <v>#DIV/0!</v>
      </c>
      <c r="C51" s="690">
        <v>1</v>
      </c>
      <c r="D51" s="1163">
        <v>1</v>
      </c>
      <c r="E51" s="690">
        <f>'数据-汇总表'!E8+'数据-汇总表'!E9</f>
        <v>21060.7</v>
      </c>
      <c r="F51" s="691" t="e">
        <f t="shared" ref="F51:F60" si="15">ROUND(B51*E51/10000,0)</f>
        <v>#DIV/0!</v>
      </c>
      <c r="G51" s="3197"/>
      <c r="H51" s="3186"/>
      <c r="I51" s="942">
        <v>1</v>
      </c>
      <c r="J51" s="942">
        <v>1</v>
      </c>
      <c r="K51" s="1145"/>
      <c r="L51" s="941"/>
      <c r="M51" s="941"/>
      <c r="N51" s="941"/>
      <c r="O51" s="941"/>
    </row>
    <row r="52" spans="1:17" s="692" customFormat="1">
      <c r="A52" s="693" t="s">
        <v>2766</v>
      </c>
      <c r="B52" s="262" t="e">
        <f>ROUND($C$43*C52*D52,0)</f>
        <v>#DIV/0!</v>
      </c>
      <c r="C52" s="200">
        <f t="shared" ref="C52:C60" si="16">IF($C$50="北京市系数",I52,J52)</f>
        <v>0.7</v>
      </c>
      <c r="D52" s="1164">
        <v>0.25</v>
      </c>
      <c r="E52" s="694"/>
      <c r="F52" s="691" t="e">
        <f t="shared" si="15"/>
        <v>#DIV/0!</v>
      </c>
      <c r="G52" s="3248" t="s">
        <v>2767</v>
      </c>
      <c r="H52" s="1104" t="str">
        <f>项目基本情况!B37</f>
        <v>六级</v>
      </c>
      <c r="I52" s="942">
        <f>SUMIF(修正!A45:A56,H52,修正!B45:B56)</f>
        <v>0.7</v>
      </c>
      <c r="J52" s="943"/>
      <c r="K52" s="1144"/>
      <c r="L52" s="941"/>
      <c r="M52" s="941"/>
      <c r="N52" s="941"/>
      <c r="O52" s="941"/>
    </row>
    <row r="53" spans="1:17" s="692" customFormat="1">
      <c r="A53" s="693" t="s">
        <v>2768</v>
      </c>
      <c r="B53" s="262" t="e">
        <f t="shared" ref="B53:B60" si="17">ROUND($C$43*C53*D53,0)</f>
        <v>#DIV/0!</v>
      </c>
      <c r="C53" s="200">
        <f t="shared" si="16"/>
        <v>0.4</v>
      </c>
      <c r="D53" s="1164">
        <v>0.25</v>
      </c>
      <c r="E53" s="694"/>
      <c r="F53" s="691" t="e">
        <f t="shared" si="15"/>
        <v>#DIV/0!</v>
      </c>
      <c r="G53" s="3248"/>
      <c r="H53" s="1104" t="str">
        <f>项目基本情况!B37</f>
        <v>六级</v>
      </c>
      <c r="I53" s="942">
        <f>SUMIF(修正!A45:A56,H53,修正!C45:C56)</f>
        <v>0.4</v>
      </c>
      <c r="J53" s="943"/>
      <c r="K53" s="1145"/>
      <c r="L53" s="941"/>
      <c r="M53" s="941"/>
      <c r="N53" s="941"/>
      <c r="O53" s="941"/>
    </row>
    <row r="54" spans="1:17" s="692" customFormat="1">
      <c r="A54" s="693" t="s">
        <v>2769</v>
      </c>
      <c r="B54" s="262" t="e">
        <f t="shared" si="17"/>
        <v>#DIV/0!</v>
      </c>
      <c r="C54" s="200">
        <f t="shared" si="16"/>
        <v>0.28000000000000003</v>
      </c>
      <c r="D54" s="1164">
        <v>0.25</v>
      </c>
      <c r="E54" s="694"/>
      <c r="F54" s="691" t="e">
        <f t="shared" si="15"/>
        <v>#DIV/0!</v>
      </c>
      <c r="G54" s="3248"/>
      <c r="H54" s="1104" t="str">
        <f>项目基本情况!B37</f>
        <v>六级</v>
      </c>
      <c r="I54" s="942">
        <f>SUMIF(修正!A45:A56,H54,修正!D45:D56)</f>
        <v>0.28000000000000003</v>
      </c>
      <c r="J54" s="943"/>
      <c r="K54" s="1144"/>
      <c r="L54" s="941"/>
      <c r="M54" s="941"/>
      <c r="N54" s="941"/>
      <c r="O54" s="941"/>
    </row>
    <row r="55" spans="1:17" s="692" customFormat="1">
      <c r="A55" s="693" t="s">
        <v>2770</v>
      </c>
      <c r="B55" s="262" t="e">
        <f t="shared" si="17"/>
        <v>#DIV/0!</v>
      </c>
      <c r="C55" s="200">
        <f t="shared" si="16"/>
        <v>0.25</v>
      </c>
      <c r="D55" s="1164">
        <v>0.25</v>
      </c>
      <c r="E55" s="694"/>
      <c r="F55" s="691" t="e">
        <f t="shared" si="15"/>
        <v>#DIV/0!</v>
      </c>
      <c r="G55" s="3248"/>
      <c r="H55" s="1104" t="str">
        <f>项目基本情况!B37</f>
        <v>六级</v>
      </c>
      <c r="I55" s="942">
        <f>SUMIF(修正!A45:A56,H55,修正!E45:E56)</f>
        <v>0.25</v>
      </c>
      <c r="J55" s="943"/>
      <c r="K55" s="1145"/>
      <c r="L55" s="941"/>
      <c r="M55" s="941"/>
      <c r="N55" s="941"/>
      <c r="O55" s="941"/>
    </row>
    <row r="56" spans="1:17" s="692" customFormat="1">
      <c r="A56" s="693" t="s">
        <v>2771</v>
      </c>
      <c r="B56" s="262" t="e">
        <f t="shared" si="17"/>
        <v>#DIV/0!</v>
      </c>
      <c r="C56" s="200">
        <f t="shared" si="16"/>
        <v>0.25</v>
      </c>
      <c r="D56" s="1164">
        <v>0.25</v>
      </c>
      <c r="E56" s="261">
        <f>'数据-汇总表'!E11</f>
        <v>0</v>
      </c>
      <c r="F56" s="691" t="e">
        <f t="shared" si="15"/>
        <v>#DIV/0!</v>
      </c>
      <c r="G56" s="2712" t="s">
        <v>2772</v>
      </c>
      <c r="H56" s="1104" t="str">
        <f>项目基本情况!C37</f>
        <v>六级</v>
      </c>
      <c r="I56" s="942">
        <f>SUMIF(修正!A45:A56,H56,修正!F45:F56)</f>
        <v>0.25</v>
      </c>
      <c r="J56" s="943"/>
      <c r="K56" s="1144"/>
      <c r="L56" s="941"/>
      <c r="M56" s="941"/>
      <c r="N56" s="941"/>
      <c r="O56" s="941"/>
    </row>
    <row r="57" spans="1:17" s="692" customFormat="1">
      <c r="A57" s="693" t="s">
        <v>2773</v>
      </c>
      <c r="B57" s="262" t="e">
        <f t="shared" si="17"/>
        <v>#DIV/0!</v>
      </c>
      <c r="C57" s="200">
        <f t="shared" si="16"/>
        <v>0.25</v>
      </c>
      <c r="D57" s="1164">
        <v>0.25</v>
      </c>
      <c r="E57" s="261">
        <f>'数据-汇总表'!E12</f>
        <v>617.01</v>
      </c>
      <c r="F57" s="691" t="e">
        <f t="shared" si="15"/>
        <v>#DIV/0!</v>
      </c>
      <c r="G57" s="1109" t="s">
        <v>2774</v>
      </c>
      <c r="H57" s="1104" t="str">
        <f>IF(G57="商业",项目基本情况!B37,IF(G57="办公",项目基本情况!C37,IF(G57="住宅",项目基本情况!D37,项目基本情况!E37)))</f>
        <v>六级</v>
      </c>
      <c r="I57" s="942">
        <f>SUMIF(修正!A45:A56,H57,修正!G45:G56)</f>
        <v>0.25</v>
      </c>
      <c r="J57" s="943"/>
      <c r="K57" s="1145"/>
      <c r="L57" s="941"/>
      <c r="M57" s="941"/>
      <c r="N57" s="941"/>
      <c r="O57" s="941"/>
    </row>
    <row r="58" spans="1:17" s="692" customFormat="1">
      <c r="A58" s="693" t="s">
        <v>2775</v>
      </c>
      <c r="B58" s="262" t="e">
        <f t="shared" si="17"/>
        <v>#DIV/0!</v>
      </c>
      <c r="C58" s="200">
        <f t="shared" si="16"/>
        <v>0</v>
      </c>
      <c r="D58" s="1164">
        <v>0.25</v>
      </c>
      <c r="E58" s="261">
        <f>'数据-汇总表'!E13</f>
        <v>0</v>
      </c>
      <c r="F58" s="691" t="e">
        <f t="shared" si="15"/>
        <v>#DIV/0!</v>
      </c>
      <c r="G58" s="1109" t="s">
        <v>2776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2777</v>
      </c>
      <c r="B59" s="262" t="e">
        <f t="shared" si="17"/>
        <v>#DIV/0!</v>
      </c>
      <c r="C59" s="200">
        <f t="shared" si="16"/>
        <v>0.2</v>
      </c>
      <c r="D59" s="1164">
        <v>0.25</v>
      </c>
      <c r="E59" s="261">
        <f>'数据-汇总表'!E14</f>
        <v>0</v>
      </c>
      <c r="F59" s="691" t="e">
        <f t="shared" si="15"/>
        <v>#DIV/0!</v>
      </c>
      <c r="G59" s="2712" t="s">
        <v>2767</v>
      </c>
      <c r="H59" s="1104" t="str">
        <f>项目基本情况!B37</f>
        <v>六级</v>
      </c>
      <c r="I59" s="942">
        <f>SUMIF(修正!A45:A56,H59,修正!H45:H56)</f>
        <v>0.2</v>
      </c>
      <c r="J59" s="943"/>
      <c r="K59" s="1145"/>
      <c r="L59" s="941"/>
      <c r="M59" s="941"/>
      <c r="N59" s="941"/>
      <c r="O59" s="941"/>
    </row>
    <row r="60" spans="1:17" s="692" customFormat="1" ht="15" thickBot="1">
      <c r="A60" s="693" t="s">
        <v>2778</v>
      </c>
      <c r="B60" s="262" t="e">
        <f t="shared" si="17"/>
        <v>#DIV/0!</v>
      </c>
      <c r="C60" s="200">
        <f t="shared" si="16"/>
        <v>0.2</v>
      </c>
      <c r="D60" s="1164">
        <v>0.25</v>
      </c>
      <c r="E60" s="261">
        <f>'数据-汇总表'!E15</f>
        <v>0</v>
      </c>
      <c r="F60" s="691" t="e">
        <f t="shared" si="15"/>
        <v>#DIV/0!</v>
      </c>
      <c r="G60" s="2713" t="s">
        <v>2772</v>
      </c>
      <c r="H60" s="1114" t="str">
        <f>项目基本情况!C37</f>
        <v>六级</v>
      </c>
      <c r="I60" s="942">
        <f>SUMIF(修正!A45:A56,H60,修正!H45:H56)</f>
        <v>0.2</v>
      </c>
      <c r="J60" s="943"/>
      <c r="K60" s="1144"/>
      <c r="L60" s="941"/>
      <c r="M60" s="941"/>
      <c r="N60" s="941"/>
      <c r="O60" s="941"/>
    </row>
    <row r="61" spans="1:17" s="692" customFormat="1" ht="15" thickBot="1">
      <c r="A61" s="695" t="s">
        <v>2779</v>
      </c>
      <c r="B61" s="696" t="s">
        <v>28</v>
      </c>
      <c r="C61" s="696" t="s">
        <v>29</v>
      </c>
      <c r="D61" s="696" t="s">
        <v>1026</v>
      </c>
      <c r="E61" s="696">
        <f>IF(B41="楼面地价",SUM(E51:E60),'数据-汇总表'!D3)</f>
        <v>7100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2672</v>
      </c>
      <c r="B64" s="759"/>
      <c r="C64" s="764"/>
      <c r="D64" s="764"/>
      <c r="E64" s="764"/>
      <c r="F64" s="765"/>
      <c r="G64" s="765"/>
      <c r="H64" s="764"/>
      <c r="I64" s="764"/>
      <c r="J64" s="764"/>
      <c r="K64" s="766"/>
      <c r="L64" s="767"/>
      <c r="M64" s="764"/>
      <c r="N64" s="764"/>
      <c r="O64" s="1159"/>
      <c r="P64" s="503"/>
      <c r="Q64" s="504"/>
    </row>
    <row r="65" spans="1:17" s="508" customFormat="1" ht="15">
      <c r="A65" s="2714" t="s">
        <v>2780</v>
      </c>
      <c r="B65" s="1359"/>
      <c r="C65" s="1572" t="str">
        <f>YEAR(C63)&amp;"-"&amp;ROUNDUP(MONTH(C63)/3,0)</f>
        <v>2019-1</v>
      </c>
      <c r="D65" s="1572" t="str">
        <f t="shared" ref="D65:O65" si="19">YEAR(D63)&amp;"-"&amp;ROUNDUP(MONTH(D63)/3,0)</f>
        <v>2018-4</v>
      </c>
      <c r="E65" s="1572" t="str">
        <f t="shared" si="19"/>
        <v>2018-3</v>
      </c>
      <c r="F65" s="1572" t="str">
        <f t="shared" si="19"/>
        <v>2018-2</v>
      </c>
      <c r="G65" s="1572" t="str">
        <f t="shared" si="19"/>
        <v>2018-1</v>
      </c>
      <c r="H65" s="1572" t="str">
        <f t="shared" si="19"/>
        <v>2017-4</v>
      </c>
      <c r="I65" s="1572" t="str">
        <f t="shared" si="19"/>
        <v>2017-3</v>
      </c>
      <c r="J65" s="1572" t="str">
        <f t="shared" si="19"/>
        <v>2017-2</v>
      </c>
      <c r="K65" s="1572" t="str">
        <f t="shared" si="19"/>
        <v>2017-1</v>
      </c>
      <c r="L65" s="1572" t="str">
        <f t="shared" si="19"/>
        <v>2016-4</v>
      </c>
      <c r="M65" s="1572" t="str">
        <f t="shared" si="19"/>
        <v>2016-3</v>
      </c>
      <c r="N65" s="1572" t="str">
        <f t="shared" si="19"/>
        <v>2016-2</v>
      </c>
      <c r="O65" s="1572" t="str">
        <f t="shared" si="19"/>
        <v>2016-1</v>
      </c>
      <c r="P65" s="507"/>
    </row>
    <row r="66" spans="1:17" s="117" customFormat="1" ht="30.75" customHeight="1">
      <c r="A66" s="2719" t="s">
        <v>2800</v>
      </c>
      <c r="B66" s="332" t="str">
        <f>"北京市平均增长率"&amp;TEXT('基准地价修正-办公'!P24,"0.00%")</f>
        <v>北京市平均增长率1.42%</v>
      </c>
      <c r="C66" s="603">
        <v>100</v>
      </c>
      <c r="D66" s="595"/>
      <c r="E66" s="595"/>
      <c r="F66" s="595"/>
      <c r="G66" s="595"/>
      <c r="H66" s="595"/>
      <c r="I66" s="595"/>
      <c r="J66" s="595"/>
      <c r="K66" s="595"/>
      <c r="L66" s="595"/>
      <c r="M66" s="1567"/>
      <c r="N66" s="1567"/>
      <c r="O66" s="1569"/>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2586</v>
      </c>
      <c r="B70" s="528" t="s">
        <v>2552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3" priority="14" stopIfTrue="1" operator="containsText" text="超过">
      <formula>NOT(ISERROR(SEARCH("超过",F46)))</formula>
    </cfRule>
  </conditionalFormatting>
  <conditionalFormatting sqref="J48">
    <cfRule type="containsText" dxfId="32" priority="13" stopIfTrue="1" operator="containsText" text="超过">
      <formula>NOT(ISERROR(SEARCH("超过",J48)))</formula>
    </cfRule>
  </conditionalFormatting>
  <conditionalFormatting sqref="H48">
    <cfRule type="containsText" dxfId="31" priority="12" stopIfTrue="1" operator="containsText" text="超过">
      <formula>NOT(ISERROR(SEARCH("超过",H48)))</formula>
    </cfRule>
  </conditionalFormatting>
  <conditionalFormatting sqref="F48">
    <cfRule type="containsText" dxfId="30" priority="11" stopIfTrue="1" operator="containsText" text="超过">
      <formula>NOT(ISERROR(SEARCH("超过",F48)))</formula>
    </cfRule>
  </conditionalFormatting>
  <conditionalFormatting sqref="F47 H47 J47">
    <cfRule type="containsText" dxfId="29" priority="10" stopIfTrue="1" operator="containsText" text="超过">
      <formula>NOT(ISERROR(SEARCH("超过",F47)))</formula>
    </cfRule>
  </conditionalFormatting>
  <conditionalFormatting sqref="E46">
    <cfRule type="expression" dxfId="28" priority="9" stopIfTrue="1">
      <formula>$F$46="超过30%"</formula>
    </cfRule>
  </conditionalFormatting>
  <conditionalFormatting sqref="G48">
    <cfRule type="expression" dxfId="27" priority="8" stopIfTrue="1">
      <formula>$H$48="超过30%"</formula>
    </cfRule>
  </conditionalFormatting>
  <conditionalFormatting sqref="E48">
    <cfRule type="expression" dxfId="26" priority="6" stopIfTrue="1">
      <formula>$F$48="超过30%"</formula>
    </cfRule>
  </conditionalFormatting>
  <conditionalFormatting sqref="G46">
    <cfRule type="expression" dxfId="25" priority="5" stopIfTrue="1">
      <formula>$H$46="超过30%"</formula>
    </cfRule>
  </conditionalFormatting>
  <conditionalFormatting sqref="G47">
    <cfRule type="expression" dxfId="24" priority="4" stopIfTrue="1">
      <formula>$H$47="超过20%"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E47">
    <cfRule type="expression" dxfId="2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90" zoomScaleNormal="90" zoomScaleSheetLayoutView="90" workbookViewId="0">
      <selection activeCell="D33" sqref="D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1373</v>
      </c>
      <c r="D1" s="1820" t="s">
        <v>70</v>
      </c>
      <c r="E1" s="1821" t="s">
        <v>1383</v>
      </c>
      <c r="F1" s="1283">
        <f ca="1">J53</f>
        <v>29.24</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3830</v>
      </c>
      <c r="C2" s="1845" t="s">
        <v>1512</v>
      </c>
      <c r="D2" s="1845"/>
      <c r="E2" s="1846"/>
      <c r="F2" s="1847"/>
      <c r="G2" s="1848"/>
      <c r="H2" s="1840"/>
      <c r="I2" s="1840"/>
      <c r="J2" s="1840"/>
      <c r="K2" s="1841"/>
      <c r="L2" s="1840"/>
      <c r="M2" s="1840"/>
    </row>
    <row r="3" spans="1:37" ht="18" customHeight="1" thickBot="1">
      <c r="A3" s="1849" t="s">
        <v>1513</v>
      </c>
      <c r="B3" s="1850">
        <f ca="1">IF(ISERROR(B2*10000/F43),0,ROUND(B2*10000/F43,0))</f>
        <v>16436</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374</v>
      </c>
      <c r="D5" s="1822" t="s">
        <v>1398</v>
      </c>
      <c r="E5" s="1293"/>
      <c r="F5" s="1294"/>
      <c r="G5" s="1851"/>
      <c r="H5" s="344">
        <v>1</v>
      </c>
      <c r="I5" s="345" t="s">
        <v>1397</v>
      </c>
      <c r="J5" s="1292">
        <f ca="1">J6+J10+J12</f>
        <v>0</v>
      </c>
      <c r="K5" s="1822" t="s">
        <v>1398</v>
      </c>
      <c r="L5" s="1293"/>
      <c r="M5" s="1294"/>
    </row>
    <row r="6" spans="1:37" ht="18" customHeight="1">
      <c r="A6" s="1291" t="s">
        <v>1032</v>
      </c>
      <c r="B6" s="3159" t="s">
        <v>1399</v>
      </c>
      <c r="C6" s="1296">
        <f ca="1">ROUND(F6*F8*F7*(1-F9)/10000,0)</f>
        <v>374</v>
      </c>
      <c r="D6" s="164" t="s">
        <v>3029</v>
      </c>
      <c r="E6" s="347" t="s">
        <v>1401</v>
      </c>
      <c r="F6" s="348">
        <f ca="1">INDIRECT("'数据-取费表'!u"&amp;$G$1)</f>
        <v>5.5</v>
      </c>
      <c r="G6" s="1851"/>
      <c r="H6" s="1291" t="s">
        <v>1032</v>
      </c>
      <c r="I6" s="3159" t="s">
        <v>1399</v>
      </c>
      <c r="J6" s="346">
        <f ca="1">ROUND(M6*M8*M7*(1-M9)/10000,0)</f>
        <v>0</v>
      </c>
      <c r="K6" s="164" t="s">
        <v>3028</v>
      </c>
      <c r="L6" s="347" t="s">
        <v>1401</v>
      </c>
      <c r="M6" s="348">
        <f ca="1">INDIRECT("'数据-取费表'!z"&amp;$G$1)</f>
        <v>0</v>
      </c>
    </row>
    <row r="7" spans="1:37" ht="18" customHeight="1">
      <c r="A7" s="1295"/>
      <c r="B7" s="3160"/>
      <c r="C7" s="1297"/>
      <c r="D7" s="352"/>
      <c r="E7" s="2947" t="s">
        <v>1402</v>
      </c>
      <c r="F7" s="348">
        <f ca="1">IF(INDIRECT("'数据-取费表'!ah"&amp;$G$1)="",INDIRECT("'数据-取费表'!k"&amp;$G$1),INDIRECT("'数据-取费表'!ah"&amp;$G$1))</f>
        <v>2330.23</v>
      </c>
      <c r="G7" s="1851"/>
      <c r="H7" s="349"/>
      <c r="I7" s="3160"/>
      <c r="J7" s="351"/>
      <c r="K7" s="352"/>
      <c r="L7" s="347" t="s">
        <v>1402</v>
      </c>
      <c r="M7" s="348">
        <f ca="1">F7</f>
        <v>2330.23</v>
      </c>
    </row>
    <row r="8" spans="1:37" ht="18" customHeight="1">
      <c r="A8" s="349"/>
      <c r="B8" s="3160"/>
      <c r="C8" s="351"/>
      <c r="D8" s="352"/>
      <c r="E8" s="347" t="s">
        <v>1403</v>
      </c>
      <c r="F8" s="348">
        <f ca="1">INDIRECT("'数据-取费表'!ai"&amp;$G$1)</f>
        <v>365</v>
      </c>
      <c r="G8" s="1851"/>
      <c r="H8" s="349"/>
      <c r="I8" s="3160"/>
      <c r="J8" s="351"/>
      <c r="K8" s="352"/>
      <c r="L8" s="347" t="s">
        <v>1403</v>
      </c>
      <c r="M8" s="348">
        <f ca="1">INDIRECT("'数据-取费表'!ai"&amp;$G$1)</f>
        <v>365</v>
      </c>
    </row>
    <row r="9" spans="1:37" ht="18" customHeight="1">
      <c r="A9" s="349"/>
      <c r="B9" s="3161"/>
      <c r="C9" s="351"/>
      <c r="D9" s="352"/>
      <c r="E9" s="347" t="s">
        <v>1404</v>
      </c>
      <c r="F9" s="357">
        <f ca="1">INDIRECT("'数据-取费表'!w"&amp;$G$1)</f>
        <v>0.2</v>
      </c>
      <c r="G9" s="1851"/>
      <c r="H9" s="349"/>
      <c r="I9" s="3161"/>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3038</v>
      </c>
      <c r="E10" s="358" t="s">
        <v>1406</v>
      </c>
      <c r="F10" s="1366" t="s">
        <v>3098</v>
      </c>
      <c r="G10" s="1851"/>
      <c r="H10" s="1291" t="s">
        <v>1036</v>
      </c>
      <c r="I10" s="1823" t="s">
        <v>1405</v>
      </c>
      <c r="J10" s="346">
        <f ca="1">ROUND(IF(M10="押一",J6/12*M11,IF(M10="押二",J6/12*2*M11,IF(M10="押三",J6/12*3*M11,J11*M11))),0)</f>
        <v>0</v>
      </c>
      <c r="K10" s="1824" t="s">
        <v>3037</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739</v>
      </c>
      <c r="D13" s="1331" t="s">
        <v>1411</v>
      </c>
      <c r="E13" s="1331" t="s">
        <v>1412</v>
      </c>
      <c r="F13" s="1332">
        <f ca="1">INDIRECT("'数据-取费表'!y"&amp;$G$1)</f>
        <v>0.8</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614</v>
      </c>
      <c r="D14" s="2953" t="s">
        <v>1414</v>
      </c>
      <c r="E14" s="2952"/>
      <c r="F14" s="364"/>
      <c r="G14" s="1851"/>
      <c r="H14" s="1201" t="s">
        <v>1032</v>
      </c>
      <c r="I14" s="347" t="s">
        <v>1415</v>
      </c>
      <c r="J14" s="24">
        <f ca="1">C29</f>
        <v>924</v>
      </c>
      <c r="K14" s="2946"/>
      <c r="L14" s="979"/>
      <c r="M14" s="980"/>
    </row>
    <row r="15" spans="1:37" s="1858" customFormat="1" ht="18" customHeight="1" thickBot="1">
      <c r="A15" s="1201" t="s">
        <v>1033</v>
      </c>
      <c r="B15" s="347" t="s">
        <v>1416</v>
      </c>
      <c r="C15" s="24">
        <f ca="1">ROUND(C14*F15,0)</f>
        <v>18</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26</v>
      </c>
      <c r="K16" s="1337" t="s">
        <v>1421</v>
      </c>
      <c r="L16" s="2955"/>
      <c r="M16" s="1294"/>
    </row>
    <row r="17" spans="1:37" s="1858" customFormat="1" ht="18" customHeight="1">
      <c r="A17" s="1201" t="s">
        <v>1386</v>
      </c>
      <c r="B17" s="347" t="s">
        <v>1422</v>
      </c>
      <c r="C17" s="24">
        <f ca="1">ROUND(F17*(F43+INDIRECT("'数据-取费表'!S"&amp;$G$1))/10000,0)</f>
        <v>57</v>
      </c>
      <c r="D17" s="347" t="s">
        <v>1423</v>
      </c>
      <c r="E17" s="347" t="s">
        <v>1424</v>
      </c>
      <c r="F17" s="26">
        <f>'数据-取费表'!B35</f>
        <v>200</v>
      </c>
      <c r="G17" s="1854"/>
      <c r="H17" s="1201" t="s">
        <v>1032</v>
      </c>
      <c r="I17" s="347" t="s">
        <v>1425</v>
      </c>
      <c r="J17" s="24">
        <f ca="1">ROUND(IF(项目基本情况!B11="自然人",J5*M17,J18+J19+J20),1)</f>
        <v>7.8</v>
      </c>
      <c r="K17" s="2953" t="s">
        <v>1426</v>
      </c>
      <c r="L17" s="2954"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9</v>
      </c>
      <c r="D18" s="347" t="s">
        <v>1417</v>
      </c>
      <c r="E18" s="347" t="s">
        <v>1418</v>
      </c>
      <c r="F18" s="367">
        <f>'数据-取费表'!B36</f>
        <v>1.4999999999999999E-2</v>
      </c>
      <c r="G18" s="1854"/>
      <c r="H18" s="1201" t="s">
        <v>1031</v>
      </c>
      <c r="I18" s="347" t="s">
        <v>1429</v>
      </c>
      <c r="J18" s="24">
        <f ca="1">ROUND(J5*M18/(1+'数据-取费表'!C42),2)</f>
        <v>0</v>
      </c>
      <c r="K18" s="2954"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698</v>
      </c>
      <c r="D19" s="140" t="s">
        <v>1432</v>
      </c>
      <c r="E19" s="2945"/>
      <c r="F19" s="26"/>
      <c r="G19" s="1851"/>
      <c r="H19" s="1201" t="s">
        <v>1033</v>
      </c>
      <c r="I19" s="347" t="s">
        <v>1433</v>
      </c>
      <c r="J19" s="24">
        <f ca="1">IF(K19="按租金收入计税",ROUND(J5*M19,2),ROUND(C29*M19*0.7,2))</f>
        <v>7.76</v>
      </c>
      <c r="K19" s="1828" t="s">
        <v>1434</v>
      </c>
      <c r="L19" s="347" t="s">
        <v>1418</v>
      </c>
      <c r="M19" s="367">
        <f>IF(K19="按租金收入计税",'数据-取费表'!B51,'数据-取费表'!B50)</f>
        <v>1.2E-2</v>
      </c>
    </row>
    <row r="20" spans="1:37" s="1858" customFormat="1" ht="18" customHeight="1">
      <c r="A20" s="1201" t="s">
        <v>1036</v>
      </c>
      <c r="B20" s="347" t="s">
        <v>1435</v>
      </c>
      <c r="C20" s="24">
        <f ca="1">ROUND(C19*F20,0)</f>
        <v>14</v>
      </c>
      <c r="D20" s="369" t="s">
        <v>1436</v>
      </c>
      <c r="E20" s="347" t="s">
        <v>1418</v>
      </c>
      <c r="F20" s="367">
        <f>'数据-取费表'!B37</f>
        <v>0.02</v>
      </c>
      <c r="G20" s="1854"/>
      <c r="H20" s="1201" t="s">
        <v>1385</v>
      </c>
      <c r="I20" s="164" t="s">
        <v>1437</v>
      </c>
      <c r="J20" s="25">
        <f ca="1">ROUND(M20*M21/10000,2)</f>
        <v>0</v>
      </c>
      <c r="K20" s="370" t="s">
        <v>1438</v>
      </c>
      <c r="L20" s="347" t="s">
        <v>1439</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763.2</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45"/>
      <c r="F22" s="26"/>
      <c r="G22" s="1851"/>
      <c r="H22" s="1201" t="s">
        <v>1036</v>
      </c>
      <c r="I22" s="347" t="s">
        <v>1445</v>
      </c>
      <c r="J22" s="24">
        <f ca="1">ROUND(J14*M22,1)</f>
        <v>18.5</v>
      </c>
      <c r="K22" s="2954" t="s">
        <v>1446</v>
      </c>
      <c r="L22" s="347" t="s">
        <v>1418</v>
      </c>
      <c r="M22" s="374">
        <f ca="1">INDIRECT("'数据-取费表'!Ak"&amp;$G$1)</f>
        <v>0.02</v>
      </c>
    </row>
    <row r="23" spans="1:37" s="1858" customFormat="1" ht="18" customHeight="1">
      <c r="A23" s="1201" t="s">
        <v>1031</v>
      </c>
      <c r="B23" s="347" t="s">
        <v>1447</v>
      </c>
      <c r="C23" s="24">
        <f ca="1">IF('数据-取费表'!B22&lt;=1,ROUND(C19*F24*F23/2,0)+ROUND(C20*F24*F23/2,0),ROUND(C19*(POWER((1+F24),F23/2)-1),0)+ROUND(C20*(POWER((1+F24),F23/2)-1),0))</f>
        <v>34</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2954" t="s">
        <v>1450</v>
      </c>
      <c r="L23" s="347" t="s">
        <v>1451</v>
      </c>
      <c r="M23" s="376">
        <f ca="1">INDIRECT("'数据-取费表'!Al"&amp;$G$1)</f>
        <v>2E-3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2945"/>
      <c r="F25" s="26"/>
      <c r="G25" s="1851"/>
      <c r="H25" s="1329" t="s">
        <v>1028</v>
      </c>
      <c r="I25" s="1344" t="s">
        <v>1459</v>
      </c>
      <c r="J25" s="355">
        <f ca="1">J5-J16</f>
        <v>-26</v>
      </c>
      <c r="K25" s="1345" t="s">
        <v>1460</v>
      </c>
      <c r="L25" s="1346"/>
      <c r="M25" s="1347"/>
    </row>
    <row r="26" spans="1:37">
      <c r="A26" s="1201" t="s">
        <v>1031</v>
      </c>
      <c r="B26" s="347" t="s">
        <v>1461</v>
      </c>
      <c r="C26" s="24">
        <f ca="1">ROUND((C19+C20)*F26,0)</f>
        <v>107</v>
      </c>
      <c r="D26" s="369" t="s">
        <v>1462</v>
      </c>
      <c r="E26" s="358" t="s">
        <v>1463</v>
      </c>
      <c r="F26" s="357">
        <f ca="1">INDIRECT("'数据-取费表'!q"&amp;$G$1)</f>
        <v>0.15</v>
      </c>
      <c r="G26" s="1851"/>
      <c r="H26" s="344" t="s">
        <v>1029</v>
      </c>
      <c r="I26" s="345" t="s">
        <v>1464</v>
      </c>
      <c r="J26" s="346">
        <f ca="1">IF(J5&lt;&gt;0,ROUND(J25*(1-((1+M28)/(1+M26))^M27)/(M26-M28),0),0)</f>
        <v>0</v>
      </c>
      <c r="K26" s="370" t="s">
        <v>1465</v>
      </c>
      <c r="L26" s="347" t="s">
        <v>1466</v>
      </c>
      <c r="M26" s="357">
        <f ca="1">INDIRECT("'数据-取费表'!I"&amp;$G$1)</f>
        <v>7.0000000000000007E-2</v>
      </c>
    </row>
    <row r="27" spans="1:37" ht="18" customHeight="1">
      <c r="A27" s="1201" t="s">
        <v>1033</v>
      </c>
      <c r="B27" s="347" t="s">
        <v>1467</v>
      </c>
      <c r="C27" s="24">
        <f ca="1">ROUND(F21*F26,4)</f>
        <v>3.0000000000000001E-3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924</v>
      </c>
      <c r="D29" s="1342"/>
      <c r="E29" s="1340"/>
      <c r="F29" s="1343"/>
      <c r="G29" s="1854"/>
      <c r="H29" s="380" t="s">
        <v>1030</v>
      </c>
      <c r="I29" s="381" t="s">
        <v>1475</v>
      </c>
      <c r="J29" s="382">
        <f ca="1">ROUND(J26/(1+F40)^F41,0)</f>
        <v>0</v>
      </c>
      <c r="K29" s="383" t="s">
        <v>1476</v>
      </c>
      <c r="L29" s="384"/>
      <c r="M29" s="385">
        <f ca="1">INDIRECT("'数据-取费表'!k"&amp;$G$1)</f>
        <v>2330.23</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92</v>
      </c>
      <c r="D30" s="1337" t="s">
        <v>1421</v>
      </c>
      <c r="E30" s="2955"/>
      <c r="F30" s="1294"/>
      <c r="G30" s="1851"/>
      <c r="H30" s="745"/>
      <c r="I30" s="746"/>
      <c r="J30" s="747"/>
      <c r="K30" s="748"/>
      <c r="L30" s="749"/>
      <c r="M30" s="750"/>
    </row>
    <row r="31" spans="1:37" ht="18" customHeight="1">
      <c r="A31" s="1201" t="s">
        <v>1032</v>
      </c>
      <c r="B31" s="347" t="s">
        <v>1425</v>
      </c>
      <c r="C31" s="24">
        <f ca="1">ROUND(IF(项目基本情况!B11="自然人",C5*F31,C32+C33+C34),1)</f>
        <v>64.5</v>
      </c>
      <c r="D31" s="2953" t="s">
        <v>1426</v>
      </c>
      <c r="E31" s="2954"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19.59</v>
      </c>
      <c r="D32" s="2954"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44.88</v>
      </c>
      <c r="D33" s="1828" t="s">
        <v>3100</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v>
      </c>
      <c r="D34" s="370" t="s">
        <v>1438</v>
      </c>
      <c r="E34" s="347" t="s">
        <v>1439</v>
      </c>
      <c r="F34" s="371">
        <f>'数据-取费表'!B52</f>
        <v>0</v>
      </c>
      <c r="G34" s="1851"/>
      <c r="H34" s="745"/>
      <c r="I34" s="1860"/>
      <c r="J34" s="1861"/>
      <c r="K34" s="1863"/>
      <c r="L34" s="1864"/>
      <c r="M34" s="1864"/>
    </row>
    <row r="35" spans="1:18" ht="18" customHeight="1">
      <c r="A35" s="1353"/>
      <c r="B35" s="1351"/>
      <c r="C35" s="29"/>
      <c r="D35" s="373"/>
      <c r="E35" s="347" t="s">
        <v>1443</v>
      </c>
      <c r="F35" s="348">
        <f ca="1">INDIRECT("'数据-取费表'!r"&amp;$G$1)</f>
        <v>763.2</v>
      </c>
      <c r="G35" s="1851"/>
      <c r="H35" s="745"/>
      <c r="I35" s="1860"/>
      <c r="J35" s="1861"/>
      <c r="K35" s="1862"/>
      <c r="L35" s="1859"/>
      <c r="M35" s="1859"/>
    </row>
    <row r="36" spans="1:18" ht="18" customHeight="1">
      <c r="A36" s="1352" t="s">
        <v>1036</v>
      </c>
      <c r="B36" s="347" t="s">
        <v>1445</v>
      </c>
      <c r="C36" s="24">
        <f ca="1">ROUND(C29*F36,1)</f>
        <v>18.5</v>
      </c>
      <c r="D36" s="2954" t="s">
        <v>1478</v>
      </c>
      <c r="E36" s="347" t="s">
        <v>1418</v>
      </c>
      <c r="F36" s="374">
        <f ca="1">INDIRECT("'数据-取费表'!Ak"&amp;$G$1)</f>
        <v>0.02</v>
      </c>
      <c r="G36" s="1851"/>
      <c r="H36" s="1859"/>
      <c r="I36" s="1860"/>
      <c r="J36" s="1861"/>
      <c r="K36" s="751"/>
      <c r="L36" s="1859"/>
      <c r="M36" s="1859"/>
    </row>
    <row r="37" spans="1:18" ht="18" customHeight="1">
      <c r="A37" s="1201" t="s">
        <v>1072</v>
      </c>
      <c r="B37" s="347" t="s">
        <v>1449</v>
      </c>
      <c r="C37" s="24">
        <f ca="1">ROUND(C13*F37,1)</f>
        <v>1.5</v>
      </c>
      <c r="D37" s="2954" t="s">
        <v>1450</v>
      </c>
      <c r="E37" s="347" t="s">
        <v>1451</v>
      </c>
      <c r="F37" s="376">
        <f ca="1">INDIRECT("'数据-取费表'!Al"&amp;$G$1)</f>
        <v>2E-3</v>
      </c>
      <c r="G37" s="1851"/>
      <c r="H37" s="1859"/>
      <c r="I37" s="1860"/>
      <c r="J37" s="1861"/>
      <c r="K37" s="751"/>
      <c r="L37" s="1859"/>
      <c r="M37" s="1859"/>
    </row>
    <row r="38" spans="1:18" ht="18" customHeight="1" thickBot="1">
      <c r="A38" s="1339" t="s">
        <v>1389</v>
      </c>
      <c r="B38" s="1340" t="s">
        <v>1435</v>
      </c>
      <c r="C38" s="1341">
        <f ca="1">ROUND(C5*F38,1)</f>
        <v>7.5</v>
      </c>
      <c r="D38" s="1342" t="s">
        <v>1455</v>
      </c>
      <c r="E38" s="1340" t="s">
        <v>1451</v>
      </c>
      <c r="F38" s="1336">
        <f ca="1">INDIRECT("'数据-取费表'!Am"&amp;$G$1)</f>
        <v>0.02</v>
      </c>
      <c r="G38" s="1851"/>
      <c r="H38" s="1859"/>
      <c r="I38" s="1860"/>
      <c r="J38" s="1861"/>
      <c r="K38" s="1865"/>
      <c r="L38" s="1859"/>
      <c r="M38" s="1859"/>
    </row>
    <row r="39" spans="1:18" ht="24.6" customHeight="1" thickTop="1">
      <c r="A39" s="1329" t="s">
        <v>1028</v>
      </c>
      <c r="B39" s="1344" t="s">
        <v>1479</v>
      </c>
      <c r="C39" s="355">
        <f ca="1">C5-C30</f>
        <v>282</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3830</v>
      </c>
      <c r="D40" s="370" t="s">
        <v>1465</v>
      </c>
      <c r="E40" s="347" t="s">
        <v>1466</v>
      </c>
      <c r="F40" s="357">
        <f ca="1">INDIRECT("'数据-取费表'!I"&amp;$G$1)</f>
        <v>7.0000000000000007E-2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29.24</v>
      </c>
      <c r="G41" s="1851"/>
      <c r="H41" s="732"/>
      <c r="I41" s="1860"/>
      <c r="J41" s="1861"/>
      <c r="K41" s="751"/>
      <c r="L41" s="732"/>
      <c r="M41" s="732"/>
    </row>
    <row r="42" spans="1:18" ht="18" customHeight="1">
      <c r="A42" s="353"/>
      <c r="B42" s="354"/>
      <c r="C42" s="355"/>
      <c r="D42" s="373"/>
      <c r="E42" s="347" t="s">
        <v>1473</v>
      </c>
      <c r="F42" s="357">
        <f ca="1">INDIRECT("'数据-取费表'!v"&amp;$G$1)</f>
        <v>0.01</v>
      </c>
      <c r="G42" s="1851"/>
      <c r="H42" s="732"/>
      <c r="I42" s="1860"/>
      <c r="J42" s="1861"/>
      <c r="K42" s="751"/>
      <c r="L42" s="732"/>
      <c r="M42" s="732"/>
    </row>
    <row r="43" spans="1:18" ht="18" customHeight="1" thickBot="1">
      <c r="A43" s="380" t="s">
        <v>1030</v>
      </c>
      <c r="B43" s="381" t="s">
        <v>1483</v>
      </c>
      <c r="C43" s="382">
        <f ca="1">ROUND(C40*10000/F43,0)</f>
        <v>16436</v>
      </c>
      <c r="D43" s="383" t="s">
        <v>1484</v>
      </c>
      <c r="E43" s="384" t="s">
        <v>1485</v>
      </c>
      <c r="F43" s="385">
        <f ca="1">INDIRECT("'数据-取费表'!k"&amp;$G$1)</f>
        <v>2330.23</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-5036</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3076</v>
      </c>
      <c r="K47" s="1882" t="s">
        <v>1523</v>
      </c>
      <c r="L47" s="1883">
        <f ca="1">INDIRECT("'数据-取费表'!d"&amp;$G$1)</f>
        <v>40</v>
      </c>
      <c r="M47" s="1838" t="str">
        <f>IF(ISNUMBER(FIND("住宅",C1)),"住宅","非住宅")</f>
        <v>非住宅</v>
      </c>
      <c r="O47" s="1884" t="s">
        <v>1037</v>
      </c>
      <c r="P47" s="1885" t="s">
        <v>1524</v>
      </c>
      <c r="Q47" s="1886">
        <f ca="1">C40+J29</f>
        <v>3830</v>
      </c>
      <c r="R47" s="1886" t="s">
        <v>1525</v>
      </c>
    </row>
    <row r="48" spans="1:18" s="1842" customFormat="1" ht="28.5" thickBot="1">
      <c r="A48" s="1360" t="s">
        <v>1132</v>
      </c>
      <c r="B48" s="345" t="s">
        <v>1397</v>
      </c>
      <c r="C48" s="2944">
        <f ca="1">C49+C53+C55</f>
        <v>0</v>
      </c>
      <c r="D48" s="1362"/>
      <c r="E48" s="1363"/>
      <c r="F48" s="1181"/>
      <c r="G48" s="792"/>
      <c r="H48" s="793"/>
      <c r="I48" s="1887" t="s">
        <v>1526</v>
      </c>
      <c r="J48" s="1888" t="s">
        <v>3077</v>
      </c>
      <c r="K48" s="1889" t="s">
        <v>1527</v>
      </c>
      <c r="L48" s="1890">
        <f ca="1">INDIRECT("'数据-取费表'!f"&amp;$G$1)</f>
        <v>29.24</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3030</v>
      </c>
      <c r="E49" s="1830" t="s">
        <v>1487</v>
      </c>
      <c r="F49" s="1281"/>
      <c r="G49" s="1891"/>
      <c r="H49" s="793"/>
      <c r="I49" s="1887" t="s">
        <v>1530</v>
      </c>
      <c r="J49" s="1892"/>
      <c r="K49" s="1889" t="s">
        <v>1531</v>
      </c>
      <c r="L49" s="1893"/>
      <c r="O49" s="1894" t="s">
        <v>1039</v>
      </c>
      <c r="P49" s="1885" t="s">
        <v>1532</v>
      </c>
      <c r="Q49" s="1886">
        <f ca="1">C29</f>
        <v>924</v>
      </c>
      <c r="R49" s="1886" t="s">
        <v>1525</v>
      </c>
    </row>
    <row r="50" spans="1:18" s="1842" customFormat="1" ht="13.5" thickBot="1">
      <c r="A50" s="1195"/>
      <c r="B50" s="1198"/>
      <c r="C50" s="1368"/>
      <c r="D50" s="1172"/>
      <c r="E50" s="1277" t="s">
        <v>1402</v>
      </c>
      <c r="F50" s="1278">
        <f ca="1">F7</f>
        <v>2330.23</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3802</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29.24</v>
      </c>
      <c r="R52" s="1886" t="s">
        <v>1542</v>
      </c>
    </row>
    <row r="53" spans="1:18" s="1842" customFormat="1" ht="24.75" thickBot="1">
      <c r="A53" s="1405" t="s">
        <v>1134</v>
      </c>
      <c r="B53" s="1831" t="s">
        <v>1405</v>
      </c>
      <c r="C53" s="361">
        <f ca="1">ROUND(IF(F53="押一",C49/12*F11,IF(F53="押二",C49/12*2*F11,IF(F53="押三",C49/12*3*F11,C54*F11))),0)</f>
        <v>0</v>
      </c>
      <c r="D53" s="1824" t="s">
        <v>3037</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29.24</v>
      </c>
      <c r="K53" s="3157" t="s">
        <v>1544</v>
      </c>
      <c r="L53" s="3158"/>
      <c r="O53" s="1884" t="s">
        <v>1043</v>
      </c>
      <c r="P53" s="1885" t="s">
        <v>1545</v>
      </c>
      <c r="Q53" s="1886">
        <f ca="1">Q47+Q48</f>
        <v>3830</v>
      </c>
      <c r="R53" s="1886" t="s">
        <v>1044</v>
      </c>
    </row>
    <row r="54" spans="1:18" s="1842" customFormat="1" ht="13.5" thickBot="1">
      <c r="A54" s="1406"/>
      <c r="B54" s="1825" t="s">
        <v>1384</v>
      </c>
      <c r="C54" s="1178"/>
      <c r="D54" s="1824"/>
      <c r="E54" s="2948"/>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2948"/>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739</v>
      </c>
      <c r="D56" s="1914"/>
      <c r="E56" s="1915"/>
      <c r="F56" s="1907"/>
      <c r="I56" s="1916" t="s">
        <v>1550</v>
      </c>
      <c r="J56" s="1917" t="s">
        <v>3056</v>
      </c>
      <c r="K56" s="1887" t="s">
        <v>1551</v>
      </c>
      <c r="L56" s="1890" t="str">
        <f ca="1">IF(L48&lt;J51,"——",L48-J53)</f>
        <v>——</v>
      </c>
      <c r="O56" s="1884" t="s">
        <v>1037</v>
      </c>
      <c r="P56" s="1885" t="s">
        <v>1524</v>
      </c>
      <c r="Q56" s="1886">
        <f ca="1">C40+J29</f>
        <v>3830</v>
      </c>
      <c r="R56" s="1886" t="s">
        <v>1525</v>
      </c>
    </row>
    <row r="57" spans="1:18" s="1842" customFormat="1" ht="24.75" thickBot="1">
      <c r="A57" s="1918"/>
      <c r="B57" s="1169" t="s">
        <v>1474</v>
      </c>
      <c r="C57" s="282">
        <f ca="1">C29</f>
        <v>924</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98</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77.599999999999994</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77.62</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0</v>
      </c>
      <c r="D62" s="1184" t="s">
        <v>1493</v>
      </c>
      <c r="E62" s="1169" t="s">
        <v>1494</v>
      </c>
      <c r="F62" s="371">
        <f t="shared" si="0"/>
        <v>0</v>
      </c>
      <c r="I62" s="1929" t="s">
        <v>1566</v>
      </c>
      <c r="J62" s="1930" t="s">
        <v>1567</v>
      </c>
      <c r="K62" s="1930" t="s">
        <v>1568</v>
      </c>
      <c r="L62" s="1930" t="s">
        <v>1569</v>
      </c>
      <c r="M62" s="1931" t="s">
        <v>1570</v>
      </c>
      <c r="O62" s="1884" t="s">
        <v>1043</v>
      </c>
      <c r="P62" s="1885" t="s">
        <v>1571</v>
      </c>
      <c r="Q62" s="1886">
        <f ca="1">Q56+Q57</f>
        <v>3830</v>
      </c>
      <c r="R62" s="1886" t="s">
        <v>1044</v>
      </c>
    </row>
    <row r="63" spans="1:18" s="1842" customFormat="1" ht="13.5" thickBot="1">
      <c r="A63" s="372"/>
      <c r="B63" s="1175"/>
      <c r="C63" s="29"/>
      <c r="D63" s="1185"/>
      <c r="E63" s="1169" t="s">
        <v>1495</v>
      </c>
      <c r="F63" s="348">
        <f t="shared" ca="1" si="0"/>
        <v>763.2</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18.5</v>
      </c>
      <c r="D64" s="1183" t="s">
        <v>1498</v>
      </c>
      <c r="E64" s="1169" t="s">
        <v>1490</v>
      </c>
      <c r="F64" s="374">
        <f t="shared" ca="1" si="0"/>
        <v>0.02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1.5</v>
      </c>
      <c r="D65" s="1183" t="s">
        <v>1450</v>
      </c>
      <c r="E65" s="1169" t="s">
        <v>1451</v>
      </c>
      <c r="F65" s="376">
        <f t="shared" ca="1" si="0"/>
        <v>2E-3</v>
      </c>
      <c r="I65" s="1929" t="s">
        <v>1575</v>
      </c>
      <c r="J65" s="1930">
        <v>40</v>
      </c>
      <c r="K65" s="1930">
        <v>30</v>
      </c>
      <c r="L65" s="1930">
        <v>50</v>
      </c>
      <c r="M65" s="1932">
        <v>0.02</v>
      </c>
      <c r="O65" s="1884" t="s">
        <v>1037</v>
      </c>
      <c r="P65" s="1885" t="s">
        <v>1576</v>
      </c>
      <c r="Q65" s="1886">
        <f ca="1">C40+J29</f>
        <v>3830</v>
      </c>
      <c r="R65" s="1886" t="s">
        <v>1525</v>
      </c>
    </row>
    <row r="66" spans="1:18" s="1842" customFormat="1" ht="16.5" thickBot="1">
      <c r="A66" s="1201" t="s">
        <v>1500</v>
      </c>
      <c r="B66" s="1169" t="s">
        <v>1435</v>
      </c>
      <c r="C66" s="24">
        <f ca="1">ROUND(C48*F66,1)</f>
        <v>0</v>
      </c>
      <c r="D66" s="1183" t="s">
        <v>1501</v>
      </c>
      <c r="E66" s="1169" t="s">
        <v>1418</v>
      </c>
      <c r="F66" s="357">
        <f t="shared" ca="1" si="0"/>
        <v>0.02</v>
      </c>
      <c r="O66" s="1884" t="s">
        <v>1038</v>
      </c>
      <c r="P66" s="1885" t="s">
        <v>1554</v>
      </c>
      <c r="Q66" s="1886">
        <f ca="1">L60</f>
        <v>0</v>
      </c>
      <c r="R66" s="1886" t="s">
        <v>1577</v>
      </c>
    </row>
    <row r="67" spans="1:18" s="1842" customFormat="1" ht="16.5" thickBot="1">
      <c r="A67" s="1176" t="s">
        <v>1028</v>
      </c>
      <c r="B67" s="1186" t="s">
        <v>1459</v>
      </c>
      <c r="C67" s="361">
        <f ca="1">C48-C58</f>
        <v>-98</v>
      </c>
      <c r="D67" s="1182" t="s">
        <v>1460</v>
      </c>
      <c r="E67" s="1187"/>
      <c r="F67" s="1188"/>
      <c r="O67" s="1894" t="s">
        <v>1039</v>
      </c>
      <c r="P67" s="1885" t="s">
        <v>1558</v>
      </c>
      <c r="Q67" s="1933">
        <f ca="1">L51</f>
        <v>3802</v>
      </c>
      <c r="R67" s="1886" t="s">
        <v>1578</v>
      </c>
    </row>
    <row r="68" spans="1:18" s="1842" customFormat="1" ht="16.5" thickBot="1">
      <c r="A68" s="1166" t="s">
        <v>1029</v>
      </c>
      <c r="B68" s="1167" t="s">
        <v>1481</v>
      </c>
      <c r="C68" s="346">
        <f ca="1">ROUND(C67*(1-((1+F70)/(1+F68))^F69)/(F68-F70),0)</f>
        <v>-1206</v>
      </c>
      <c r="D68" s="1184" t="s">
        <v>1465</v>
      </c>
      <c r="E68" s="1169" t="s">
        <v>1466</v>
      </c>
      <c r="F68" s="357">
        <f ca="1">F40</f>
        <v>7.0000000000000007E-2</v>
      </c>
      <c r="O68" s="1894" t="s">
        <v>1040</v>
      </c>
      <c r="P68" s="1934" t="s">
        <v>1579</v>
      </c>
      <c r="Q68" s="1886">
        <f ca="1">ROUND(Q69-Q70*Q71,0)</f>
        <v>223</v>
      </c>
      <c r="R68" s="1886" t="s">
        <v>1048</v>
      </c>
    </row>
    <row r="69" spans="1:18" s="1842" customFormat="1" ht="13.5" thickBot="1">
      <c r="A69" s="1170"/>
      <c r="B69" s="1171"/>
      <c r="C69" s="351"/>
      <c r="D69" s="1189" t="s">
        <v>1469</v>
      </c>
      <c r="E69" s="1169" t="s">
        <v>1470</v>
      </c>
      <c r="F69" s="379">
        <f ca="1">F41</f>
        <v>29.24</v>
      </c>
      <c r="O69" s="1894" t="s">
        <v>1045</v>
      </c>
      <c r="P69" s="1934" t="s">
        <v>1580</v>
      </c>
      <c r="Q69" s="1886">
        <f ca="1">C39</f>
        <v>282</v>
      </c>
      <c r="R69" s="1886" t="s">
        <v>1525</v>
      </c>
    </row>
    <row r="70" spans="1:18" s="1842" customFormat="1" ht="13.5" thickBot="1">
      <c r="A70" s="1173"/>
      <c r="B70" s="1174"/>
      <c r="C70" s="355"/>
      <c r="D70" s="1185"/>
      <c r="E70" s="1169" t="s">
        <v>1473</v>
      </c>
      <c r="F70" s="1275"/>
      <c r="O70" s="1894" t="s">
        <v>1046</v>
      </c>
      <c r="P70" s="1934" t="s">
        <v>1581</v>
      </c>
      <c r="Q70" s="1886">
        <f ca="1">C13</f>
        <v>739</v>
      </c>
      <c r="R70" s="1886" t="s">
        <v>1525</v>
      </c>
    </row>
    <row r="71" spans="1:18" s="1842" customFormat="1" ht="13.5" thickBot="1">
      <c r="A71" s="1190" t="s">
        <v>1030</v>
      </c>
      <c r="B71" s="1191" t="s">
        <v>1483</v>
      </c>
      <c r="C71" s="382">
        <f ca="1">ROUND(C68*10000/F71,0)</f>
        <v>-5175</v>
      </c>
      <c r="D71" s="1192" t="s">
        <v>1484</v>
      </c>
      <c r="E71" s="1193" t="s">
        <v>1485</v>
      </c>
      <c r="F71" s="385">
        <f ca="1">F43</f>
        <v>2330.23</v>
      </c>
      <c r="O71" s="1894" t="s">
        <v>1047</v>
      </c>
      <c r="P71" s="1934" t="s">
        <v>1582</v>
      </c>
      <c r="Q71" s="1897">
        <f ca="1">C76</f>
        <v>0.08</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59</v>
      </c>
      <c r="D75" s="1842"/>
      <c r="E75" s="1842"/>
      <c r="F75" s="1842"/>
      <c r="K75" s="1868"/>
      <c r="L75" s="1842"/>
      <c r="O75" s="1884" t="s">
        <v>1043</v>
      </c>
      <c r="P75" s="1885" t="s">
        <v>1545</v>
      </c>
      <c r="Q75" s="1886">
        <f ca="1">Q65+Q66</f>
        <v>3830</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0.79100000000000004</v>
      </c>
    </row>
    <row r="80" spans="1:18">
      <c r="B80" s="386" t="s">
        <v>1507</v>
      </c>
      <c r="C80" s="318">
        <f ca="1">ROUND(C75/C39,3)</f>
        <v>0.20899999999999999</v>
      </c>
    </row>
    <row r="81" spans="2:3">
      <c r="B81" s="314" t="s">
        <v>1508</v>
      </c>
      <c r="C81" s="282"/>
    </row>
    <row r="82" spans="2:3">
      <c r="B82" s="317" t="s">
        <v>1509</v>
      </c>
      <c r="C82" s="319">
        <f ca="1">1-C83</f>
        <v>0.80699999999999994</v>
      </c>
    </row>
    <row r="83" spans="2:3">
      <c r="B83" s="317" t="s">
        <v>1510</v>
      </c>
      <c r="C83" s="318">
        <f ca="1">ROUND(C13/C40,3)</f>
        <v>0.193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9" priority="5">
      <formula>$L$48&gt;$J$51</formula>
    </cfRule>
  </conditionalFormatting>
  <conditionalFormatting sqref="I55 I60">
    <cfRule type="expression" dxfId="18" priority="4">
      <formula>$J$51&gt;$L$48</formula>
    </cfRule>
  </conditionalFormatting>
  <conditionalFormatting sqref="C11">
    <cfRule type="expression" dxfId="17" priority="3">
      <formula>$F$10="自定义"</formula>
    </cfRule>
  </conditionalFormatting>
  <conditionalFormatting sqref="J11">
    <cfRule type="expression" dxfId="16" priority="2">
      <formula>$M$10="自定义"</formula>
    </cfRule>
  </conditionalFormatting>
  <conditionalFormatting sqref="C54">
    <cfRule type="expression" dxfId="1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4" zoomScale="90" zoomScaleNormal="90" zoomScaleSheetLayoutView="90" workbookViewId="0">
      <selection activeCell="D33" sqref="D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3061</v>
      </c>
      <c r="D1" s="1820" t="s">
        <v>70</v>
      </c>
      <c r="E1" s="1821" t="s">
        <v>1383</v>
      </c>
      <c r="F1" s="1283">
        <f ca="1">J53</f>
        <v>39.24</v>
      </c>
      <c r="G1" s="1836">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136</v>
      </c>
      <c r="C2" s="1845" t="s">
        <v>1512</v>
      </c>
      <c r="D2" s="1845"/>
      <c r="E2" s="1846"/>
      <c r="F2" s="1847"/>
      <c r="G2" s="1848"/>
      <c r="H2" s="1840"/>
      <c r="I2" s="1840"/>
      <c r="J2" s="1840"/>
      <c r="K2" s="1841"/>
      <c r="L2" s="1840"/>
      <c r="M2" s="1840"/>
    </row>
    <row r="3" spans="1:37" ht="18" customHeight="1" thickBot="1">
      <c r="A3" s="1849" t="s">
        <v>1513</v>
      </c>
      <c r="B3" s="1850">
        <f ca="1">IF(ISERROR(B2*10000/F43),0,ROUND(B2*10000/F43,0))</f>
        <v>2204</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12</v>
      </c>
      <c r="D5" s="1822" t="s">
        <v>1398</v>
      </c>
      <c r="E5" s="1293"/>
      <c r="F5" s="1294"/>
      <c r="G5" s="1851"/>
      <c r="H5" s="344">
        <v>1</v>
      </c>
      <c r="I5" s="345" t="s">
        <v>1397</v>
      </c>
      <c r="J5" s="1292">
        <f ca="1">J6+J10+J12</f>
        <v>0</v>
      </c>
      <c r="K5" s="1822" t="s">
        <v>1398</v>
      </c>
      <c r="L5" s="1293"/>
      <c r="M5" s="1294"/>
    </row>
    <row r="6" spans="1:37" ht="18" customHeight="1">
      <c r="A6" s="1291" t="s">
        <v>1032</v>
      </c>
      <c r="B6" s="3159" t="s">
        <v>1399</v>
      </c>
      <c r="C6" s="1296">
        <f ca="1">ROUND(F6*F8*F7*(1-F9)/10000,0)</f>
        <v>12</v>
      </c>
      <c r="D6" s="164" t="s">
        <v>3029</v>
      </c>
      <c r="E6" s="347" t="s">
        <v>1401</v>
      </c>
      <c r="F6" s="348">
        <f ca="1">INDIRECT("'数据-取费表'!u"&amp;$G$1)</f>
        <v>0.6</v>
      </c>
      <c r="G6" s="1851"/>
      <c r="H6" s="1291" t="s">
        <v>1032</v>
      </c>
      <c r="I6" s="3159" t="s">
        <v>1399</v>
      </c>
      <c r="J6" s="346">
        <f ca="1">ROUND(M6*M8*M7*(1-M9)/10000,0)</f>
        <v>0</v>
      </c>
      <c r="K6" s="164" t="s">
        <v>3028</v>
      </c>
      <c r="L6" s="347" t="s">
        <v>1401</v>
      </c>
      <c r="M6" s="348">
        <f ca="1">INDIRECT("'数据-取费表'!z"&amp;$G$1)</f>
        <v>0</v>
      </c>
    </row>
    <row r="7" spans="1:37" ht="18" customHeight="1">
      <c r="A7" s="1295"/>
      <c r="B7" s="3160"/>
      <c r="C7" s="1297"/>
      <c r="D7" s="352"/>
      <c r="E7" s="2947" t="s">
        <v>1402</v>
      </c>
      <c r="F7" s="348">
        <f ca="1">IF(INDIRECT("'数据-取费表'!ah"&amp;$G$1)="",INDIRECT("'数据-取费表'!k"&amp;$G$1),INDIRECT("'数据-取费表'!ah"&amp;$G$1))</f>
        <v>617.01</v>
      </c>
      <c r="G7" s="1851"/>
      <c r="H7" s="349"/>
      <c r="I7" s="3160"/>
      <c r="J7" s="351"/>
      <c r="K7" s="352"/>
      <c r="L7" s="347" t="s">
        <v>1402</v>
      </c>
      <c r="M7" s="348">
        <f ca="1">F7</f>
        <v>617.01</v>
      </c>
    </row>
    <row r="8" spans="1:37" ht="18" customHeight="1">
      <c r="A8" s="349"/>
      <c r="B8" s="3160"/>
      <c r="C8" s="351"/>
      <c r="D8" s="352"/>
      <c r="E8" s="347" t="s">
        <v>1403</v>
      </c>
      <c r="F8" s="348">
        <f ca="1">INDIRECT("'数据-取费表'!ai"&amp;$G$1)</f>
        <v>365</v>
      </c>
      <c r="G8" s="1851"/>
      <c r="H8" s="349"/>
      <c r="I8" s="3160"/>
      <c r="J8" s="351"/>
      <c r="K8" s="352"/>
      <c r="L8" s="347" t="s">
        <v>1403</v>
      </c>
      <c r="M8" s="348">
        <f ca="1">INDIRECT("'数据-取费表'!ai"&amp;$G$1)</f>
        <v>365</v>
      </c>
    </row>
    <row r="9" spans="1:37" ht="18" customHeight="1">
      <c r="A9" s="349"/>
      <c r="B9" s="3161"/>
      <c r="C9" s="351"/>
      <c r="D9" s="352"/>
      <c r="E9" s="347" t="s">
        <v>1404</v>
      </c>
      <c r="F9" s="357">
        <f ca="1">INDIRECT("'数据-取费表'!w"&amp;$G$1)</f>
        <v>0.1</v>
      </c>
      <c r="G9" s="1851"/>
      <c r="H9" s="349"/>
      <c r="I9" s="3161"/>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3038</v>
      </c>
      <c r="E10" s="358" t="s">
        <v>1406</v>
      </c>
      <c r="F10" s="1366" t="s">
        <v>3098</v>
      </c>
      <c r="G10" s="1851"/>
      <c r="H10" s="1291" t="s">
        <v>1036</v>
      </c>
      <c r="I10" s="1823" t="s">
        <v>1405</v>
      </c>
      <c r="J10" s="346">
        <f ca="1">ROUND(IF(M10="押一",J6/12*M11,IF(M10="押二",J6/12*2*M11,IF(M10="押三",J6/12*3*M11,J11*M11))),0)</f>
        <v>0</v>
      </c>
      <c r="K10" s="1824" t="s">
        <v>3037</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154</v>
      </c>
      <c r="D13" s="1331" t="s">
        <v>1411</v>
      </c>
      <c r="E13" s="1331" t="s">
        <v>1412</v>
      </c>
      <c r="F13" s="1332">
        <f ca="1">INDIRECT("'数据-取费表'!y"&amp;$G$1)</f>
        <v>0.8</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138</v>
      </c>
      <c r="D14" s="2953" t="s">
        <v>1414</v>
      </c>
      <c r="E14" s="2952"/>
      <c r="F14" s="364"/>
      <c r="G14" s="1851"/>
      <c r="H14" s="1201" t="s">
        <v>1032</v>
      </c>
      <c r="I14" s="347" t="s">
        <v>1415</v>
      </c>
      <c r="J14" s="24">
        <f ca="1">C29</f>
        <v>192</v>
      </c>
      <c r="K14" s="2946"/>
      <c r="L14" s="979"/>
      <c r="M14" s="980"/>
    </row>
    <row r="15" spans="1:37" s="1858" customFormat="1" ht="18" customHeight="1" thickBot="1">
      <c r="A15" s="1201" t="s">
        <v>1033</v>
      </c>
      <c r="B15" s="347" t="s">
        <v>1416</v>
      </c>
      <c r="C15" s="24">
        <f ca="1">ROUND(C14*F15,0)</f>
        <v>4</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4</v>
      </c>
      <c r="K16" s="1337" t="s">
        <v>1421</v>
      </c>
      <c r="L16" s="2955"/>
      <c r="M16" s="1294"/>
    </row>
    <row r="17" spans="1:37" s="1858" customFormat="1" ht="18" customHeight="1">
      <c r="A17" s="1201" t="s">
        <v>1386</v>
      </c>
      <c r="B17" s="347" t="s">
        <v>1422</v>
      </c>
      <c r="C17" s="24">
        <f ca="1">ROUND(F17*(F43+INDIRECT("'数据-取费表'!S"&amp;$G$1))/10000,0)</f>
        <v>15</v>
      </c>
      <c r="D17" s="347" t="s">
        <v>1423</v>
      </c>
      <c r="E17" s="347" t="s">
        <v>1424</v>
      </c>
      <c r="F17" s="26">
        <f>'数据-取费表'!B35</f>
        <v>200</v>
      </c>
      <c r="G17" s="1854"/>
      <c r="H17" s="1201" t="s">
        <v>1032</v>
      </c>
      <c r="I17" s="347" t="s">
        <v>1425</v>
      </c>
      <c r="J17" s="24">
        <f ca="1">ROUND(IF(项目基本情况!B11="自然人",J5*M17,J18+J19+J20),1)</f>
        <v>1.6</v>
      </c>
      <c r="K17" s="2953" t="s">
        <v>1426</v>
      </c>
      <c r="L17" s="2954"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2</v>
      </c>
      <c r="D18" s="347" t="s">
        <v>1417</v>
      </c>
      <c r="E18" s="347" t="s">
        <v>1418</v>
      </c>
      <c r="F18" s="367">
        <f>'数据-取费表'!B36</f>
        <v>1.4999999999999999E-2</v>
      </c>
      <c r="G18" s="1854"/>
      <c r="H18" s="1201" t="s">
        <v>1031</v>
      </c>
      <c r="I18" s="347" t="s">
        <v>1429</v>
      </c>
      <c r="J18" s="24">
        <f ca="1">ROUND(J5*M18/(1+'数据-取费表'!C42),2)</f>
        <v>0</v>
      </c>
      <c r="K18" s="2954"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159</v>
      </c>
      <c r="D19" s="140" t="s">
        <v>1432</v>
      </c>
      <c r="E19" s="2945"/>
      <c r="F19" s="26"/>
      <c r="G19" s="1851"/>
      <c r="H19" s="1201" t="s">
        <v>1033</v>
      </c>
      <c r="I19" s="347" t="s">
        <v>1433</v>
      </c>
      <c r="J19" s="24">
        <f ca="1">IF(K19="按租金收入计税",ROUND(J5*M19,2),ROUND(C29*M19*0.7,2))</f>
        <v>1.61</v>
      </c>
      <c r="K19" s="1828" t="s">
        <v>1434</v>
      </c>
      <c r="L19" s="347" t="s">
        <v>1418</v>
      </c>
      <c r="M19" s="367">
        <f>IF(K19="按租金收入计税",'数据-取费表'!B51,'数据-取费表'!B50)</f>
        <v>1.2E-2</v>
      </c>
    </row>
    <row r="20" spans="1:37" s="1858" customFormat="1" ht="18" customHeight="1">
      <c r="A20" s="1201" t="s">
        <v>1036</v>
      </c>
      <c r="B20" s="347" t="s">
        <v>1435</v>
      </c>
      <c r="C20" s="24">
        <f ca="1">ROUND(C19*F20,0)</f>
        <v>3</v>
      </c>
      <c r="D20" s="369" t="s">
        <v>1436</v>
      </c>
      <c r="E20" s="347" t="s">
        <v>1418</v>
      </c>
      <c r="F20" s="367">
        <f>'数据-取费表'!B37</f>
        <v>0.02</v>
      </c>
      <c r="G20" s="1854"/>
      <c r="H20" s="1201" t="s">
        <v>1385</v>
      </c>
      <c r="I20" s="164" t="s">
        <v>1437</v>
      </c>
      <c r="J20" s="25">
        <f ca="1">ROUND(M20*M21/10000,2)</f>
        <v>0</v>
      </c>
      <c r="K20" s="370" t="s">
        <v>1438</v>
      </c>
      <c r="L20" s="347" t="s">
        <v>1439</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202.08</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45"/>
      <c r="F22" s="26"/>
      <c r="G22" s="1851"/>
      <c r="H22" s="1201" t="s">
        <v>1036</v>
      </c>
      <c r="I22" s="347" t="s">
        <v>1445</v>
      </c>
      <c r="J22" s="24">
        <f ca="1">ROUND(J14*M22,1)</f>
        <v>1.9</v>
      </c>
      <c r="K22" s="2954" t="s">
        <v>1446</v>
      </c>
      <c r="L22" s="347" t="s">
        <v>1418</v>
      </c>
      <c r="M22" s="374">
        <f ca="1">INDIRECT("'数据-取费表'!Ak"&amp;$G$1)</f>
        <v>0.01</v>
      </c>
    </row>
    <row r="23" spans="1:37" s="1858" customFormat="1" ht="18" customHeight="1">
      <c r="A23" s="1201" t="s">
        <v>1031</v>
      </c>
      <c r="B23" s="347" t="s">
        <v>1447</v>
      </c>
      <c r="C23" s="24">
        <f ca="1">IF('数据-取费表'!B22&lt;=1,ROUND(C19*F24*F23/2,0)+ROUND(C20*F24*F23/2,0),ROUND(C19*(POWER((1+F24),F23/2)-1),0)+ROUND(C20*(POWER((1+F24),F23/2)-1),0))</f>
        <v>8</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2954" t="s">
        <v>1450</v>
      </c>
      <c r="L23" s="347" t="s">
        <v>1451</v>
      </c>
      <c r="M23" s="376">
        <f ca="1">INDIRECT("'数据-取费表'!Al"&amp;$G$1)</f>
        <v>1E-3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2945"/>
      <c r="F25" s="26"/>
      <c r="G25" s="1851"/>
      <c r="H25" s="1329" t="s">
        <v>1028</v>
      </c>
      <c r="I25" s="1344" t="s">
        <v>1459</v>
      </c>
      <c r="J25" s="355">
        <f ca="1">J5-J16</f>
        <v>-4</v>
      </c>
      <c r="K25" s="1345" t="s">
        <v>1460</v>
      </c>
      <c r="L25" s="1346"/>
      <c r="M25" s="1347"/>
    </row>
    <row r="26" spans="1:37">
      <c r="A26" s="1201" t="s">
        <v>1031</v>
      </c>
      <c r="B26" s="347" t="s">
        <v>1461</v>
      </c>
      <c r="C26" s="24">
        <f ca="1">ROUND((C19+C20)*F26,0)</f>
        <v>8</v>
      </c>
      <c r="D26" s="369" t="s">
        <v>1462</v>
      </c>
      <c r="E26" s="358" t="s">
        <v>1463</v>
      </c>
      <c r="F26" s="357">
        <f ca="1">INDIRECT("'数据-取费表'!q"&amp;$G$1)</f>
        <v>0.05</v>
      </c>
      <c r="G26" s="1851"/>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192</v>
      </c>
      <c r="D29" s="1342"/>
      <c r="E29" s="1340"/>
      <c r="F29" s="1343"/>
      <c r="G29" s="1854"/>
      <c r="H29" s="380" t="s">
        <v>1030</v>
      </c>
      <c r="I29" s="381" t="s">
        <v>1475</v>
      </c>
      <c r="J29" s="382">
        <f ca="1">ROUND(J26/(1+F40)^F41,0)</f>
        <v>0</v>
      </c>
      <c r="K29" s="383" t="s">
        <v>1476</v>
      </c>
      <c r="L29" s="384"/>
      <c r="M29" s="385">
        <f ca="1">INDIRECT("'数据-取费表'!k"&amp;$G$1)</f>
        <v>617.01</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4</v>
      </c>
      <c r="D30" s="1337" t="s">
        <v>1421</v>
      </c>
      <c r="E30" s="2955"/>
      <c r="F30" s="1294"/>
      <c r="G30" s="1851"/>
      <c r="H30" s="745"/>
      <c r="I30" s="746"/>
      <c r="J30" s="747"/>
      <c r="K30" s="748"/>
      <c r="L30" s="749"/>
      <c r="M30" s="750"/>
    </row>
    <row r="31" spans="1:37" ht="18" customHeight="1">
      <c r="A31" s="1201" t="s">
        <v>1032</v>
      </c>
      <c r="B31" s="347" t="s">
        <v>1425</v>
      </c>
      <c r="C31" s="24">
        <f ca="1">ROUND(IF(项目基本情况!B11="自然人",C5*F31,C32+C33+C34),1)</f>
        <v>2.1</v>
      </c>
      <c r="D31" s="2953" t="s">
        <v>1426</v>
      </c>
      <c r="E31" s="2954"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0.63</v>
      </c>
      <c r="D32" s="2954"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1.44</v>
      </c>
      <c r="D33" s="1828" t="s">
        <v>3100</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v>
      </c>
      <c r="D34" s="370" t="s">
        <v>1438</v>
      </c>
      <c r="E34" s="347" t="s">
        <v>1439</v>
      </c>
      <c r="F34" s="371">
        <f>'数据-取费表'!B52</f>
        <v>0</v>
      </c>
      <c r="G34" s="1851"/>
      <c r="H34" s="745"/>
      <c r="I34" s="1860"/>
      <c r="J34" s="1861"/>
      <c r="K34" s="1863"/>
      <c r="L34" s="1864"/>
      <c r="M34" s="1864"/>
    </row>
    <row r="35" spans="1:18" ht="18" customHeight="1">
      <c r="A35" s="1353"/>
      <c r="B35" s="1351"/>
      <c r="C35" s="29"/>
      <c r="D35" s="373"/>
      <c r="E35" s="347" t="s">
        <v>1443</v>
      </c>
      <c r="F35" s="348">
        <f ca="1">INDIRECT("'数据-取费表'!r"&amp;$G$1)</f>
        <v>202.08</v>
      </c>
      <c r="G35" s="1851"/>
      <c r="H35" s="745"/>
      <c r="I35" s="1860"/>
      <c r="J35" s="1861"/>
      <c r="K35" s="1862"/>
      <c r="L35" s="1859"/>
      <c r="M35" s="1859"/>
    </row>
    <row r="36" spans="1:18" ht="18" customHeight="1">
      <c r="A36" s="1352" t="s">
        <v>1036</v>
      </c>
      <c r="B36" s="347" t="s">
        <v>1445</v>
      </c>
      <c r="C36" s="24">
        <f ca="1">ROUND(C29*F36,1)</f>
        <v>1.9</v>
      </c>
      <c r="D36" s="2954" t="s">
        <v>1478</v>
      </c>
      <c r="E36" s="347" t="s">
        <v>1418</v>
      </c>
      <c r="F36" s="374">
        <f ca="1">INDIRECT("'数据-取费表'!Ak"&amp;$G$1)</f>
        <v>0.01</v>
      </c>
      <c r="G36" s="1851"/>
      <c r="H36" s="1859"/>
      <c r="I36" s="1860"/>
      <c r="J36" s="1861"/>
      <c r="K36" s="751"/>
      <c r="L36" s="1859"/>
      <c r="M36" s="1859"/>
    </row>
    <row r="37" spans="1:18" ht="18" customHeight="1">
      <c r="A37" s="1201" t="s">
        <v>1072</v>
      </c>
      <c r="B37" s="347" t="s">
        <v>1449</v>
      </c>
      <c r="C37" s="24">
        <f ca="1">ROUND(C13*F37,1)</f>
        <v>0.2</v>
      </c>
      <c r="D37" s="2954" t="s">
        <v>1450</v>
      </c>
      <c r="E37" s="347" t="s">
        <v>1451</v>
      </c>
      <c r="F37" s="376">
        <f ca="1">INDIRECT("'数据-取费表'!Al"&amp;$G$1)</f>
        <v>1E-3</v>
      </c>
      <c r="G37" s="1851"/>
      <c r="H37" s="1859"/>
      <c r="I37" s="1860"/>
      <c r="J37" s="1861"/>
      <c r="K37" s="751"/>
      <c r="L37" s="1859"/>
      <c r="M37" s="1859"/>
    </row>
    <row r="38" spans="1:18" ht="18" customHeight="1" thickBot="1">
      <c r="A38" s="1339" t="s">
        <v>1389</v>
      </c>
      <c r="B38" s="1340" t="s">
        <v>1435</v>
      </c>
      <c r="C38" s="1341">
        <f ca="1">ROUND(C5*F38,1)</f>
        <v>0.1</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1479</v>
      </c>
      <c r="C39" s="355">
        <f ca="1">C5-C30</f>
        <v>8</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136</v>
      </c>
      <c r="D40" s="370" t="s">
        <v>1465</v>
      </c>
      <c r="E40" s="347" t="s">
        <v>1466</v>
      </c>
      <c r="F40" s="357">
        <f ca="1">INDIRECT("'数据-取费表'!I"&amp;$G$1)</f>
        <v>5.5E-2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39.24</v>
      </c>
      <c r="G41" s="1851"/>
      <c r="H41" s="732"/>
      <c r="I41" s="1860"/>
      <c r="J41" s="1861"/>
      <c r="K41" s="751"/>
      <c r="L41" s="732"/>
      <c r="M41" s="732"/>
    </row>
    <row r="42" spans="1:18" ht="18" customHeight="1">
      <c r="A42" s="353"/>
      <c r="B42" s="354"/>
      <c r="C42" s="355"/>
      <c r="D42" s="373"/>
      <c r="E42" s="347" t="s">
        <v>1473</v>
      </c>
      <c r="F42" s="357">
        <f ca="1">INDIRECT("'数据-取费表'!v"&amp;$G$1)</f>
        <v>5.0000000000000001E-3</v>
      </c>
      <c r="G42" s="1851"/>
      <c r="H42" s="732"/>
      <c r="I42" s="1860"/>
      <c r="J42" s="1861"/>
      <c r="K42" s="751"/>
      <c r="L42" s="732"/>
      <c r="M42" s="732"/>
    </row>
    <row r="43" spans="1:18" ht="18" customHeight="1" thickBot="1">
      <c r="A43" s="380" t="s">
        <v>1030</v>
      </c>
      <c r="B43" s="381" t="s">
        <v>1483</v>
      </c>
      <c r="C43" s="382">
        <f ca="1">ROUND(C40*10000/F43,0)</f>
        <v>2204</v>
      </c>
      <c r="D43" s="383" t="s">
        <v>1484</v>
      </c>
      <c r="E43" s="384" t="s">
        <v>1485</v>
      </c>
      <c r="F43" s="385">
        <f ca="1">INDIRECT("'数据-取费表'!k"&amp;$G$1)</f>
        <v>617.01</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-423</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3076</v>
      </c>
      <c r="K47" s="1882" t="s">
        <v>1523</v>
      </c>
      <c r="L47" s="1883">
        <f ca="1">INDIRECT("'数据-取费表'!d"&amp;$G$1)</f>
        <v>50</v>
      </c>
      <c r="M47" s="1838" t="str">
        <f>IF(ISNUMBER(FIND("住宅",C1)),"住宅","非住宅")</f>
        <v>非住宅</v>
      </c>
      <c r="O47" s="1884" t="s">
        <v>1037</v>
      </c>
      <c r="P47" s="1885" t="s">
        <v>1524</v>
      </c>
      <c r="Q47" s="1886">
        <f ca="1">C40+J29</f>
        <v>136</v>
      </c>
      <c r="R47" s="1886" t="s">
        <v>1525</v>
      </c>
    </row>
    <row r="48" spans="1:18" s="1842" customFormat="1" ht="28.5" thickBot="1">
      <c r="A48" s="1360" t="s">
        <v>1132</v>
      </c>
      <c r="B48" s="345" t="s">
        <v>1397</v>
      </c>
      <c r="C48" s="2944">
        <f ca="1">C49+C53+C55</f>
        <v>0</v>
      </c>
      <c r="D48" s="1362"/>
      <c r="E48" s="1363"/>
      <c r="F48" s="1181"/>
      <c r="G48" s="792"/>
      <c r="H48" s="793"/>
      <c r="I48" s="1887" t="s">
        <v>1526</v>
      </c>
      <c r="J48" s="1888" t="s">
        <v>3077</v>
      </c>
      <c r="K48" s="1889" t="s">
        <v>1527</v>
      </c>
      <c r="L48" s="1890">
        <f ca="1">INDIRECT("'数据-取费表'!f"&amp;$G$1)</f>
        <v>39.24</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3030</v>
      </c>
      <c r="E49" s="1830" t="s">
        <v>1487</v>
      </c>
      <c r="F49" s="1281"/>
      <c r="G49" s="1891"/>
      <c r="H49" s="793"/>
      <c r="I49" s="1887" t="s">
        <v>1530</v>
      </c>
      <c r="J49" s="1892"/>
      <c r="K49" s="1889" t="s">
        <v>1531</v>
      </c>
      <c r="L49" s="1893"/>
      <c r="O49" s="1894" t="s">
        <v>1039</v>
      </c>
      <c r="P49" s="1885" t="s">
        <v>1532</v>
      </c>
      <c r="Q49" s="1886">
        <f ca="1">C29</f>
        <v>192</v>
      </c>
      <c r="R49" s="1886" t="s">
        <v>1525</v>
      </c>
    </row>
    <row r="50" spans="1:18" s="1842" customFormat="1" ht="13.5" thickBot="1">
      <c r="A50" s="1195"/>
      <c r="B50" s="1198"/>
      <c r="C50" s="1368"/>
      <c r="D50" s="1172"/>
      <c r="E50" s="1277" t="s">
        <v>1402</v>
      </c>
      <c r="F50" s="1278">
        <f ca="1">F7</f>
        <v>617.01</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60</v>
      </c>
      <c r="K51" s="1900" t="s">
        <v>1537</v>
      </c>
      <c r="L51" s="1901">
        <f ca="1">ROUND(-PV(INDIRECT("'数据-取费表'!h"&amp;$G$1),L48,(C39-C13*C76),0),0)</f>
        <v>-85</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f ca="1">J53</f>
        <v>39.24</v>
      </c>
      <c r="R52" s="1886" t="s">
        <v>1542</v>
      </c>
    </row>
    <row r="53" spans="1:18" s="1842" customFormat="1" ht="24.75" thickBot="1">
      <c r="A53" s="1405" t="s">
        <v>1134</v>
      </c>
      <c r="B53" s="1831" t="s">
        <v>1405</v>
      </c>
      <c r="C53" s="361">
        <f ca="1">ROUND(IF(F53="押一",C49/12*F11,IF(F53="押二",C49/12*2*F11,IF(F53="押三",C49/12*3*F11,C54*F11))),0)</f>
        <v>0</v>
      </c>
      <c r="D53" s="1824" t="s">
        <v>3037</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39.24</v>
      </c>
      <c r="K53" s="3157" t="s">
        <v>1544</v>
      </c>
      <c r="L53" s="3158"/>
      <c r="O53" s="1884" t="s">
        <v>1043</v>
      </c>
      <c r="P53" s="1885" t="s">
        <v>1545</v>
      </c>
      <c r="Q53" s="1886">
        <f ca="1">Q47+Q48</f>
        <v>136</v>
      </c>
      <c r="R53" s="1886" t="s">
        <v>1044</v>
      </c>
    </row>
    <row r="54" spans="1:18" s="1842" customFormat="1" ht="13.5" thickBot="1">
      <c r="A54" s="1406"/>
      <c r="B54" s="1825" t="s">
        <v>1384</v>
      </c>
      <c r="C54" s="1178"/>
      <c r="D54" s="1824"/>
      <c r="E54" s="2948"/>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2948"/>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154</v>
      </c>
      <c r="D56" s="1914"/>
      <c r="E56" s="1915"/>
      <c r="F56" s="1907"/>
      <c r="I56" s="1916" t="s">
        <v>1550</v>
      </c>
      <c r="J56" s="1917" t="s">
        <v>3056</v>
      </c>
      <c r="K56" s="1887" t="s">
        <v>1551</v>
      </c>
      <c r="L56" s="1890" t="str">
        <f ca="1">IF(L48&lt;J51,"——",L48-J53)</f>
        <v>——</v>
      </c>
      <c r="O56" s="1884" t="s">
        <v>1037</v>
      </c>
      <c r="P56" s="1885" t="s">
        <v>1524</v>
      </c>
      <c r="Q56" s="1886">
        <f ca="1">C40+J29</f>
        <v>136</v>
      </c>
      <c r="R56" s="1886" t="s">
        <v>1525</v>
      </c>
    </row>
    <row r="57" spans="1:18" s="1842" customFormat="1" ht="24.75" thickBot="1">
      <c r="A57" s="1918"/>
      <c r="B57" s="1169" t="s">
        <v>1474</v>
      </c>
      <c r="C57" s="282">
        <f ca="1">C29</f>
        <v>192</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18</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16.100000000000001</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16.13</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0</v>
      </c>
      <c r="D62" s="1184" t="s">
        <v>1493</v>
      </c>
      <c r="E62" s="1169" t="s">
        <v>1494</v>
      </c>
      <c r="F62" s="371">
        <f t="shared" si="0"/>
        <v>0</v>
      </c>
      <c r="I62" s="1929" t="s">
        <v>1566</v>
      </c>
      <c r="J62" s="1930" t="s">
        <v>1567</v>
      </c>
      <c r="K62" s="1930" t="s">
        <v>1568</v>
      </c>
      <c r="L62" s="1930" t="s">
        <v>1569</v>
      </c>
      <c r="M62" s="1931" t="s">
        <v>1570</v>
      </c>
      <c r="O62" s="1884" t="s">
        <v>1043</v>
      </c>
      <c r="P62" s="1885" t="s">
        <v>1571</v>
      </c>
      <c r="Q62" s="1886">
        <f ca="1">Q56+Q57</f>
        <v>136</v>
      </c>
      <c r="R62" s="1886" t="s">
        <v>1044</v>
      </c>
    </row>
    <row r="63" spans="1:18" s="1842" customFormat="1" ht="13.5" thickBot="1">
      <c r="A63" s="372"/>
      <c r="B63" s="1175"/>
      <c r="C63" s="29"/>
      <c r="D63" s="1185"/>
      <c r="E63" s="1169" t="s">
        <v>1495</v>
      </c>
      <c r="F63" s="348">
        <f t="shared" ca="1" si="0"/>
        <v>202.08</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1.9</v>
      </c>
      <c r="D64" s="1183" t="s">
        <v>1498</v>
      </c>
      <c r="E64" s="1169" t="s">
        <v>1490</v>
      </c>
      <c r="F64" s="374">
        <f t="shared" ca="1" si="0"/>
        <v>0.01</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0.2</v>
      </c>
      <c r="D65" s="1183" t="s">
        <v>1450</v>
      </c>
      <c r="E65" s="1169" t="s">
        <v>1451</v>
      </c>
      <c r="F65" s="376">
        <f t="shared" ca="1" si="0"/>
        <v>1E-3</v>
      </c>
      <c r="I65" s="1929" t="s">
        <v>1575</v>
      </c>
      <c r="J65" s="1930">
        <v>40</v>
      </c>
      <c r="K65" s="1930">
        <v>30</v>
      </c>
      <c r="L65" s="1930">
        <v>50</v>
      </c>
      <c r="M65" s="1932">
        <v>0.02</v>
      </c>
      <c r="O65" s="1884" t="s">
        <v>1037</v>
      </c>
      <c r="P65" s="1885" t="s">
        <v>1576</v>
      </c>
      <c r="Q65" s="1886">
        <f ca="1">C40+J29</f>
        <v>136</v>
      </c>
      <c r="R65" s="1886" t="s">
        <v>1525</v>
      </c>
    </row>
    <row r="66" spans="1:18" s="1842" customFormat="1" ht="16.5" thickBot="1">
      <c r="A66" s="1201" t="s">
        <v>1500</v>
      </c>
      <c r="B66" s="1169" t="s">
        <v>1435</v>
      </c>
      <c r="C66" s="24">
        <f ca="1">ROUND(C48*F66,1)</f>
        <v>0</v>
      </c>
      <c r="D66" s="1183" t="s">
        <v>1501</v>
      </c>
      <c r="E66" s="1169" t="s">
        <v>1418</v>
      </c>
      <c r="F66" s="357">
        <f t="shared" ca="1" si="0"/>
        <v>0.01</v>
      </c>
      <c r="O66" s="1884" t="s">
        <v>1038</v>
      </c>
      <c r="P66" s="1885" t="s">
        <v>1554</v>
      </c>
      <c r="Q66" s="1886">
        <f ca="1">L60</f>
        <v>0</v>
      </c>
      <c r="R66" s="1886" t="s">
        <v>1577</v>
      </c>
    </row>
    <row r="67" spans="1:18" s="1842" customFormat="1" ht="16.5" thickBot="1">
      <c r="A67" s="1176" t="s">
        <v>1028</v>
      </c>
      <c r="B67" s="1186" t="s">
        <v>1459</v>
      </c>
      <c r="C67" s="361">
        <f ca="1">C48-C58</f>
        <v>-18</v>
      </c>
      <c r="D67" s="1182" t="s">
        <v>1460</v>
      </c>
      <c r="E67" s="1187"/>
      <c r="F67" s="1188"/>
      <c r="O67" s="1894" t="s">
        <v>1039</v>
      </c>
      <c r="P67" s="1885" t="s">
        <v>1558</v>
      </c>
      <c r="Q67" s="1933">
        <f ca="1">L51</f>
        <v>-85</v>
      </c>
      <c r="R67" s="1886" t="s">
        <v>1578</v>
      </c>
    </row>
    <row r="68" spans="1:18" s="1842" customFormat="1" ht="16.5" thickBot="1">
      <c r="A68" s="1166" t="s">
        <v>1029</v>
      </c>
      <c r="B68" s="1167" t="s">
        <v>1481</v>
      </c>
      <c r="C68" s="346">
        <f ca="1">ROUND(C67*(1-((1+F70)/(1+F68))^F69)/(F68-F70),0)</f>
        <v>-287</v>
      </c>
      <c r="D68" s="1184" t="s">
        <v>1465</v>
      </c>
      <c r="E68" s="1169" t="s">
        <v>1466</v>
      </c>
      <c r="F68" s="357">
        <f ca="1">F40</f>
        <v>5.5E-2</v>
      </c>
      <c r="O68" s="1894" t="s">
        <v>1040</v>
      </c>
      <c r="P68" s="1934" t="s">
        <v>1579</v>
      </c>
      <c r="Q68" s="1886">
        <f ca="1">ROUND(Q69-Q70*Q71,0)</f>
        <v>-4</v>
      </c>
      <c r="R68" s="1886" t="s">
        <v>1048</v>
      </c>
    </row>
    <row r="69" spans="1:18" s="1842" customFormat="1" ht="13.5" thickBot="1">
      <c r="A69" s="1170"/>
      <c r="B69" s="1171"/>
      <c r="C69" s="351"/>
      <c r="D69" s="1189" t="s">
        <v>1469</v>
      </c>
      <c r="E69" s="1169" t="s">
        <v>1470</v>
      </c>
      <c r="F69" s="379">
        <f ca="1">F41</f>
        <v>39.24</v>
      </c>
      <c r="O69" s="1894" t="s">
        <v>1045</v>
      </c>
      <c r="P69" s="1934" t="s">
        <v>1580</v>
      </c>
      <c r="Q69" s="1886">
        <f ca="1">C39</f>
        <v>8</v>
      </c>
      <c r="R69" s="1886" t="s">
        <v>1525</v>
      </c>
    </row>
    <row r="70" spans="1:18" s="1842" customFormat="1" ht="13.5" thickBot="1">
      <c r="A70" s="1173"/>
      <c r="B70" s="1174"/>
      <c r="C70" s="355"/>
      <c r="D70" s="1185"/>
      <c r="E70" s="1169" t="s">
        <v>1473</v>
      </c>
      <c r="F70" s="1275"/>
      <c r="O70" s="1894" t="s">
        <v>1046</v>
      </c>
      <c r="P70" s="1934" t="s">
        <v>1581</v>
      </c>
      <c r="Q70" s="1886">
        <f ca="1">C13</f>
        <v>154</v>
      </c>
      <c r="R70" s="1886" t="s">
        <v>1525</v>
      </c>
    </row>
    <row r="71" spans="1:18" s="1842" customFormat="1" ht="13.5" thickBot="1">
      <c r="A71" s="1190" t="s">
        <v>1030</v>
      </c>
      <c r="B71" s="1191" t="s">
        <v>1483</v>
      </c>
      <c r="C71" s="382">
        <f ca="1">ROUND(C68*10000/F71,0)</f>
        <v>-4651</v>
      </c>
      <c r="D71" s="1192" t="s">
        <v>1484</v>
      </c>
      <c r="E71" s="1193" t="s">
        <v>1485</v>
      </c>
      <c r="F71" s="385">
        <f ca="1">F43</f>
        <v>617.01</v>
      </c>
      <c r="O71" s="1894" t="s">
        <v>1047</v>
      </c>
      <c r="P71" s="1934" t="s">
        <v>1582</v>
      </c>
      <c r="Q71" s="1897">
        <f ca="1">C76</f>
        <v>0.08</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12</v>
      </c>
      <c r="D75" s="1842"/>
      <c r="E75" s="1842"/>
      <c r="F75" s="1842"/>
      <c r="K75" s="1868"/>
      <c r="L75" s="1842"/>
      <c r="O75" s="1884" t="s">
        <v>1043</v>
      </c>
      <c r="P75" s="1885" t="s">
        <v>1545</v>
      </c>
      <c r="Q75" s="1886">
        <f ca="1">Q65+Q66</f>
        <v>136</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-0.5</v>
      </c>
    </row>
    <row r="80" spans="1:18">
      <c r="B80" s="386" t="s">
        <v>1507</v>
      </c>
      <c r="C80" s="318">
        <f ca="1">ROUND(C75/C39,3)</f>
        <v>1.5</v>
      </c>
    </row>
    <row r="81" spans="2:3">
      <c r="B81" s="314" t="s">
        <v>1508</v>
      </c>
      <c r="C81" s="282"/>
    </row>
    <row r="82" spans="2:3">
      <c r="B82" s="317" t="s">
        <v>1509</v>
      </c>
      <c r="C82" s="319">
        <f ca="1">1-C83</f>
        <v>-0.1319999999999999</v>
      </c>
    </row>
    <row r="83" spans="2:3">
      <c r="B83" s="317" t="s">
        <v>1510</v>
      </c>
      <c r="C83" s="318">
        <f ca="1">ROUND(C13/C40,3)</f>
        <v>1.1319999999999999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5">
      <formula>$L$48&gt;$J$51</formula>
    </cfRule>
  </conditionalFormatting>
  <conditionalFormatting sqref="I55 I60">
    <cfRule type="expression" dxfId="13" priority="4">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90" zoomScaleNormal="90" zoomScaleSheetLayoutView="96" workbookViewId="0">
      <selection activeCell="E29" activeCellId="1" sqref="E38 E29"/>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2" customWidth="1"/>
    <col min="33" max="36" width="9.375" style="2799" customWidth="1"/>
    <col min="37" max="38" width="9.375" style="2723" customWidth="1"/>
    <col min="39" max="16384" width="12" style="2723"/>
  </cols>
  <sheetData>
    <row r="1" spans="1:36" ht="28.5">
      <c r="A1" s="240" t="s">
        <v>2802</v>
      </c>
      <c r="B1" s="241"/>
      <c r="C1" s="245" t="s">
        <v>2803</v>
      </c>
      <c r="D1" s="388">
        <f>SUM(D29:D30,D33:D39)</f>
        <v>19347.48</v>
      </c>
      <c r="E1" s="2720"/>
      <c r="F1" s="2720"/>
      <c r="G1" s="2720"/>
      <c r="H1" s="2720"/>
      <c r="I1" s="2720"/>
      <c r="J1" s="2720"/>
      <c r="K1" s="1370"/>
      <c r="L1" s="2721" t="s">
        <v>2804</v>
      </c>
      <c r="M1" s="1080">
        <f>SUMPRODUCT((区片价!B5:B9=I2)*(区片价!C3:F3=E2)*(区片价!C5:F9))</f>
        <v>0</v>
      </c>
      <c r="N1" s="1083">
        <f>SUMPRODUCT((因素修正幅度!B5:B9=I2)*(因素修正幅度!C3:F3=E2)*(因素修正幅度!C5:F9))</f>
        <v>0</v>
      </c>
      <c r="O1" s="2722"/>
      <c r="P1" s="2722"/>
      <c r="Q1" s="1370"/>
      <c r="R1" s="1602" t="s">
        <v>2805</v>
      </c>
      <c r="S1" s="1602" t="s">
        <v>2806</v>
      </c>
      <c r="T1" s="1602" t="s">
        <v>2807</v>
      </c>
      <c r="U1" s="1602" t="s">
        <v>2808</v>
      </c>
      <c r="V1" s="1602" t="s">
        <v>2809</v>
      </c>
      <c r="W1" s="1606"/>
      <c r="X1" s="1606"/>
      <c r="Y1" s="1606"/>
      <c r="Z1" s="1606"/>
      <c r="AA1" s="1606"/>
      <c r="AB1" s="1606"/>
      <c r="AC1" s="1607"/>
      <c r="AD1" s="1608"/>
      <c r="AE1" s="1608"/>
      <c r="AF1" s="1608"/>
      <c r="AG1" s="1608"/>
      <c r="AH1" s="1608"/>
      <c r="AI1" s="1608"/>
      <c r="AJ1" s="1609"/>
    </row>
    <row r="2" spans="1:36" ht="15.75">
      <c r="A2" s="245" t="s">
        <v>2810</v>
      </c>
      <c r="B2" s="248">
        <f ca="1">C26</f>
        <v>21189</v>
      </c>
      <c r="C2" s="2724" t="s">
        <v>2811</v>
      </c>
      <c r="D2" s="2725" t="s">
        <v>2812</v>
      </c>
      <c r="E2" s="2726" t="s">
        <v>27</v>
      </c>
      <c r="F2" s="2725" t="s">
        <v>2813</v>
      </c>
      <c r="G2" s="2727" t="str">
        <f>IF(E2="商业",项目基本情况!B37,IF(E2="办公",项目基本情况!C37,IF(E2="住宅",项目基本情况!D37,项目基本情况!E37)))</f>
        <v>六级</v>
      </c>
      <c r="H2" s="2725" t="s">
        <v>2814</v>
      </c>
      <c r="I2" s="2727" t="str">
        <f>IF(E2="商业",项目基本情况!B38,IF(E2="办公",项目基本情况!C38,IF(E2="住宅",项目基本情况!D38,项目基本情况!E38)))</f>
        <v>Ⅵ-昌4</v>
      </c>
      <c r="J2" s="2728"/>
      <c r="K2" s="1370"/>
      <c r="L2" s="2729" t="s">
        <v>2815</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23468</v>
      </c>
      <c r="U2" s="1603"/>
      <c r="V2" s="1602">
        <f ca="1">ROUND(T2*U2/10000,0)</f>
        <v>0</v>
      </c>
      <c r="W2" s="1606"/>
      <c r="X2" s="1606"/>
      <c r="Y2" s="1606"/>
      <c r="Z2" s="1606"/>
      <c r="AA2" s="1606"/>
      <c r="AB2" s="1606"/>
      <c r="AC2" s="1607"/>
      <c r="AD2" s="1608"/>
      <c r="AE2" s="1608"/>
      <c r="AF2" s="1608"/>
      <c r="AG2" s="1608"/>
      <c r="AH2" s="1608"/>
      <c r="AI2" s="1608"/>
      <c r="AJ2" s="1609"/>
    </row>
    <row r="3" spans="1:36" ht="25.5">
      <c r="A3" s="247" t="s">
        <v>2816</v>
      </c>
      <c r="B3" s="248">
        <f ca="1">ROUND(B2*10000/D1,0)</f>
        <v>10952</v>
      </c>
      <c r="C3" s="2724" t="s">
        <v>2817</v>
      </c>
      <c r="D3" s="2725" t="s">
        <v>2818</v>
      </c>
      <c r="E3" s="2730" t="s">
        <v>3067</v>
      </c>
      <c r="F3" s="2731" t="s">
        <v>2819</v>
      </c>
      <c r="G3" s="913">
        <f>IF(F3="宗地容积率",'数据-汇总表'!I4,IF(F3="估价对象容积率",'数据-汇总表'!I6,'数据-汇总表'!I7))</f>
        <v>3.63</v>
      </c>
      <c r="H3" s="198" t="s">
        <v>2820</v>
      </c>
      <c r="I3" s="944"/>
      <c r="J3" s="2728" t="s">
        <v>2821</v>
      </c>
      <c r="K3" s="1370"/>
      <c r="L3" s="2729" t="s">
        <v>2822</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16845</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56"/>
      <c r="B4" s="3257"/>
      <c r="C4" s="3257"/>
      <c r="D4" s="3258"/>
      <c r="E4" s="3258"/>
      <c r="F4" s="3258"/>
      <c r="G4" s="3258"/>
      <c r="H4" s="3258"/>
      <c r="I4" s="3258"/>
      <c r="J4" s="3259"/>
      <c r="K4" s="1370"/>
      <c r="L4" s="2729" t="s">
        <v>2823</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13590</v>
      </c>
      <c r="U4" s="1603"/>
      <c r="V4" s="1602">
        <f t="shared" ca="1" si="1"/>
        <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2824</v>
      </c>
      <c r="C5" s="914">
        <f>ROUND(IF(E2="商业",IF(F16="增加",C6*C7+C16,C6*C7-C16),IF(E2="住宅",IF(F16="增加",C6*C12+C16,C6*C12-C16),IF(F16="增加",C6+C16,C6-C16))),0)</f>
        <v>10030</v>
      </c>
      <c r="D5" s="1787">
        <f>ROUND(IF(F16="增加",C6+C16,C6-C16),0)</f>
        <v>10030</v>
      </c>
      <c r="E5" s="1787"/>
      <c r="F5" s="2734"/>
      <c r="G5" s="2735"/>
      <c r="H5" s="2735"/>
      <c r="I5" s="2735"/>
      <c r="J5" s="2736"/>
      <c r="K5" s="2737"/>
      <c r="L5" s="2729" t="s">
        <v>2825</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10904</v>
      </c>
      <c r="U5" s="1603"/>
      <c r="V5" s="1602">
        <f t="shared" ca="1" si="1"/>
        <v>0</v>
      </c>
      <c r="W5" s="1606"/>
      <c r="X5" s="1606"/>
      <c r="Y5" s="1606"/>
      <c r="Z5" s="1606"/>
      <c r="AA5" s="1606"/>
      <c r="AB5" s="1606"/>
      <c r="AC5" s="2738"/>
      <c r="AD5" s="2739"/>
      <c r="AE5" s="2739"/>
      <c r="AF5" s="2739"/>
      <c r="AG5" s="2739"/>
      <c r="AH5" s="2739"/>
      <c r="AI5" s="2739"/>
      <c r="AJ5" s="2740"/>
    </row>
    <row r="6" spans="1:36" ht="15.75" thickBot="1">
      <c r="A6" s="2742" t="s">
        <v>2826</v>
      </c>
      <c r="B6" s="2743" t="s">
        <v>2827</v>
      </c>
      <c r="C6" s="915">
        <f>SUMIF(L1:L12,G2,M1:M12)</f>
        <v>10050</v>
      </c>
      <c r="D6" s="2744" t="s">
        <v>2828</v>
      </c>
      <c r="E6" s="2745"/>
      <c r="F6" s="2745"/>
      <c r="G6" s="2746"/>
      <c r="H6" s="2746"/>
      <c r="I6" s="2746"/>
      <c r="J6" s="2747"/>
      <c r="K6" s="1842"/>
      <c r="L6" s="2729" t="s">
        <v>2829</v>
      </c>
      <c r="M6" s="1081">
        <f>SUMPRODUCT((区片价!B110:B157=I2)*(区片价!C3:F3=E2)*(区片价!C110:F157))</f>
        <v>10050</v>
      </c>
      <c r="N6" s="1083">
        <f>SUMPRODUCT((因素修正幅度!B110:B157=I2)*(因素修正幅度!C3:F3=E2)*(因素修正幅度!C110:F157))</f>
        <v>0.121</v>
      </c>
      <c r="O6" s="1370"/>
      <c r="P6" s="1370"/>
      <c r="Q6" s="1370"/>
      <c r="R6" s="1602">
        <v>5</v>
      </c>
      <c r="S6" s="1602">
        <f>ROUND(IF(G3&gt;1,IF(R6&lt;7,SUMPRODUCT((B93:B98=R6)*(C92:N92=G2)*(C93:N98)),SUMIF(C92:N92,G2,C100:N100)),IF(R6&lt;7,SUMPRODUCT((B102:B107=R6)*(C92:N92=G2)*(C102:N107)),SUMIF(C92:N92,G2,C109:N109))),4)</f>
        <v>0.73709999999999998</v>
      </c>
      <c r="T6" s="1602">
        <f t="shared" ca="1" si="0"/>
        <v>9286</v>
      </c>
      <c r="U6" s="1603"/>
      <c r="V6" s="1602">
        <f t="shared" ca="1" si="1"/>
        <v>0</v>
      </c>
      <c r="W6" s="1606"/>
      <c r="X6" s="1606"/>
      <c r="Y6" s="1606"/>
      <c r="Z6" s="1606"/>
      <c r="AA6" s="1606"/>
      <c r="AB6" s="1606"/>
      <c r="AC6" s="2738"/>
      <c r="AD6" s="2739"/>
      <c r="AE6" s="2739"/>
      <c r="AF6" s="2739"/>
      <c r="AG6" s="2739"/>
      <c r="AH6" s="2739"/>
      <c r="AI6" s="2739"/>
      <c r="AJ6" s="2740"/>
    </row>
    <row r="7" spans="1:36" ht="24">
      <c r="A7" s="3260" t="str">
        <f>IF(E2="商业",IF(C8="不临58条商业街","",2),"")</f>
        <v/>
      </c>
      <c r="B7" s="2748" t="s">
        <v>2830</v>
      </c>
      <c r="C7" s="916">
        <f>IF(C8="不临58条商业街",1,ROUND(1+(1.6*E8+1.2*E9+0.8*E10+0.4*E11)*C9,4))</f>
        <v>1</v>
      </c>
      <c r="D7" s="2749" t="s">
        <v>2831</v>
      </c>
      <c r="E7" s="945">
        <v>60</v>
      </c>
      <c r="F7" s="2750"/>
      <c r="G7" s="2751"/>
      <c r="H7" s="2751"/>
      <c r="I7" s="2751"/>
      <c r="J7" s="2752"/>
      <c r="K7" s="1842"/>
      <c r="L7" s="2729" t="s">
        <v>2832</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0.6482</v>
      </c>
      <c r="T7" s="1602">
        <f t="shared" ca="1" si="0"/>
        <v>8166</v>
      </c>
      <c r="U7" s="1603"/>
      <c r="V7" s="1602">
        <f t="shared" ca="1" si="1"/>
        <v>0</v>
      </c>
      <c r="W7" s="1816" t="s">
        <v>2833</v>
      </c>
      <c r="X7" s="1604" t="str">
        <f>G2</f>
        <v>六级</v>
      </c>
      <c r="Y7" s="1604" t="s">
        <v>2834</v>
      </c>
      <c r="Z7" s="1605">
        <f>G3</f>
        <v>3.63</v>
      </c>
      <c r="AA7" s="1606"/>
      <c r="AB7" s="1606"/>
      <c r="AC7" s="1607"/>
      <c r="AD7" s="1608"/>
      <c r="AE7" s="1608"/>
      <c r="AF7" s="1608"/>
      <c r="AG7" s="1608"/>
      <c r="AH7" s="1608"/>
      <c r="AI7" s="1608"/>
      <c r="AJ7" s="1609"/>
    </row>
    <row r="8" spans="1:36" ht="15">
      <c r="A8" s="3261"/>
      <c r="B8" s="198" t="s">
        <v>2835</v>
      </c>
      <c r="C8" s="2753"/>
      <c r="D8" s="917" t="s">
        <v>139</v>
      </c>
      <c r="E8" s="918">
        <f>ROUND(C11/E7,4)</f>
        <v>0</v>
      </c>
      <c r="F8" s="2754" t="s">
        <v>2836</v>
      </c>
      <c r="G8" s="2755"/>
      <c r="H8" s="2755"/>
      <c r="I8" s="2755"/>
      <c r="J8" s="2756"/>
      <c r="K8" s="1370"/>
      <c r="L8" s="2729" t="s">
        <v>2837</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53" t="s">
        <v>2838</v>
      </c>
      <c r="X8" s="3254"/>
      <c r="Y8" s="1610" t="s">
        <v>2839</v>
      </c>
      <c r="Z8" s="1610" t="s">
        <v>2840</v>
      </c>
      <c r="AA8" s="1610" t="s">
        <v>2841</v>
      </c>
      <c r="AB8" s="1610" t="s">
        <v>2842</v>
      </c>
      <c r="AC8" s="1610" t="s">
        <v>2843</v>
      </c>
      <c r="AD8" s="1610" t="s">
        <v>2844</v>
      </c>
      <c r="AE8" s="1610" t="s">
        <v>2845</v>
      </c>
      <c r="AF8" s="1610" t="s">
        <v>2846</v>
      </c>
      <c r="AG8" s="1610" t="s">
        <v>2847</v>
      </c>
      <c r="AH8" s="1610" t="s">
        <v>2848</v>
      </c>
      <c r="AI8" s="1610" t="s">
        <v>2849</v>
      </c>
      <c r="AJ8" s="1610" t="s">
        <v>2850</v>
      </c>
    </row>
    <row r="9" spans="1:36" ht="15">
      <c r="A9" s="3261"/>
      <c r="B9" s="198" t="s">
        <v>2851</v>
      </c>
      <c r="C9" s="919">
        <f>SUMIF(修正!C59:C119,C8,修正!E59:E119)</f>
        <v>0</v>
      </c>
      <c r="D9" s="200" t="s">
        <v>140</v>
      </c>
      <c r="E9" s="200">
        <f>ROUND(C11/E7,4)</f>
        <v>0</v>
      </c>
      <c r="F9" s="2754" t="s">
        <v>2852</v>
      </c>
      <c r="G9" s="2755"/>
      <c r="H9" s="2755"/>
      <c r="I9" s="2755"/>
      <c r="J9" s="2756"/>
      <c r="K9" s="1370"/>
      <c r="L9" s="2729" t="s">
        <v>2853</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55" t="s">
        <v>2854</v>
      </c>
      <c r="X9" s="1611" t="s">
        <v>2855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61"/>
      <c r="B10" s="198" t="s">
        <v>2856</v>
      </c>
      <c r="C10" s="200">
        <f>SUMIF(修正!C59:C119,C8,修正!F59:F119)</f>
        <v>0</v>
      </c>
      <c r="D10" s="200" t="s">
        <v>141</v>
      </c>
      <c r="E10" s="200">
        <f>ROUND(C11/E7,4)</f>
        <v>0</v>
      </c>
      <c r="F10" s="2754" t="s">
        <v>2857</v>
      </c>
      <c r="G10" s="2755"/>
      <c r="H10" s="2755"/>
      <c r="I10" s="2755"/>
      <c r="J10" s="2756"/>
      <c r="K10" s="1370"/>
      <c r="L10" s="2729" t="s">
        <v>2858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5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61"/>
      <c r="B11" s="2757" t="s">
        <v>2859</v>
      </c>
      <c r="C11" s="920">
        <f>C10/4</f>
        <v>0</v>
      </c>
      <c r="D11" s="920" t="s">
        <v>142</v>
      </c>
      <c r="E11" s="920">
        <f>ROUND(C11/E7,4)</f>
        <v>0</v>
      </c>
      <c r="F11" s="2758" t="s">
        <v>2860</v>
      </c>
      <c r="G11" s="2759"/>
      <c r="H11" s="2759"/>
      <c r="I11" s="2759"/>
      <c r="J11" s="2760"/>
      <c r="K11" s="1370"/>
      <c r="L11" s="2729" t="s">
        <v>2861</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55" t="s">
        <v>2862</v>
      </c>
      <c r="X11" s="1614" t="s">
        <v>2863</v>
      </c>
      <c r="Y11" s="1615">
        <f>$G$3</f>
        <v>3.63</v>
      </c>
      <c r="Z11" s="1615">
        <f t="shared" ref="Z11:AJ11" si="3">$G$3</f>
        <v>3.63</v>
      </c>
      <c r="AA11" s="1615">
        <f t="shared" si="3"/>
        <v>3.63</v>
      </c>
      <c r="AB11" s="1615">
        <f t="shared" si="3"/>
        <v>3.63</v>
      </c>
      <c r="AC11" s="1615">
        <f t="shared" si="3"/>
        <v>3.63</v>
      </c>
      <c r="AD11" s="1615">
        <f t="shared" si="3"/>
        <v>3.63</v>
      </c>
      <c r="AE11" s="1615">
        <f t="shared" si="3"/>
        <v>3.63</v>
      </c>
      <c r="AF11" s="1615">
        <f t="shared" si="3"/>
        <v>3.63</v>
      </c>
      <c r="AG11" s="1615">
        <f t="shared" si="3"/>
        <v>3.63</v>
      </c>
      <c r="AH11" s="1615">
        <f t="shared" si="3"/>
        <v>3.63</v>
      </c>
      <c r="AI11" s="1615">
        <f t="shared" si="3"/>
        <v>3.63</v>
      </c>
      <c r="AJ11" s="1615">
        <f t="shared" si="3"/>
        <v>3.63</v>
      </c>
    </row>
    <row r="12" spans="1:36" ht="25.5" thickBot="1">
      <c r="A12" s="3260" t="s">
        <v>2864</v>
      </c>
      <c r="B12" s="2761" t="s">
        <v>2865</v>
      </c>
      <c r="C12" s="916">
        <f>ROUND(C15*D15*E15*F15*G15*H15*I15*J15,4)</f>
        <v>1</v>
      </c>
      <c r="D12" s="2762" t="s">
        <v>2866</v>
      </c>
      <c r="E12" s="2763"/>
      <c r="F12" s="2763"/>
      <c r="G12" s="2764"/>
      <c r="H12" s="2764"/>
      <c r="I12" s="2764"/>
      <c r="J12" s="2765"/>
      <c r="K12" s="1370"/>
      <c r="L12" s="2766" t="s">
        <v>2867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55"/>
      <c r="X12" s="1616" t="s">
        <v>2868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62"/>
      <c r="B13" s="2767" t="s">
        <v>2869</v>
      </c>
      <c r="C13" s="2768" t="s">
        <v>2870</v>
      </c>
      <c r="D13" s="1808" t="s">
        <v>2871</v>
      </c>
      <c r="E13" s="1808" t="s">
        <v>2872</v>
      </c>
      <c r="F13" s="30" t="s">
        <v>2873</v>
      </c>
      <c r="G13" s="2769" t="s">
        <v>2874</v>
      </c>
      <c r="H13" s="2769" t="s">
        <v>2874</v>
      </c>
      <c r="I13" s="2769" t="s">
        <v>2874</v>
      </c>
      <c r="J13" s="2770" t="s">
        <v>2874</v>
      </c>
      <c r="K13" s="1370"/>
      <c r="L13" s="1370"/>
      <c r="M13" s="1370"/>
      <c r="N13" s="1370"/>
      <c r="O13" s="1370"/>
      <c r="P13" s="1370"/>
      <c r="Q13" s="1370"/>
      <c r="R13" s="1602">
        <v>12</v>
      </c>
      <c r="S13" s="1603"/>
      <c r="T13" s="1602">
        <f t="shared" ca="1" si="0"/>
        <v>0</v>
      </c>
      <c r="U13" s="1603"/>
      <c r="V13" s="1602">
        <f t="shared" ca="1" si="1"/>
        <v>0</v>
      </c>
      <c r="W13" s="3255"/>
      <c r="X13" s="1616"/>
      <c r="Y13" s="1613">
        <f>(-0.163*(Y12^2)-0.59*Y12+7617)*(10^(-4))/Y11</f>
        <v>0.20983471074380167</v>
      </c>
      <c r="Z13" s="1613">
        <f t="shared" ref="Z13:AJ13" si="5">(-0.163*(Z12^2)-0.59*Z12+7617)*(10^(-4))/Z11</f>
        <v>0.20983471074380167</v>
      </c>
      <c r="AA13" s="1613">
        <f t="shared" si="5"/>
        <v>0.20983471074380167</v>
      </c>
      <c r="AB13" s="1613">
        <f t="shared" si="5"/>
        <v>0.20983471074380167</v>
      </c>
      <c r="AC13" s="1613">
        <f t="shared" si="5"/>
        <v>0.20983471074380167</v>
      </c>
      <c r="AD13" s="1613">
        <f t="shared" si="5"/>
        <v>0.20983471074380167</v>
      </c>
      <c r="AE13" s="1613">
        <f t="shared" si="5"/>
        <v>0.20983471074380167</v>
      </c>
      <c r="AF13" s="1613">
        <f t="shared" si="5"/>
        <v>0.20983471074380167</v>
      </c>
      <c r="AG13" s="1613">
        <f t="shared" si="5"/>
        <v>0.20983471074380167</v>
      </c>
      <c r="AH13" s="1613">
        <f t="shared" si="5"/>
        <v>0.20983471074380167</v>
      </c>
      <c r="AI13" s="1613">
        <f t="shared" si="5"/>
        <v>0.20983471074380167</v>
      </c>
      <c r="AJ13" s="1613">
        <f t="shared" si="5"/>
        <v>0.20983471074380167</v>
      </c>
    </row>
    <row r="14" spans="1:36" ht="15">
      <c r="A14" s="3262"/>
      <c r="B14" s="2771"/>
      <c r="C14" s="2772"/>
      <c r="D14" s="2773"/>
      <c r="E14" s="2773"/>
      <c r="F14" s="2774"/>
      <c r="G14" s="2775" t="s">
        <v>2875</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63"/>
      <c r="B15" s="2779" t="s">
        <v>2876</v>
      </c>
      <c r="C15" s="229">
        <f>IF(C14="有",1.1,1)</f>
        <v>1</v>
      </c>
      <c r="D15" s="229">
        <f>IF(D14="有",1.1,1)</f>
        <v>1</v>
      </c>
      <c r="E15" s="229">
        <f>IF(E14="有",1.1,1)</f>
        <v>1</v>
      </c>
      <c r="F15" s="229">
        <f>IF(F14="500米范围内",1.2,IF(F14="500-1000米",1.1,1))</f>
        <v>1</v>
      </c>
      <c r="G15" s="946">
        <v>1</v>
      </c>
      <c r="H15" s="946">
        <v>1</v>
      </c>
      <c r="I15" s="946">
        <v>1</v>
      </c>
      <c r="J15" s="947">
        <v>1</v>
      </c>
      <c r="K15" s="1370"/>
      <c r="L15" s="2780" t="s">
        <v>2812</v>
      </c>
      <c r="M15" s="917" t="s">
        <v>2877</v>
      </c>
      <c r="N15" s="917" t="s">
        <v>2878</v>
      </c>
      <c r="O15" s="917" t="s">
        <v>2879</v>
      </c>
      <c r="P15" s="2781" t="s">
        <v>2880</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260" t="s">
        <v>2881</v>
      </c>
      <c r="B16" s="2748" t="s">
        <v>2882</v>
      </c>
      <c r="C16" s="1801">
        <f>ROUND(SUM(G17:J17)/C17,0)</f>
        <v>20</v>
      </c>
      <c r="D16" s="2782" t="s">
        <v>2883</v>
      </c>
      <c r="E16" s="2783" t="s">
        <v>3086</v>
      </c>
      <c r="F16" s="2784" t="s">
        <v>3087</v>
      </c>
      <c r="G16" s="2785" t="s">
        <v>3088</v>
      </c>
      <c r="H16" s="2785"/>
      <c r="I16" s="2785"/>
      <c r="J16" s="2786"/>
      <c r="K16" s="1370"/>
      <c r="L16" s="2787" t="s">
        <v>2884</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261"/>
      <c r="B17" s="2788" t="s">
        <v>2885</v>
      </c>
      <c r="C17" s="921">
        <f>SUMPRODUCT((修正!A2:A5=E2)*(修正!B1:M1=G2)*(修正!B2:M5))</f>
        <v>2.5</v>
      </c>
      <c r="D17" s="2789" t="s">
        <v>2886</v>
      </c>
      <c r="E17" s="920" t="str">
        <f>IF(OR(G2="八级",G2="九级",G2="十级",G2="十一级",G2="十二级"),"五通一平","七通一平")</f>
        <v>七通一平</v>
      </c>
      <c r="F17" s="921" t="s">
        <v>2887</v>
      </c>
      <c r="G17" s="921">
        <f>SUMPRODUCT((七通一平=G16)*(修正!B1:M1=G2)*(修正!B6:M14))</f>
        <v>50</v>
      </c>
      <c r="H17" s="921">
        <f>SUMPRODUCT((七通一平=H16)*(修正!B1:M1=G2)*(修正!B6:M14))</f>
        <v>0</v>
      </c>
      <c r="I17" s="921">
        <f>SUMPRODUCT((七通一平=I16)*(修正!B1:M1=G2)*(修正!B6:M14))</f>
        <v>0</v>
      </c>
      <c r="J17" s="922">
        <f>SUMPRODUCT((七通一平=J16)*(修正!B1:M1=G2)*(修正!B6:M14))</f>
        <v>0</v>
      </c>
      <c r="K17" s="1370"/>
      <c r="L17" s="2790" t="s">
        <v>2888</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91"/>
      <c r="AF17" s="2791"/>
      <c r="AG17" s="2723"/>
      <c r="AH17" s="2723"/>
      <c r="AI17" s="2723"/>
      <c r="AJ17" s="2723"/>
    </row>
    <row r="18" spans="1:37" s="2741" customFormat="1" ht="15.75" thickBot="1">
      <c r="A18" s="2792" t="s">
        <v>808</v>
      </c>
      <c r="B18" s="2793" t="s">
        <v>2889</v>
      </c>
      <c r="C18" s="923">
        <f>SUMIF(修正!C18:C39,E3,修正!E18:E39)</f>
        <v>1</v>
      </c>
      <c r="D18" s="2794"/>
      <c r="E18" s="2795"/>
      <c r="F18" s="2796"/>
      <c r="G18" s="2797"/>
      <c r="H18" s="2797"/>
      <c r="I18" s="2797"/>
      <c r="J18" s="2798"/>
      <c r="K18" s="1377"/>
      <c r="O18" s="1375"/>
      <c r="P18" s="1375"/>
      <c r="Q18" s="1376"/>
      <c r="R18" s="1376"/>
      <c r="S18" s="1376"/>
      <c r="T18" s="1371"/>
      <c r="U18" s="1371"/>
      <c r="V18" s="1371"/>
      <c r="W18" s="1370"/>
      <c r="X18" s="1370"/>
      <c r="Y18" s="1370"/>
      <c r="Z18" s="1377"/>
      <c r="AA18" s="1378"/>
      <c r="AB18" s="1378"/>
      <c r="AC18" s="1378"/>
      <c r="AD18" s="1378"/>
      <c r="AE18" s="1372"/>
      <c r="AF18" s="1372"/>
      <c r="AG18" s="2799"/>
      <c r="AH18" s="2799"/>
      <c r="AI18" s="2799"/>
    </row>
    <row r="19" spans="1:37" s="2741" customFormat="1" ht="29.25" thickBot="1">
      <c r="A19" s="2792" t="s">
        <v>809</v>
      </c>
      <c r="B19" s="2793" t="s">
        <v>2890</v>
      </c>
      <c r="C19" s="924">
        <f>ROUND(IF(H19="按公示增长率计算",SUMPRODUCT((地价!A3:A25=YEAR(G19)&amp;"-"&amp;ROUNDUP(MONTH(G19)/3,0))*(地价!X2:AB2=E2)*(地价!X3:AB25)),IF(H19="地价指数",M20/M19,(1+I19)^O19)),4)</f>
        <v>1.3372999999999999</v>
      </c>
      <c r="D19" s="2800" t="s">
        <v>2891</v>
      </c>
      <c r="E19" s="925">
        <v>41640</v>
      </c>
      <c r="F19" s="2800" t="s">
        <v>2892</v>
      </c>
      <c r="G19" s="926">
        <f>'数据-取费表'!B2</f>
        <v>43538</v>
      </c>
      <c r="H19" s="2801" t="s">
        <v>3068</v>
      </c>
      <c r="I19" s="927" t="str">
        <f>IF(H19="季度增幅（自定义）",SUMIF(N21:N24,E2,O21:O24),"")</f>
        <v/>
      </c>
      <c r="J19" s="2798"/>
      <c r="K19" s="1377"/>
      <c r="L19" s="2802" t="s">
        <v>2893</v>
      </c>
      <c r="M19" s="1734">
        <f>ROUND(SUMIF(地价!B2:F2,E2,地价!B25:F25),0)</f>
        <v>258</v>
      </c>
      <c r="N19" s="2803" t="s">
        <v>2894</v>
      </c>
      <c r="O19" s="928">
        <f>ROUNDDOWN(DATEDIF(E19,G19,"M")/3,0)</f>
        <v>20</v>
      </c>
      <c r="P19" s="1374"/>
      <c r="Q19" s="1376"/>
      <c r="R19" s="1376"/>
      <c r="S19" s="1376"/>
      <c r="T19" s="1371"/>
      <c r="U19" s="1371"/>
      <c r="V19" s="1371"/>
      <c r="W19" s="1370"/>
      <c r="X19" s="1370"/>
      <c r="Y19" s="1370"/>
      <c r="Z19" s="1377"/>
      <c r="AA19" s="1378"/>
      <c r="AB19" s="1378"/>
      <c r="AC19" s="1378"/>
      <c r="AD19" s="1378"/>
      <c r="AE19" s="1378"/>
      <c r="AF19" s="2804"/>
      <c r="AG19" s="2805"/>
      <c r="AH19" s="2799"/>
      <c r="AI19" s="2806"/>
      <c r="AJ19" s="2806"/>
      <c r="AK19" s="2806"/>
    </row>
    <row r="20" spans="1:37" s="2741" customFormat="1" ht="27.75" thickBot="1">
      <c r="A20" s="2807" t="s">
        <v>810</v>
      </c>
      <c r="B20" s="2808" t="s">
        <v>2895</v>
      </c>
      <c r="C20" s="929">
        <f ca="1">ROUND(POWER(1+G20,J20-I20)*(POWER(1+G20,I20)-1)/(POWER(1+G20,J20)-1),4)</f>
        <v>0.9375</v>
      </c>
      <c r="D20" s="2809" t="s">
        <v>2896</v>
      </c>
      <c r="E20" s="1768">
        <f ca="1">存贷款利率!D4/100</f>
        <v>4.3499999999999997E-2</v>
      </c>
      <c r="F20" s="2809" t="s">
        <v>2888</v>
      </c>
      <c r="G20" s="934">
        <f ca="1">SUMIF(M15:P15,E2,M17:P17)</f>
        <v>5.1999999999999998E-2</v>
      </c>
      <c r="H20" s="2809" t="s">
        <v>2897</v>
      </c>
      <c r="I20" s="935">
        <f>SUMIF('数据-取费表'!C6:C15,E2,'数据-取费表'!F6:F15)/COUNTIF('数据-取费表'!C6:C15,E2)</f>
        <v>39.24</v>
      </c>
      <c r="J20" s="936">
        <f>IF(E2="住宅",70,IF(E2="商业",40,50))</f>
        <v>50</v>
      </c>
      <c r="K20" s="1377"/>
      <c r="L20" s="2810" t="s">
        <v>2898</v>
      </c>
      <c r="M20" s="1735">
        <f>ROUND(SUMPRODUCT((地价!A4:A25=YEAR(G19)&amp;"-"&amp;ROUNDUP(MONTH(G19)/3,0))*(地价!B2:F2=E2)*(地价!B4:F25)),0)</f>
        <v>345</v>
      </c>
      <c r="N20" s="2811" t="s">
        <v>2899</v>
      </c>
      <c r="O20" s="2812" t="s">
        <v>2900</v>
      </c>
      <c r="P20" s="2813" t="s">
        <v>2901</v>
      </c>
      <c r="R20" s="1376"/>
      <c r="S20" s="1376"/>
      <c r="T20" s="1371"/>
      <c r="U20" s="1371"/>
      <c r="V20" s="1371"/>
      <c r="W20" s="1370"/>
      <c r="X20" s="1370"/>
      <c r="Y20" s="1370"/>
      <c r="Z20" s="1377"/>
      <c r="AA20" s="1378"/>
      <c r="AB20" s="1378"/>
      <c r="AC20" s="1378"/>
      <c r="AD20" s="1378"/>
      <c r="AE20" s="1378"/>
      <c r="AF20" s="1378"/>
    </row>
    <row r="21" spans="1:37" s="2741" customFormat="1" ht="15">
      <c r="A21" s="2814" t="s">
        <v>811</v>
      </c>
      <c r="B21" s="2815" t="s">
        <v>3069</v>
      </c>
      <c r="C21" s="937">
        <f>IF(B21="容积率修正",IF(G3&lt;=10,D22,J22),C23)</f>
        <v>0.88980000000000004</v>
      </c>
      <c r="D21" s="2816"/>
      <c r="E21" s="2816"/>
      <c r="F21" s="2816"/>
      <c r="G21" s="2816"/>
      <c r="H21" s="2816"/>
      <c r="I21" s="2816"/>
      <c r="J21" s="2817"/>
      <c r="K21" s="1377"/>
      <c r="N21" s="2818" t="s">
        <v>2902</v>
      </c>
      <c r="O21" s="1561"/>
      <c r="P21" s="1562">
        <f>SUMPRODUCT((地价!A3:A25=YEAR(G19)&amp;"-"&amp;ROUNDUP(MONTH(G19)/3,0))*(地价!AD2:AH2=N21)*(地价!AD3:AH25))</f>
        <v>1.5100000000000001E-2</v>
      </c>
      <c r="R21" s="1376"/>
      <c r="S21" s="1376"/>
      <c r="T21" s="1371"/>
      <c r="U21" s="1371"/>
      <c r="V21" s="1371"/>
      <c r="W21" s="1370"/>
      <c r="X21" s="1370"/>
      <c r="Y21" s="1370"/>
      <c r="Z21" s="1377"/>
      <c r="AA21" s="1378"/>
      <c r="AB21" s="1378"/>
      <c r="AC21" s="1378"/>
      <c r="AD21" s="1378"/>
      <c r="AE21" s="1378"/>
      <c r="AF21" s="1378"/>
    </row>
    <row r="22" spans="1:37" s="2741" customFormat="1" ht="14.25">
      <c r="A22" s="2667" t="s">
        <v>2903</v>
      </c>
      <c r="B22" s="2819" t="s">
        <v>2904</v>
      </c>
      <c r="C22" s="1810" t="s">
        <v>2905</v>
      </c>
      <c r="D22" s="1810">
        <f>IF(E22=G22,F22,IF(G3&lt;=10,ROUND(F22+(H22-F22)*(G3-E22)/(G22-E22),4),"——"))</f>
        <v>0.88980000000000004</v>
      </c>
      <c r="E22" s="913">
        <f>ROUNDDOWN(G3,1)</f>
        <v>3.6</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0.89190000000000003</v>
      </c>
      <c r="G22" s="913">
        <f>ROUNDUP(G3,1)</f>
        <v>3.7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0.88480000000000003</v>
      </c>
      <c r="I22" s="1810" t="s">
        <v>155</v>
      </c>
      <c r="J22" s="938" t="str">
        <f>IF(G3&gt;10,D113,"——")</f>
        <v>——</v>
      </c>
      <c r="K22" s="1377"/>
      <c r="N22" s="2818" t="s">
        <v>2906</v>
      </c>
      <c r="O22" s="1561"/>
      <c r="P22" s="1562">
        <f>SUMPRODUCT((地价!A3:A25=YEAR(G19)&amp;"-"&amp;ROUNDUP(MONTH(G19)/3,0))*(地价!AD2:AH2=N22)*(地价!AD3:AH25))</f>
        <v>1.5100000000000001E-2</v>
      </c>
      <c r="R22" s="1376"/>
      <c r="S22" s="1376"/>
      <c r="T22" s="1371"/>
      <c r="U22" s="1371"/>
      <c r="V22" s="1371"/>
      <c r="W22" s="1370"/>
      <c r="X22" s="1370"/>
      <c r="Y22" s="1370"/>
      <c r="Z22" s="1377"/>
      <c r="AA22" s="1378"/>
      <c r="AB22" s="1378"/>
      <c r="AC22" s="1378"/>
      <c r="AD22" s="1378"/>
      <c r="AE22" s="1378"/>
      <c r="AF22" s="1378"/>
    </row>
    <row r="23" spans="1:37" ht="27.75" thickBot="1">
      <c r="A23" s="2667" t="s">
        <v>2907</v>
      </c>
      <c r="B23" s="2820" t="s">
        <v>2908</v>
      </c>
      <c r="C23" s="1013">
        <f>ROUND(IF(G3&gt;1,IF(I3&lt;7,SUMPRODUCT((B93:B98=I3)*(C92:N92=G2)*(C93:N98)),SUMIF(C92:N92,G2,C100:N100)),IF(I3&lt;7,SUMPRODUCT((B102:B107=I3)*(C92:N92=G2)*(C102:N107)),SUMIF(C92:N92,G2,C109:N109))),4)</f>
        <v>0</v>
      </c>
      <c r="D23" s="2776"/>
      <c r="E23" s="2776"/>
      <c r="F23" s="2821"/>
      <c r="G23" s="2822"/>
      <c r="H23" s="2823"/>
      <c r="I23" s="2824"/>
      <c r="J23" s="2825"/>
      <c r="K23" s="1370"/>
      <c r="N23" s="2818" t="s">
        <v>2909</v>
      </c>
      <c r="O23" s="1561"/>
      <c r="P23" s="1562">
        <f>SUMPRODUCT((地价!A3:A25=YEAR(G19)&amp;"-"&amp;ROUNDUP(MONTH(G19)/3,0))*(地价!AD2:AH2=N23)*(地价!AD3:AH25))</f>
        <v>2.3400000000000001E-2</v>
      </c>
      <c r="R23" s="1376"/>
      <c r="S23" s="1376"/>
      <c r="T23" s="1371"/>
      <c r="U23" s="1371"/>
      <c r="V23" s="1371"/>
      <c r="W23" s="1370"/>
      <c r="X23" s="1370"/>
      <c r="Y23" s="1370"/>
      <c r="Z23" s="1377"/>
      <c r="AA23" s="1378"/>
      <c r="AB23" s="1378"/>
      <c r="AC23" s="1378"/>
      <c r="AD23" s="1378"/>
      <c r="AK23" s="2799"/>
    </row>
    <row r="24" spans="1:37" s="2741" customFormat="1" ht="15.75" thickBot="1">
      <c r="A24" s="2807" t="s">
        <v>812</v>
      </c>
      <c r="B24" s="2793" t="s">
        <v>2910</v>
      </c>
      <c r="C24" s="924">
        <f>SUMIF(A45:A88,E2,B45:B88)</f>
        <v>1.0018</v>
      </c>
      <c r="D24" s="2796"/>
      <c r="E24" s="2826"/>
      <c r="F24" s="2826"/>
      <c r="G24" s="2826"/>
      <c r="H24" s="2826"/>
      <c r="I24" s="2826"/>
      <c r="J24" s="2827"/>
      <c r="K24" s="1377"/>
      <c r="N24" s="2828" t="s">
        <v>2911</v>
      </c>
      <c r="O24" s="1563"/>
      <c r="P24" s="1564">
        <f>SUMPRODUCT((地价!A3:A25=YEAR(G19)&amp;"-"&amp;ROUNDUP(MONTH(G19)/3,0))*(地价!AD2:AH2=N24)*(地价!AD3:AH25))</f>
        <v>1.4200000000000001E-2</v>
      </c>
      <c r="R24" s="1376"/>
      <c r="S24" s="1376"/>
      <c r="T24" s="1371"/>
      <c r="U24" s="1371"/>
      <c r="V24" s="1371"/>
      <c r="W24" s="1370"/>
      <c r="X24" s="1370"/>
      <c r="Y24" s="1370"/>
      <c r="Z24" s="1377"/>
      <c r="AA24" s="1378"/>
      <c r="AB24" s="1378"/>
      <c r="AC24" s="1378"/>
      <c r="AD24" s="1378"/>
      <c r="AE24" s="1378"/>
      <c r="AF24" s="1378"/>
    </row>
    <row r="25" spans="1:37" ht="15.75" thickBot="1">
      <c r="A25" s="2807" t="s">
        <v>813</v>
      </c>
      <c r="B25" s="2829" t="s">
        <v>2912</v>
      </c>
      <c r="C25" s="930"/>
      <c r="D25" s="2751"/>
      <c r="E25" s="2751"/>
      <c r="F25" s="2830"/>
      <c r="G25" s="2751"/>
      <c r="H25" s="2751"/>
      <c r="I25" s="2751"/>
      <c r="J25" s="2752"/>
      <c r="K25" s="1370"/>
      <c r="N25" s="2831" t="s">
        <v>2913</v>
      </c>
      <c r="O25" s="1565"/>
      <c r="P25" s="1564">
        <f>SUMPRODUCT((地价!A3:A25=YEAR(G19)&amp;"-"&amp;ROUNDUP(MONTH(G19)/3,0))*(地价!AD2:AH2=N25)*(地价!AD3:AH25))</f>
        <v>2.1299999999999999E-2</v>
      </c>
      <c r="R25" s="1376"/>
      <c r="S25" s="1376"/>
      <c r="T25" s="1371"/>
      <c r="U25" s="1371"/>
      <c r="V25" s="1371"/>
      <c r="W25" s="1370"/>
      <c r="X25" s="1370"/>
      <c r="Y25" s="1370"/>
      <c r="Z25" s="1377"/>
      <c r="AA25" s="1378"/>
      <c r="AB25" s="1378"/>
      <c r="AC25" s="1378"/>
      <c r="AD25" s="1378"/>
    </row>
    <row r="26" spans="1:37" ht="15">
      <c r="A26" s="2832"/>
      <c r="B26" s="2819" t="s">
        <v>2914</v>
      </c>
      <c r="C26" s="206">
        <f ca="1">E29+SUM(E33:E39)</f>
        <v>21189</v>
      </c>
      <c r="D26" s="2833"/>
      <c r="E26" s="2776"/>
      <c r="F26" s="2834"/>
      <c r="G26" s="2776"/>
      <c r="H26" s="2776"/>
      <c r="I26" s="2776"/>
      <c r="J26" s="2835"/>
      <c r="K26" s="1370"/>
      <c r="R26" s="1376"/>
      <c r="S26" s="1376"/>
      <c r="T26" s="1371"/>
      <c r="U26" s="1371"/>
      <c r="V26" s="1371"/>
      <c r="W26" s="1370"/>
      <c r="X26" s="1370"/>
      <c r="Y26" s="1370"/>
      <c r="Z26" s="1377"/>
      <c r="AA26" s="1378"/>
      <c r="AB26" s="1378"/>
      <c r="AC26" s="1378"/>
      <c r="AD26" s="1378"/>
    </row>
    <row r="27" spans="1:37" ht="15.75" thickBot="1">
      <c r="A27" s="2832"/>
      <c r="B27" s="2836" t="s">
        <v>2915</v>
      </c>
      <c r="C27" s="931">
        <f ca="1">E30+SUM(I33:I39)</f>
        <v>49</v>
      </c>
      <c r="D27" s="2837"/>
      <c r="E27" s="2838"/>
      <c r="F27" s="2839"/>
      <c r="G27" s="2838"/>
      <c r="H27" s="2838"/>
      <c r="I27" s="2838"/>
      <c r="J27" s="2840"/>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41"/>
      <c r="B28" s="2842" t="s">
        <v>2916</v>
      </c>
      <c r="C28" s="2843" t="s">
        <v>2917</v>
      </c>
      <c r="D28" s="2843" t="s">
        <v>2918</v>
      </c>
      <c r="E28" s="2844" t="s">
        <v>2919</v>
      </c>
      <c r="F28" s="2845"/>
      <c r="G28" s="2764"/>
      <c r="H28" s="2764"/>
      <c r="I28" s="2764"/>
      <c r="J28" s="2765"/>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6"/>
      <c r="B29" s="2847" t="s">
        <v>2920</v>
      </c>
      <c r="C29" s="206">
        <f ca="1">ROUND(C5*C18*C19*C20*C21*C24,0)</f>
        <v>11209</v>
      </c>
      <c r="D29" s="2848">
        <f>'数据-基础表'!I13</f>
        <v>18730.47</v>
      </c>
      <c r="E29" s="942">
        <f ca="1">ROUND(C29*D29/10000,0)</f>
        <v>20995</v>
      </c>
      <c r="F29" s="2849" t="s">
        <v>2921</v>
      </c>
      <c r="G29" s="2850"/>
      <c r="H29" s="2850"/>
      <c r="I29" s="2850"/>
      <c r="J29" s="2851"/>
      <c r="K29" s="1370"/>
      <c r="L29" s="1370"/>
      <c r="M29" s="1370"/>
      <c r="N29" s="1370"/>
      <c r="O29" s="1375"/>
      <c r="P29" s="1375"/>
      <c r="Q29" s="1376"/>
      <c r="R29" s="1376"/>
      <c r="S29" s="1376"/>
      <c r="T29" s="1371"/>
      <c r="U29" s="1371"/>
      <c r="V29" s="1371"/>
      <c r="W29" s="1370"/>
      <c r="X29" s="1370"/>
      <c r="Y29" s="1370"/>
      <c r="Z29" s="1377"/>
      <c r="AA29" s="1378"/>
      <c r="AB29" s="1378"/>
      <c r="AC29" s="1378"/>
      <c r="AD29" s="1378"/>
      <c r="AE29" s="2791"/>
      <c r="AF29" s="2791"/>
      <c r="AG29" s="2723"/>
      <c r="AH29" s="2723"/>
      <c r="AI29" s="2723"/>
      <c r="AJ29" s="2723"/>
    </row>
    <row r="30" spans="1:37" ht="25.5" thickBot="1">
      <c r="A30" s="2852"/>
      <c r="B30" s="2853" t="s">
        <v>2922</v>
      </c>
      <c r="C30" s="229">
        <f ca="1">ROUND(IF(E2="工业",C29*M39,C29*M38),0)</f>
        <v>2802</v>
      </c>
      <c r="D30" s="2854"/>
      <c r="E30" s="942">
        <f ca="1">ROUND(C30*D30/10000,0)</f>
        <v>0</v>
      </c>
      <c r="F30" s="2855" t="s">
        <v>2923</v>
      </c>
      <c r="G30" s="2856"/>
      <c r="H30" s="2856"/>
      <c r="I30" s="2856"/>
      <c r="J30" s="2857"/>
      <c r="K30" s="1370"/>
      <c r="L30" s="1370"/>
      <c r="M30" s="1370"/>
      <c r="N30" s="1370"/>
      <c r="O30" s="1375"/>
      <c r="P30" s="1375"/>
      <c r="Q30" s="1376"/>
      <c r="R30" s="1376"/>
      <c r="S30" s="1376"/>
      <c r="T30" s="1371"/>
      <c r="U30" s="1371"/>
      <c r="V30" s="1371"/>
      <c r="W30" s="1370"/>
      <c r="X30" s="1370"/>
      <c r="Y30" s="1370"/>
      <c r="Z30" s="1377"/>
      <c r="AA30" s="1378"/>
      <c r="AB30" s="1378"/>
      <c r="AC30" s="1378"/>
      <c r="AD30" s="1378"/>
      <c r="AE30" s="2791"/>
      <c r="AF30" s="2791"/>
      <c r="AG30" s="2723"/>
      <c r="AH30" s="2723"/>
      <c r="AI30" s="2723"/>
      <c r="AJ30" s="2723"/>
    </row>
    <row r="31" spans="1:37" ht="14.25">
      <c r="A31" s="2858"/>
      <c r="B31" s="2859" t="s">
        <v>2924</v>
      </c>
      <c r="C31" s="2860" t="s">
        <v>2925</v>
      </c>
      <c r="D31" s="2764"/>
      <c r="E31" s="2860"/>
      <c r="F31" s="2860"/>
      <c r="G31" s="2762" t="s">
        <v>2926</v>
      </c>
      <c r="H31" s="2764"/>
      <c r="I31" s="2861"/>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91"/>
      <c r="AF31" s="2791"/>
      <c r="AG31" s="2723"/>
      <c r="AH31" s="2723"/>
      <c r="AI31" s="2723"/>
      <c r="AJ31" s="2723"/>
    </row>
    <row r="32" spans="1:37" ht="24">
      <c r="A32" s="2846"/>
      <c r="B32" s="2862"/>
      <c r="C32" s="501" t="s">
        <v>2917</v>
      </c>
      <c r="D32" s="498" t="s">
        <v>2918</v>
      </c>
      <c r="E32" s="498" t="s">
        <v>2919</v>
      </c>
      <c r="F32" s="388" t="s">
        <v>2927</v>
      </c>
      <c r="G32" s="2863" t="s">
        <v>2917</v>
      </c>
      <c r="H32" s="2863" t="s">
        <v>2918</v>
      </c>
      <c r="I32" s="2863" t="s">
        <v>2919</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91"/>
      <c r="AF32" s="2791"/>
      <c r="AG32" s="2723"/>
      <c r="AH32" s="2723"/>
      <c r="AI32" s="2723"/>
      <c r="AJ32" s="2723"/>
    </row>
    <row r="33" spans="1:37" ht="36" customHeight="1">
      <c r="A33" s="3270" t="s">
        <v>2928</v>
      </c>
      <c r="B33" s="2864" t="s">
        <v>2929</v>
      </c>
      <c r="C33" s="206">
        <f ca="1">ROUND(D5*C19*C20*C24*F33,0)</f>
        <v>8818</v>
      </c>
      <c r="D33" s="2848"/>
      <c r="E33" s="200">
        <f ca="1">ROUND(C33*D33/10000,0)</f>
        <v>0</v>
      </c>
      <c r="F33" s="200">
        <f>SUMIF(修正!A45:A56,G2,修正!B45:B56)</f>
        <v>0.7</v>
      </c>
      <c r="G33" s="200">
        <f t="shared" ref="G33" ca="1" si="6">ROUND(IF(E2="工业",C33*$M$39,C33*$M$38),0)</f>
        <v>2205</v>
      </c>
      <c r="H33" s="200">
        <f>D33</f>
        <v>0</v>
      </c>
      <c r="I33" s="200">
        <f ca="1">ROUND(G33*H33/10000,0)</f>
        <v>0</v>
      </c>
      <c r="J33" s="2865"/>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71"/>
      <c r="B34" s="2768" t="s">
        <v>2930</v>
      </c>
      <c r="C34" s="206">
        <f ca="1">ROUND(D5*C19*C20*C24*F34,0)</f>
        <v>5039</v>
      </c>
      <c r="D34" s="2848"/>
      <c r="E34" s="200">
        <f t="shared" ref="E34:E39" ca="1" si="7">ROUND(C34*D34/10000,0)</f>
        <v>0</v>
      </c>
      <c r="F34" s="200">
        <f>SUMIF(修正!A45:A56,G2,修正!C45:C56)</f>
        <v>0.4</v>
      </c>
      <c r="G34" s="200">
        <f ca="1">ROUND(IF(E2="工业",C34*$M$39,C34*$M$38),0)</f>
        <v>1260</v>
      </c>
      <c r="H34" s="200">
        <f t="shared" ref="H34:H39" si="8">D34</f>
        <v>0</v>
      </c>
      <c r="I34" s="200">
        <f t="shared" ref="I34:I39" ca="1" si="9">ROUND(G34*H34/10000,0)</f>
        <v>0</v>
      </c>
      <c r="J34" s="2865"/>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71"/>
      <c r="B35" s="2768" t="s">
        <v>2931</v>
      </c>
      <c r="C35" s="206">
        <f ca="1">ROUND(D5*C19*C20*C24*F35,0)</f>
        <v>3527</v>
      </c>
      <c r="D35" s="2848"/>
      <c r="E35" s="200">
        <f t="shared" ca="1" si="7"/>
        <v>0</v>
      </c>
      <c r="F35" s="200">
        <f>SUMIF(修正!A45:A56,G2,修正!D45:D56)</f>
        <v>0.28000000000000003</v>
      </c>
      <c r="G35" s="200">
        <f ca="1">ROUND(IF(E2="工业",C35*$M$39,C35*$M$38),0)</f>
        <v>882</v>
      </c>
      <c r="H35" s="200">
        <f t="shared" si="8"/>
        <v>0</v>
      </c>
      <c r="I35" s="200">
        <f t="shared" ca="1" si="9"/>
        <v>0</v>
      </c>
      <c r="J35" s="2865"/>
      <c r="K35" s="1370"/>
      <c r="L35" s="1370"/>
      <c r="M35" s="1370"/>
      <c r="N35" s="1370"/>
      <c r="O35" s="1370"/>
      <c r="P35" s="1370"/>
      <c r="Q35" s="1370"/>
      <c r="R35" s="1370"/>
      <c r="S35" s="1370"/>
      <c r="T35" s="1370"/>
      <c r="U35" s="1370"/>
      <c r="V35" s="1370"/>
      <c r="W35" s="1370"/>
      <c r="X35" s="1370"/>
      <c r="Y35" s="1370"/>
      <c r="Z35" s="1371"/>
    </row>
    <row r="36" spans="1:37" ht="13.5" thickBot="1">
      <c r="A36" s="3272"/>
      <c r="B36" s="2768" t="s">
        <v>2932</v>
      </c>
      <c r="C36" s="206">
        <f ca="1">ROUND(D5*C19*C20*C24*F36,0)</f>
        <v>3149</v>
      </c>
      <c r="D36" s="2848"/>
      <c r="E36" s="200">
        <f t="shared" ca="1" si="7"/>
        <v>0</v>
      </c>
      <c r="F36" s="200">
        <f>SUMIF(修正!A45:A56,G2,修正!E45:E56)</f>
        <v>0.25</v>
      </c>
      <c r="G36" s="200">
        <f ca="1">ROUND(IF(E2="工业",C36*$M$39,C36*$M$38),0)</f>
        <v>787</v>
      </c>
      <c r="H36" s="200">
        <f t="shared" si="8"/>
        <v>0</v>
      </c>
      <c r="I36" s="200">
        <f t="shared" ca="1" si="9"/>
        <v>0</v>
      </c>
      <c r="J36" s="2865"/>
      <c r="K36" s="1370"/>
      <c r="L36" s="2722"/>
      <c r="M36" s="2722"/>
      <c r="N36" s="1370"/>
      <c r="O36" s="1370"/>
      <c r="P36" s="1370"/>
      <c r="Q36" s="1370"/>
      <c r="R36" s="1370"/>
      <c r="S36" s="1370"/>
      <c r="T36" s="1370"/>
      <c r="U36" s="1370"/>
      <c r="V36" s="1370"/>
      <c r="W36" s="1370"/>
      <c r="X36" s="1370"/>
      <c r="Y36" s="1370"/>
      <c r="Z36" s="1371"/>
    </row>
    <row r="37" spans="1:37">
      <c r="A37" s="2866"/>
      <c r="B37" s="2768" t="s">
        <v>2933</v>
      </c>
      <c r="C37" s="200">
        <f ca="1">ROUND(D5*C19*C20*C24*F37,0)</f>
        <v>3149</v>
      </c>
      <c r="D37" s="2848"/>
      <c r="E37" s="200">
        <f t="shared" ca="1" si="7"/>
        <v>0</v>
      </c>
      <c r="F37" s="206">
        <f>SUMIF(修正!A45:A56,G2,修正!F45:F56)</f>
        <v>0.25</v>
      </c>
      <c r="G37" s="200">
        <f ca="1">ROUND(IF(E2="工业",C37*$M$39,C37*$M$38),0)</f>
        <v>787</v>
      </c>
      <c r="H37" s="200">
        <f t="shared" si="8"/>
        <v>0</v>
      </c>
      <c r="I37" s="200">
        <f t="shared" ca="1" si="9"/>
        <v>0</v>
      </c>
      <c r="J37" s="2865"/>
      <c r="K37" s="1370"/>
      <c r="L37" s="2867" t="s">
        <v>2934</v>
      </c>
      <c r="M37" s="2868"/>
      <c r="N37" s="1370"/>
      <c r="O37" s="1370"/>
      <c r="P37" s="1370"/>
      <c r="Q37" s="1370"/>
      <c r="R37" s="1370"/>
      <c r="S37" s="1370"/>
      <c r="T37" s="1370"/>
      <c r="U37" s="1370"/>
      <c r="V37" s="1370"/>
      <c r="W37" s="1370"/>
      <c r="X37" s="1370"/>
      <c r="Y37" s="1370"/>
      <c r="Z37" s="1371"/>
    </row>
    <row r="38" spans="1:37">
      <c r="A38" s="2866"/>
      <c r="B38" s="2768" t="s">
        <v>2935</v>
      </c>
      <c r="C38" s="200">
        <f ca="1">ROUND(D5*C19*C41*C24*F38,0)</f>
        <v>3149</v>
      </c>
      <c r="D38" s="2848">
        <v>617.01</v>
      </c>
      <c r="E38" s="200">
        <f t="shared" ca="1" si="7"/>
        <v>194</v>
      </c>
      <c r="F38" s="206">
        <f>SUMIF(修正!A45:A56,G2,修正!G45:G56)</f>
        <v>0.25</v>
      </c>
      <c r="G38" s="200">
        <f ca="1">ROUND(IF(E2="工业",C38*$M$39,C38*$M$38),0)</f>
        <v>787</v>
      </c>
      <c r="H38" s="200">
        <f t="shared" si="8"/>
        <v>617.01</v>
      </c>
      <c r="I38" s="200">
        <f t="shared" ca="1" si="9"/>
        <v>49</v>
      </c>
      <c r="J38" s="2865"/>
      <c r="K38" s="1370"/>
      <c r="L38" s="1887" t="s">
        <v>2936</v>
      </c>
      <c r="M38" s="2869">
        <v>0.25</v>
      </c>
      <c r="N38" s="1370"/>
      <c r="O38" s="1370"/>
      <c r="P38" s="1370"/>
      <c r="Q38" s="1370"/>
      <c r="R38" s="1370"/>
      <c r="S38" s="1370"/>
      <c r="T38" s="1370"/>
      <c r="U38" s="1370"/>
      <c r="V38" s="1370"/>
      <c r="W38" s="1370"/>
      <c r="X38" s="1370"/>
      <c r="Y38" s="1370"/>
      <c r="Z38" s="1371"/>
    </row>
    <row r="39" spans="1:37" ht="13.5" thickBot="1">
      <c r="A39" s="2852"/>
      <c r="B39" s="2870" t="s">
        <v>2937</v>
      </c>
      <c r="C39" s="229">
        <f ca="1">ROUND(D5*C19*C41*C24*F39,0)</f>
        <v>2519</v>
      </c>
      <c r="D39" s="2854"/>
      <c r="E39" s="229">
        <f t="shared" ca="1" si="7"/>
        <v>0</v>
      </c>
      <c r="F39" s="932">
        <f>SUMIF(修正!A45:A56,G2,修正!H45:H56)</f>
        <v>0.2</v>
      </c>
      <c r="G39" s="229">
        <f ca="1">ROUND(IF(E2="工业",C39*$M$39,C39*$M$38),0)</f>
        <v>630</v>
      </c>
      <c r="H39" s="229">
        <f t="shared" si="8"/>
        <v>0</v>
      </c>
      <c r="I39" s="229">
        <f t="shared" ca="1" si="9"/>
        <v>0</v>
      </c>
      <c r="J39" s="2871"/>
      <c r="K39" s="1370"/>
      <c r="L39" s="2872" t="s">
        <v>2880</v>
      </c>
      <c r="M39" s="2873">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41" t="s">
        <v>3047</v>
      </c>
      <c r="C41" s="388">
        <f ca="1">ROUND(POWER(1+E41,H41-G41)*(POWER(1+E41,G41)-1)/(POWER(1+E41,H41)-1),4)</f>
        <v>0.9375</v>
      </c>
      <c r="D41" s="200" t="s">
        <v>2888</v>
      </c>
      <c r="E41" s="2940">
        <f ca="1">G20</f>
        <v>5.1999999999999998E-2</v>
      </c>
      <c r="F41" s="200" t="s">
        <v>2897</v>
      </c>
      <c r="G41" s="218">
        <f>项目基本情况!H15</f>
        <v>39.24</v>
      </c>
      <c r="H41" s="200">
        <v>50</v>
      </c>
      <c r="Z41" s="1371"/>
      <c r="AA41" s="1371"/>
      <c r="AB41" s="1371"/>
      <c r="AC41" s="1371"/>
      <c r="AD41" s="1371"/>
      <c r="AE41" s="1371"/>
      <c r="AF41" s="1371"/>
      <c r="AG41" s="1371"/>
      <c r="AH41" s="1371"/>
      <c r="AI41" s="1371"/>
      <c r="AJ41" s="1371"/>
    </row>
    <row r="42" spans="1:37" s="1370" customFormat="1">
      <c r="A42" s="1371"/>
      <c r="B42" s="2874"/>
      <c r="Z42" s="1371"/>
      <c r="AA42" s="1371"/>
      <c r="AB42" s="1371"/>
      <c r="AC42" s="1371"/>
      <c r="AD42" s="1371"/>
      <c r="AE42" s="1371"/>
      <c r="AF42" s="1371"/>
      <c r="AG42" s="1371"/>
      <c r="AH42" s="1371"/>
      <c r="AI42" s="1371"/>
      <c r="AJ42" s="1371"/>
    </row>
    <row r="43" spans="1:37" s="1370" customFormat="1">
      <c r="A43" s="1371"/>
      <c r="B43" s="2874"/>
      <c r="Z43" s="1371"/>
      <c r="AA43" s="1371"/>
      <c r="AB43" s="1371"/>
      <c r="AC43" s="1371"/>
      <c r="AD43" s="1371"/>
      <c r="AE43" s="1371"/>
      <c r="AF43" s="1371"/>
      <c r="AG43" s="1371"/>
      <c r="AH43" s="1371"/>
      <c r="AI43" s="1371"/>
      <c r="AJ43" s="1371"/>
    </row>
    <row r="44" spans="1:37" s="1370" customFormat="1">
      <c r="A44" s="1371"/>
      <c r="B44" s="2874"/>
      <c r="Z44" s="1371"/>
      <c r="AA44" s="1371"/>
      <c r="AB44" s="1371"/>
      <c r="AC44" s="1371"/>
      <c r="AD44" s="1371"/>
      <c r="AE44" s="1371"/>
      <c r="AF44" s="1371"/>
      <c r="AG44" s="1371"/>
      <c r="AH44" s="1371"/>
      <c r="AI44" s="1371"/>
      <c r="AJ44" s="1371"/>
    </row>
    <row r="45" spans="1:37" s="1370" customFormat="1" ht="15.75" thickBot="1">
      <c r="A45" s="2875" t="s">
        <v>2938</v>
      </c>
      <c r="B45" s="2876"/>
      <c r="C45" s="7"/>
      <c r="D45" s="7"/>
      <c r="E45" s="7"/>
      <c r="F45" s="6"/>
      <c r="G45" s="6"/>
      <c r="H45" s="6"/>
      <c r="I45" s="7"/>
      <c r="J45" s="7"/>
      <c r="K45" s="7"/>
      <c r="L45" s="7"/>
      <c r="M45" s="7"/>
      <c r="N45" s="2791"/>
      <c r="Z45" s="1371"/>
      <c r="AA45" s="1371"/>
      <c r="AB45" s="1371"/>
      <c r="AC45" s="1371"/>
      <c r="AD45" s="1371"/>
      <c r="AE45" s="1371"/>
      <c r="AF45" s="1371"/>
      <c r="AG45" s="1371"/>
      <c r="AH45" s="1371"/>
      <c r="AI45" s="1371"/>
      <c r="AJ45" s="1371"/>
    </row>
    <row r="46" spans="1:37" s="1370" customFormat="1" ht="15" hidden="1">
      <c r="A46" s="2877" t="s">
        <v>2939</v>
      </c>
      <c r="B46" s="2878">
        <f>1+E48</f>
        <v>1</v>
      </c>
      <c r="C46" s="2879"/>
      <c r="D46" s="811"/>
      <c r="E46" s="812"/>
      <c r="F46" s="2880"/>
      <c r="G46" s="6"/>
      <c r="H46" s="7"/>
      <c r="I46" s="7"/>
      <c r="J46" s="7"/>
      <c r="K46" s="7"/>
      <c r="L46" s="7"/>
      <c r="M46" s="7"/>
      <c r="N46" s="2791"/>
      <c r="Z46" s="1371"/>
      <c r="AA46" s="1371"/>
      <c r="AB46" s="1371"/>
      <c r="AC46" s="1371"/>
      <c r="AD46" s="1371"/>
      <c r="AE46" s="1371"/>
      <c r="AF46" s="1371"/>
      <c r="AG46" s="1371"/>
      <c r="AH46" s="1371"/>
      <c r="AI46" s="1371"/>
      <c r="AJ46" s="1371"/>
    </row>
    <row r="47" spans="1:37" s="1370" customFormat="1" ht="24.75" hidden="1">
      <c r="A47" s="2881" t="s">
        <v>2940</v>
      </c>
      <c r="B47" s="1809" t="s">
        <v>2941</v>
      </c>
      <c r="C47" s="1809" t="s">
        <v>2942</v>
      </c>
      <c r="D47" s="1809" t="s">
        <v>2943</v>
      </c>
      <c r="E47" s="816" t="s">
        <v>2944</v>
      </c>
      <c r="F47" s="2882" t="s">
        <v>2945</v>
      </c>
      <c r="G47" s="1809" t="s">
        <v>754</v>
      </c>
      <c r="H47" s="2883" t="s">
        <v>2946</v>
      </c>
      <c r="I47" s="1809" t="s">
        <v>2947</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38.25" hidden="1">
      <c r="A48" s="2881" t="s">
        <v>2948</v>
      </c>
      <c r="B48" s="2884" t="str">
        <f>估价对象房地状况!C4</f>
        <v>估价对象位于XX商圈，周边商业氛围成熟，人流量大，商业繁华度好</v>
      </c>
      <c r="C48" s="2773"/>
      <c r="D48" s="1286">
        <f t="shared" ref="D48:D56" si="10">SUMIF($J$47:$N$47,C48,J48:N48)</f>
        <v>0</v>
      </c>
      <c r="E48" s="818">
        <f>ROUND(SUM(D48:D56),4)</f>
        <v>0</v>
      </c>
      <c r="F48" s="2504" t="str">
        <f>IF(E2="商业",SUMIF(L1:L12,G2,N1:N12),"——")</f>
        <v>——</v>
      </c>
      <c r="G48" s="1284"/>
      <c r="H48" s="1288" t="str">
        <f t="shared" ref="H48:H56" si="11">IFERROR(ROUNDDOWN($F$48*I48/2,4),"——")</f>
        <v>——</v>
      </c>
      <c r="I48" s="817">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hidden="1">
      <c r="A49" s="2881" t="s">
        <v>2949</v>
      </c>
      <c r="B49" s="2885" t="str">
        <f>估价对象房地状况!C18</f>
        <v>估价对象周边道路状况、公共交通通达情况、停车便捷程度，综合评价交通便捷度较好</v>
      </c>
      <c r="C49" s="2773"/>
      <c r="D49" s="1286">
        <f t="shared" si="10"/>
        <v>0</v>
      </c>
      <c r="E49" s="819"/>
      <c r="F49" s="2504"/>
      <c r="G49" s="1284"/>
      <c r="H49" s="1288" t="str">
        <f t="shared" si="11"/>
        <v>——</v>
      </c>
      <c r="I49" s="817">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881" t="s">
        <v>2950</v>
      </c>
      <c r="B50" s="2885">
        <f>估价对象房地状况!C19</f>
        <v>0</v>
      </c>
      <c r="C50" s="2773"/>
      <c r="D50" s="1286">
        <f t="shared" si="10"/>
        <v>0</v>
      </c>
      <c r="E50" s="819"/>
      <c r="F50" s="2504"/>
      <c r="G50" s="1284"/>
      <c r="H50" s="1288" t="str">
        <f t="shared" si="11"/>
        <v>——</v>
      </c>
      <c r="I50" s="817">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881" t="s">
        <v>2951</v>
      </c>
      <c r="B51" s="2886" t="s">
        <v>2952</v>
      </c>
      <c r="C51" s="2773"/>
      <c r="D51" s="1286">
        <f t="shared" si="10"/>
        <v>0</v>
      </c>
      <c r="E51" s="819"/>
      <c r="F51" s="2504"/>
      <c r="G51" s="1284"/>
      <c r="H51" s="1288" t="str">
        <f t="shared" si="11"/>
        <v>——</v>
      </c>
      <c r="I51" s="817">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81" t="s">
        <v>2953</v>
      </c>
      <c r="B52" s="2885">
        <f>估价对象房地状况!C24</f>
        <v>0</v>
      </c>
      <c r="C52" s="2773"/>
      <c r="D52" s="1286">
        <f t="shared" si="10"/>
        <v>0</v>
      </c>
      <c r="E52" s="819"/>
      <c r="F52" s="2504"/>
      <c r="G52" s="1284"/>
      <c r="H52" s="1288" t="str">
        <f t="shared" si="11"/>
        <v>——</v>
      </c>
      <c r="I52" s="817">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881" t="s">
        <v>2954</v>
      </c>
      <c r="B53" s="2887" t="s">
        <v>2955</v>
      </c>
      <c r="C53" s="2773"/>
      <c r="D53" s="1286">
        <f t="shared" si="10"/>
        <v>0</v>
      </c>
      <c r="E53" s="819"/>
      <c r="F53" s="2504"/>
      <c r="G53" s="1284"/>
      <c r="H53" s="1288" t="str">
        <f t="shared" si="11"/>
        <v>——</v>
      </c>
      <c r="I53" s="817">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hidden="1">
      <c r="A54" s="2888" t="s">
        <v>2956</v>
      </c>
      <c r="B54" s="1725" t="str">
        <f>估价对象房地状况!C21</f>
        <v>估价对象所在区域公共配套设施齐备情况</v>
      </c>
      <c r="C54" s="2773"/>
      <c r="D54" s="1286">
        <f t="shared" si="10"/>
        <v>0</v>
      </c>
      <c r="E54" s="819"/>
      <c r="F54" s="2504"/>
      <c r="G54" s="1284"/>
      <c r="H54" s="1288" t="str">
        <f t="shared" si="11"/>
        <v>——</v>
      </c>
      <c r="I54" s="817">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hidden="1">
      <c r="A55" s="2888" t="s">
        <v>2957</v>
      </c>
      <c r="B55" s="2885" t="str">
        <f>估价对象房地状况!C22</f>
        <v>估价对象所在区域基础设施水平</v>
      </c>
      <c r="C55" s="2773"/>
      <c r="D55" s="1286">
        <f t="shared" si="10"/>
        <v>0</v>
      </c>
      <c r="E55" s="819"/>
      <c r="F55" s="2504"/>
      <c r="G55" s="1284"/>
      <c r="H55" s="1288" t="str">
        <f t="shared" si="11"/>
        <v>——</v>
      </c>
      <c r="I55" s="817">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hidden="1" thickBot="1">
      <c r="A56" s="2889" t="s">
        <v>2958</v>
      </c>
      <c r="B56" s="2890" t="str">
        <f>估价对象房地状况!C20</f>
        <v>区域自然环境：；人文环境；综合评价环境状况一般</v>
      </c>
      <c r="C56" s="2773"/>
      <c r="D56" s="1286">
        <f t="shared" si="10"/>
        <v>0</v>
      </c>
      <c r="E56" s="822"/>
      <c r="F56" s="2504"/>
      <c r="G56" s="1284"/>
      <c r="H56" s="1288" t="str">
        <f t="shared" si="11"/>
        <v>——</v>
      </c>
      <c r="I56" s="821">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7" t="s">
        <v>2959</v>
      </c>
      <c r="B57" s="2878">
        <f>1+E59</f>
        <v>1.0018</v>
      </c>
      <c r="C57" s="811"/>
      <c r="D57" s="811"/>
      <c r="E57" s="812"/>
      <c r="F57" s="2880"/>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81" t="s">
        <v>2940</v>
      </c>
      <c r="B58" s="1809"/>
      <c r="C58" s="1809" t="s">
        <v>2942</v>
      </c>
      <c r="D58" s="1809" t="s">
        <v>2943</v>
      </c>
      <c r="E58" s="816" t="s">
        <v>2944</v>
      </c>
      <c r="F58" s="2882" t="s">
        <v>2960</v>
      </c>
      <c r="G58" s="1809" t="s">
        <v>754</v>
      </c>
      <c r="H58" s="2883" t="s">
        <v>2946</v>
      </c>
      <c r="I58" s="1809" t="s">
        <v>2947</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38.25">
      <c r="A59" s="2881" t="s">
        <v>2961</v>
      </c>
      <c r="B59" s="2884" t="str">
        <f>估价对象房地状况!C17</f>
        <v>估价对象位于XX商圈，周边办公楼项目较多，入驻率高，办公集聚程度较好</v>
      </c>
      <c r="C59" s="2773" t="s">
        <v>3096</v>
      </c>
      <c r="D59" s="1286">
        <f t="shared" ref="D59:D67" si="15">SUMIF($J$58:$N$58,C59,J59:N59)</f>
        <v>0</v>
      </c>
      <c r="E59" s="818">
        <f>ROUND(SUM(D59:D67),4)</f>
        <v>1.8E-3</v>
      </c>
      <c r="F59" s="2504">
        <f>IF(E2="办公",SUMIF(L1:L12,G2,N1:N12),"——")</f>
        <v>0.121</v>
      </c>
      <c r="G59" s="1284">
        <v>1.4500000000000001E-2</v>
      </c>
      <c r="H59" s="1288">
        <f t="shared" ref="H59:H67" si="16">IFERROR(ROUNDDOWN($F$59*I59/2,4),"——")</f>
        <v>1.4500000000000001E-2</v>
      </c>
      <c r="I59" s="817">
        <v>0.24</v>
      </c>
      <c r="J59" s="1285">
        <f t="shared" ref="J59:J67" si="17">K59+$G59</f>
        <v>2.9000000000000001E-2</v>
      </c>
      <c r="K59" s="1285">
        <f t="shared" ref="K59:K67" si="18">$L59+$G59</f>
        <v>1.4500000000000001E-2</v>
      </c>
      <c r="L59" s="1285">
        <v>0</v>
      </c>
      <c r="M59" s="1285">
        <f t="shared" ref="M59:N67" si="19">L59-$G59</f>
        <v>-1.4500000000000001E-2</v>
      </c>
      <c r="N59" s="1285">
        <f t="shared" si="19"/>
        <v>-2.9000000000000001E-2</v>
      </c>
      <c r="AA59" s="1371"/>
      <c r="AB59" s="1371"/>
      <c r="AC59" s="1371"/>
      <c r="AD59" s="1371"/>
      <c r="AE59" s="1371"/>
      <c r="AF59" s="1371"/>
      <c r="AG59" s="1371"/>
      <c r="AH59" s="1371"/>
      <c r="AI59" s="1371"/>
      <c r="AJ59" s="1371"/>
      <c r="AK59" s="1371"/>
    </row>
    <row r="60" spans="1:37" s="1370" customFormat="1" ht="51">
      <c r="A60" s="2881" t="s">
        <v>2949</v>
      </c>
      <c r="B60" s="2885" t="str">
        <f>估价对象房地状况!C18</f>
        <v>估价对象周边道路状况、公共交通通达情况、停车便捷程度，综合评价交通便捷度较好</v>
      </c>
      <c r="C60" s="2773" t="s">
        <v>3096</v>
      </c>
      <c r="D60" s="1286">
        <f t="shared" si="15"/>
        <v>0</v>
      </c>
      <c r="E60" s="819"/>
      <c r="F60" s="2504"/>
      <c r="G60" s="1284">
        <v>1.8100000000000002E-2</v>
      </c>
      <c r="H60" s="1288">
        <f t="shared" si="16"/>
        <v>1.8100000000000002E-2</v>
      </c>
      <c r="I60" s="817">
        <v>0.3</v>
      </c>
      <c r="J60" s="1285">
        <f t="shared" si="17"/>
        <v>3.6200000000000003E-2</v>
      </c>
      <c r="K60" s="1285">
        <f t="shared" si="18"/>
        <v>1.8100000000000002E-2</v>
      </c>
      <c r="L60" s="1285">
        <v>0</v>
      </c>
      <c r="M60" s="1285">
        <f t="shared" si="19"/>
        <v>-1.8100000000000002E-2</v>
      </c>
      <c r="N60" s="1285">
        <f t="shared" si="19"/>
        <v>-3.6200000000000003E-2</v>
      </c>
      <c r="AA60" s="1371"/>
      <c r="AB60" s="1371"/>
      <c r="AC60" s="1371"/>
      <c r="AD60" s="1371"/>
      <c r="AE60" s="1371"/>
      <c r="AF60" s="1371"/>
      <c r="AG60" s="1371"/>
      <c r="AH60" s="1371"/>
      <c r="AI60" s="1371"/>
      <c r="AJ60" s="1371"/>
      <c r="AK60" s="1371"/>
    </row>
    <row r="61" spans="1:37" s="1370" customFormat="1" ht="24">
      <c r="A61" s="2881" t="s">
        <v>2950</v>
      </c>
      <c r="B61" s="2885">
        <f>估价对象房地状况!C19</f>
        <v>0</v>
      </c>
      <c r="C61" s="2773" t="s">
        <v>3096</v>
      </c>
      <c r="D61" s="1286">
        <f t="shared" si="15"/>
        <v>0</v>
      </c>
      <c r="E61" s="819"/>
      <c r="F61" s="2504"/>
      <c r="G61" s="1284">
        <v>4.7999999999999996E-3</v>
      </c>
      <c r="H61" s="1288">
        <f t="shared" si="16"/>
        <v>4.7999999999999996E-3</v>
      </c>
      <c r="I61" s="817">
        <v>0.08</v>
      </c>
      <c r="J61" s="1285">
        <f t="shared" si="17"/>
        <v>9.5999999999999992E-3</v>
      </c>
      <c r="K61" s="1285">
        <f t="shared" si="18"/>
        <v>4.7999999999999996E-3</v>
      </c>
      <c r="L61" s="1285">
        <v>0</v>
      </c>
      <c r="M61" s="1285">
        <f t="shared" si="19"/>
        <v>-4.7999999999999996E-3</v>
      </c>
      <c r="N61" s="1285">
        <f t="shared" si="19"/>
        <v>-9.5999999999999992E-3</v>
      </c>
      <c r="AA61" s="1371"/>
      <c r="AB61" s="1371"/>
      <c r="AC61" s="1371"/>
      <c r="AD61" s="1371"/>
      <c r="AE61" s="1371"/>
      <c r="AF61" s="1371"/>
      <c r="AG61" s="1371"/>
      <c r="AH61" s="1371"/>
      <c r="AI61" s="1371"/>
      <c r="AJ61" s="1371"/>
      <c r="AK61" s="1371"/>
    </row>
    <row r="62" spans="1:37" s="1370" customFormat="1" ht="36.75">
      <c r="A62" s="2881" t="s">
        <v>2951</v>
      </c>
      <c r="B62" s="2886" t="s">
        <v>2952</v>
      </c>
      <c r="C62" s="2773" t="s">
        <v>3097</v>
      </c>
      <c r="D62" s="1286">
        <f t="shared" si="15"/>
        <v>-2.3999999999999998E-3</v>
      </c>
      <c r="E62" s="819"/>
      <c r="F62" s="2504"/>
      <c r="G62" s="1284">
        <v>2.3999999999999998E-3</v>
      </c>
      <c r="H62" s="1288">
        <f t="shared" si="16"/>
        <v>2.3999999999999998E-3</v>
      </c>
      <c r="I62" s="817">
        <v>0.04</v>
      </c>
      <c r="J62" s="1285">
        <f t="shared" si="17"/>
        <v>4.7999999999999996E-3</v>
      </c>
      <c r="K62" s="1285">
        <f t="shared" si="18"/>
        <v>2.3999999999999998E-3</v>
      </c>
      <c r="L62" s="1285">
        <v>0</v>
      </c>
      <c r="M62" s="1285">
        <f t="shared" si="19"/>
        <v>-2.3999999999999998E-3</v>
      </c>
      <c r="N62" s="1285">
        <f t="shared" si="19"/>
        <v>-4.7999999999999996E-3</v>
      </c>
      <c r="AA62" s="1371"/>
      <c r="AB62" s="1371"/>
      <c r="AC62" s="1371"/>
      <c r="AD62" s="1371"/>
      <c r="AE62" s="1371"/>
      <c r="AF62" s="1371"/>
      <c r="AG62" s="1371"/>
      <c r="AH62" s="1371"/>
      <c r="AI62" s="1371"/>
      <c r="AJ62" s="1371"/>
      <c r="AK62" s="1371"/>
    </row>
    <row r="63" spans="1:37" s="1370" customFormat="1" ht="24">
      <c r="A63" s="2881" t="s">
        <v>2953</v>
      </c>
      <c r="B63" s="2885">
        <f>估价对象房地状况!C24</f>
        <v>0</v>
      </c>
      <c r="C63" s="2773" t="s">
        <v>3097</v>
      </c>
      <c r="D63" s="1286">
        <f t="shared" si="15"/>
        <v>-3.0000000000000001E-3</v>
      </c>
      <c r="E63" s="819"/>
      <c r="F63" s="2504"/>
      <c r="G63" s="1284">
        <v>3.0000000000000001E-3</v>
      </c>
      <c r="H63" s="1288">
        <f t="shared" si="16"/>
        <v>3.0000000000000001E-3</v>
      </c>
      <c r="I63" s="817">
        <v>0.05</v>
      </c>
      <c r="J63" s="1285">
        <f t="shared" si="17"/>
        <v>6.0000000000000001E-3</v>
      </c>
      <c r="K63" s="1285">
        <f t="shared" si="18"/>
        <v>3.0000000000000001E-3</v>
      </c>
      <c r="L63" s="1285">
        <v>0</v>
      </c>
      <c r="M63" s="1285">
        <f t="shared" si="19"/>
        <v>-3.0000000000000001E-3</v>
      </c>
      <c r="N63" s="1285">
        <f t="shared" si="19"/>
        <v>-6.0000000000000001E-3</v>
      </c>
      <c r="AA63" s="1371"/>
      <c r="AB63" s="1371"/>
      <c r="AC63" s="1371"/>
      <c r="AD63" s="1371"/>
      <c r="AE63" s="1371"/>
      <c r="AF63" s="1371"/>
      <c r="AG63" s="1371"/>
      <c r="AH63" s="1371"/>
      <c r="AI63" s="1371"/>
      <c r="AJ63" s="1371"/>
      <c r="AK63" s="1371"/>
    </row>
    <row r="64" spans="1:37" s="1370" customFormat="1" ht="24">
      <c r="A64" s="2881" t="s">
        <v>2954</v>
      </c>
      <c r="B64" s="2887" t="s">
        <v>2955</v>
      </c>
      <c r="C64" s="2773" t="s">
        <v>3096</v>
      </c>
      <c r="D64" s="1286">
        <f t="shared" si="15"/>
        <v>0</v>
      </c>
      <c r="E64" s="819"/>
      <c r="F64" s="2504"/>
      <c r="G64" s="1284">
        <v>3.0000000000000001E-3</v>
      </c>
      <c r="H64" s="1288">
        <f t="shared" si="16"/>
        <v>3.0000000000000001E-3</v>
      </c>
      <c r="I64" s="817">
        <v>0.05</v>
      </c>
      <c r="J64" s="1285">
        <f t="shared" si="17"/>
        <v>6.0000000000000001E-3</v>
      </c>
      <c r="K64" s="1285">
        <f t="shared" si="18"/>
        <v>3.0000000000000001E-3</v>
      </c>
      <c r="L64" s="1285">
        <v>0</v>
      </c>
      <c r="M64" s="1285">
        <f t="shared" si="19"/>
        <v>-3.0000000000000001E-3</v>
      </c>
      <c r="N64" s="1285">
        <f t="shared" si="19"/>
        <v>-6.0000000000000001E-3</v>
      </c>
      <c r="AA64" s="1371"/>
      <c r="AB64" s="1371"/>
      <c r="AC64" s="1371"/>
      <c r="AD64" s="1371"/>
      <c r="AE64" s="1371"/>
      <c r="AF64" s="1371"/>
      <c r="AG64" s="1371"/>
      <c r="AH64" s="1371"/>
      <c r="AI64" s="1371"/>
      <c r="AJ64" s="1371"/>
      <c r="AK64" s="1371"/>
    </row>
    <row r="65" spans="1:37" s="1370" customFormat="1" ht="25.5">
      <c r="A65" s="2881" t="s">
        <v>2956</v>
      </c>
      <c r="B65" s="1725" t="str">
        <f>估价对象房地状况!C21</f>
        <v>估价对象所在区域公共配套设施齐备情况</v>
      </c>
      <c r="C65" s="2773" t="s">
        <v>3089</v>
      </c>
      <c r="D65" s="1286">
        <f t="shared" si="15"/>
        <v>3.5999999999999999E-3</v>
      </c>
      <c r="E65" s="819"/>
      <c r="F65" s="2504"/>
      <c r="G65" s="1284">
        <v>3.5999999999999999E-3</v>
      </c>
      <c r="H65" s="1288">
        <f t="shared" si="16"/>
        <v>3.5999999999999999E-3</v>
      </c>
      <c r="I65" s="817">
        <v>0.06</v>
      </c>
      <c r="J65" s="1285">
        <f t="shared" si="17"/>
        <v>7.1999999999999998E-3</v>
      </c>
      <c r="K65" s="1285">
        <f t="shared" si="18"/>
        <v>3.5999999999999999E-3</v>
      </c>
      <c r="L65" s="1285">
        <v>0</v>
      </c>
      <c r="M65" s="1285">
        <f t="shared" si="19"/>
        <v>-3.5999999999999999E-3</v>
      </c>
      <c r="N65" s="1285">
        <f t="shared" si="19"/>
        <v>-7.1999999999999998E-3</v>
      </c>
      <c r="AA65" s="1371"/>
      <c r="AB65" s="1371"/>
      <c r="AC65" s="1371"/>
      <c r="AD65" s="1371"/>
      <c r="AE65" s="1371"/>
      <c r="AF65" s="1371"/>
      <c r="AG65" s="1371"/>
      <c r="AH65" s="1371"/>
      <c r="AI65" s="1371"/>
      <c r="AJ65" s="1371"/>
      <c r="AK65" s="1371"/>
    </row>
    <row r="66" spans="1:37" s="1370" customFormat="1" ht="25.5">
      <c r="A66" s="2881" t="s">
        <v>2957</v>
      </c>
      <c r="B66" s="1725" t="str">
        <f>估价对象房地状况!C22</f>
        <v>估价对象所在区域基础设施水平</v>
      </c>
      <c r="C66" s="2773" t="s">
        <v>3096</v>
      </c>
      <c r="D66" s="1286">
        <f t="shared" si="15"/>
        <v>0</v>
      </c>
      <c r="E66" s="819"/>
      <c r="F66" s="2504"/>
      <c r="G66" s="1284">
        <v>7.1999999999999998E-3</v>
      </c>
      <c r="H66" s="1288">
        <f t="shared" si="16"/>
        <v>7.1999999999999998E-3</v>
      </c>
      <c r="I66" s="817">
        <v>0.12</v>
      </c>
      <c r="J66" s="1285">
        <f t="shared" si="17"/>
        <v>1.44E-2</v>
      </c>
      <c r="K66" s="1285">
        <f t="shared" si="18"/>
        <v>7.1999999999999998E-3</v>
      </c>
      <c r="L66" s="1285">
        <v>0</v>
      </c>
      <c r="M66" s="1285">
        <f t="shared" si="19"/>
        <v>-7.1999999999999998E-3</v>
      </c>
      <c r="N66" s="1285">
        <f t="shared" si="19"/>
        <v>-1.44E-2</v>
      </c>
      <c r="AA66" s="1371"/>
      <c r="AB66" s="1371"/>
      <c r="AC66" s="1371"/>
      <c r="AD66" s="1371"/>
      <c r="AE66" s="1371"/>
      <c r="AF66" s="1371"/>
      <c r="AG66" s="1371"/>
      <c r="AH66" s="1371"/>
      <c r="AI66" s="1371"/>
      <c r="AJ66" s="1371"/>
      <c r="AK66" s="1371"/>
    </row>
    <row r="67" spans="1:37" s="1370" customFormat="1" ht="39" thickBot="1">
      <c r="A67" s="2889" t="s">
        <v>2958</v>
      </c>
      <c r="B67" s="2891" t="str">
        <f>估价对象房地状况!C20</f>
        <v>区域自然环境：；人文环境；综合评价环境状况一般</v>
      </c>
      <c r="C67" s="2773" t="s">
        <v>3089</v>
      </c>
      <c r="D67" s="1286">
        <f t="shared" si="15"/>
        <v>3.5999999999999999E-3</v>
      </c>
      <c r="E67" s="822"/>
      <c r="F67" s="2504"/>
      <c r="G67" s="1284">
        <v>3.5999999999999999E-3</v>
      </c>
      <c r="H67" s="1288">
        <f t="shared" si="16"/>
        <v>3.5999999999999999E-3</v>
      </c>
      <c r="I67" s="821">
        <v>0.06</v>
      </c>
      <c r="J67" s="1285">
        <f t="shared" si="17"/>
        <v>7.1999999999999998E-3</v>
      </c>
      <c r="K67" s="1285">
        <f t="shared" si="18"/>
        <v>3.5999999999999999E-3</v>
      </c>
      <c r="L67" s="1285">
        <v>0</v>
      </c>
      <c r="M67" s="1285">
        <f t="shared" si="19"/>
        <v>-3.5999999999999999E-3</v>
      </c>
      <c r="N67" s="1285">
        <f t="shared" si="19"/>
        <v>-7.1999999999999998E-3</v>
      </c>
      <c r="AA67" s="1371"/>
      <c r="AB67" s="1371"/>
      <c r="AC67" s="1371"/>
      <c r="AD67" s="1371"/>
      <c r="AE67" s="1371"/>
      <c r="AF67" s="1371"/>
      <c r="AG67" s="1371"/>
      <c r="AH67" s="1371"/>
      <c r="AI67" s="1371"/>
      <c r="AJ67" s="1371"/>
      <c r="AK67" s="1371"/>
    </row>
    <row r="68" spans="1:37" s="1370" customFormat="1" ht="15">
      <c r="A68" s="2877" t="s">
        <v>2962</v>
      </c>
      <c r="B68" s="2878">
        <f>1+E70</f>
        <v>1</v>
      </c>
      <c r="C68" s="811"/>
      <c r="D68" s="811"/>
      <c r="E68" s="812"/>
      <c r="F68" s="2880"/>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81" t="s">
        <v>2940</v>
      </c>
      <c r="B69" s="1809"/>
      <c r="C69" s="1809" t="s">
        <v>2942</v>
      </c>
      <c r="D69" s="1809" t="s">
        <v>2943</v>
      </c>
      <c r="E69" s="816" t="s">
        <v>2944</v>
      </c>
      <c r="F69" s="2882" t="s">
        <v>2960</v>
      </c>
      <c r="G69" s="1809" t="s">
        <v>754</v>
      </c>
      <c r="H69" s="2883" t="s">
        <v>2946</v>
      </c>
      <c r="I69" s="1809" t="s">
        <v>2947</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51">
      <c r="A70" s="2881" t="s">
        <v>2963</v>
      </c>
      <c r="B70" s="2884" t="str">
        <f>估价对象房地状况!C15</f>
        <v>估价对象周边居住用地比例、居住小区规模和社区发展完善程度，综合评价居住社区成熟度一般</v>
      </c>
      <c r="C70" s="2773"/>
      <c r="D70" s="1286">
        <f t="shared" ref="D70:D78" si="20">SUMIF($J$69:$N$69,C70,J70:N70)</f>
        <v>0</v>
      </c>
      <c r="E70" s="818">
        <f>ROUND(SUM(D70:D78),4)</f>
        <v>0</v>
      </c>
      <c r="F70" s="2504" t="str">
        <f>IF(E2="住宅",SUMIF(L1:L12,G2,N1:N12),"——")</f>
        <v>——</v>
      </c>
      <c r="G70" s="1284"/>
      <c r="H70" s="1288" t="str">
        <f t="shared" ref="H70:H78" si="21">IFERROR(ROUNDDOWN($F$70*I70/2,4),"——")</f>
        <v>——</v>
      </c>
      <c r="I70" s="817">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81" t="s">
        <v>2949</v>
      </c>
      <c r="B71" s="2885" t="str">
        <f>估价对象房地状况!C18</f>
        <v>估价对象周边道路状况、公共交通通达情况、停车便捷程度，综合评价交通便捷度较好</v>
      </c>
      <c r="C71" s="2773"/>
      <c r="D71" s="1286">
        <f t="shared" si="20"/>
        <v>0</v>
      </c>
      <c r="E71" s="823"/>
      <c r="F71" s="2504"/>
      <c r="G71" s="1284"/>
      <c r="H71" s="1288" t="str">
        <f t="shared" si="21"/>
        <v>——</v>
      </c>
      <c r="I71" s="817">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81" t="s">
        <v>2950</v>
      </c>
      <c r="B72" s="2885">
        <f>估价对象房地状况!C19</f>
        <v>0</v>
      </c>
      <c r="C72" s="2773"/>
      <c r="D72" s="1286">
        <f t="shared" si="20"/>
        <v>0</v>
      </c>
      <c r="E72" s="823"/>
      <c r="F72" s="2504"/>
      <c r="G72" s="1284"/>
      <c r="H72" s="1288" t="str">
        <f t="shared" si="21"/>
        <v>——</v>
      </c>
      <c r="I72" s="817">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81" t="s">
        <v>2964</v>
      </c>
      <c r="B73" s="2885">
        <f>估价对象房地状况!C24</f>
        <v>0</v>
      </c>
      <c r="C73" s="2773"/>
      <c r="D73" s="1286">
        <f t="shared" si="20"/>
        <v>0</v>
      </c>
      <c r="E73" s="823"/>
      <c r="F73" s="2504"/>
      <c r="G73" s="1284"/>
      <c r="H73" s="1288" t="str">
        <f t="shared" si="21"/>
        <v>——</v>
      </c>
      <c r="I73" s="817">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81" t="s">
        <v>2956</v>
      </c>
      <c r="B74" s="1725" t="str">
        <f>估价对象房地状况!C21</f>
        <v>估价对象所在区域公共配套设施齐备情况</v>
      </c>
      <c r="C74" s="2773"/>
      <c r="D74" s="1286">
        <f t="shared" si="20"/>
        <v>0</v>
      </c>
      <c r="E74" s="823"/>
      <c r="F74" s="2504"/>
      <c r="G74" s="1284"/>
      <c r="H74" s="1288" t="str">
        <f t="shared" si="21"/>
        <v>——</v>
      </c>
      <c r="I74" s="817">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81" t="s">
        <v>2957</v>
      </c>
      <c r="B75" s="1725" t="str">
        <f>估价对象房地状况!C22</f>
        <v>估价对象所在区域基础设施水平</v>
      </c>
      <c r="C75" s="2773"/>
      <c r="D75" s="1286">
        <f t="shared" si="20"/>
        <v>0</v>
      </c>
      <c r="E75" s="823"/>
      <c r="F75" s="2504"/>
      <c r="G75" s="1284"/>
      <c r="H75" s="1288" t="str">
        <f t="shared" si="21"/>
        <v>——</v>
      </c>
      <c r="I75" s="817">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2" customFormat="1" ht="24">
      <c r="A76" s="2881" t="s">
        <v>2954</v>
      </c>
      <c r="B76" s="2887" t="s">
        <v>2955</v>
      </c>
      <c r="C76" s="2773"/>
      <c r="D76" s="1286">
        <f t="shared" si="20"/>
        <v>0</v>
      </c>
      <c r="E76" s="823"/>
      <c r="F76" s="2504"/>
      <c r="G76" s="1284"/>
      <c r="H76" s="1288" t="str">
        <f t="shared" si="21"/>
        <v>——</v>
      </c>
      <c r="I76" s="817">
        <v>0.05</v>
      </c>
      <c r="J76" s="1285">
        <f t="shared" si="22"/>
        <v>0</v>
      </c>
      <c r="K76" s="1285">
        <f t="shared" si="23"/>
        <v>0</v>
      </c>
      <c r="L76" s="1285">
        <v>0</v>
      </c>
      <c r="M76" s="1285">
        <f t="shared" si="24"/>
        <v>0</v>
      </c>
      <c r="N76" s="1285">
        <f t="shared" si="24"/>
        <v>0</v>
      </c>
      <c r="AA76" s="2892"/>
      <c r="AB76" s="1371"/>
      <c r="AC76" s="1371"/>
      <c r="AD76" s="1371"/>
      <c r="AE76" s="1371"/>
      <c r="AF76" s="1371"/>
      <c r="AG76" s="1371"/>
      <c r="AH76" s="2892"/>
      <c r="AI76" s="2892"/>
      <c r="AJ76" s="2892"/>
      <c r="AK76" s="2892"/>
    </row>
    <row r="77" spans="1:37" ht="38.25">
      <c r="A77" s="2881" t="s">
        <v>2958</v>
      </c>
      <c r="B77" s="2884" t="str">
        <f>估价对象房地状况!C20</f>
        <v>区域自然环境：；人文环境；综合评价环境状况一般</v>
      </c>
      <c r="C77" s="2773"/>
      <c r="D77" s="1286">
        <f t="shared" si="20"/>
        <v>0</v>
      </c>
      <c r="E77" s="823"/>
      <c r="F77" s="2504"/>
      <c r="G77" s="1284"/>
      <c r="H77" s="1288" t="str">
        <f t="shared" si="21"/>
        <v>——</v>
      </c>
      <c r="I77" s="817">
        <v>0.15</v>
      </c>
      <c r="J77" s="1285">
        <f t="shared" si="22"/>
        <v>0</v>
      </c>
      <c r="K77" s="1285">
        <f t="shared" si="23"/>
        <v>0</v>
      </c>
      <c r="L77" s="1285">
        <v>0</v>
      </c>
      <c r="M77" s="1285">
        <f t="shared" si="24"/>
        <v>0</v>
      </c>
      <c r="N77" s="1285">
        <f t="shared" si="24"/>
        <v>0</v>
      </c>
      <c r="Z77" s="2723"/>
      <c r="AA77" s="2799"/>
      <c r="AG77" s="1372"/>
      <c r="AK77" s="2799"/>
    </row>
    <row r="78" spans="1:37" ht="24.75" thickBot="1">
      <c r="A78" s="2889" t="s">
        <v>2965</v>
      </c>
      <c r="B78" s="2893"/>
      <c r="C78" s="2773"/>
      <c r="D78" s="1286">
        <f t="shared" si="20"/>
        <v>0</v>
      </c>
      <c r="E78" s="824"/>
      <c r="F78" s="2504"/>
      <c r="G78" s="1284"/>
      <c r="H78" s="1288" t="str">
        <f t="shared" si="21"/>
        <v>——</v>
      </c>
      <c r="I78" s="821">
        <v>0.04</v>
      </c>
      <c r="J78" s="1285">
        <f t="shared" si="22"/>
        <v>0</v>
      </c>
      <c r="K78" s="1285">
        <f t="shared" si="23"/>
        <v>0</v>
      </c>
      <c r="L78" s="1285">
        <v>0</v>
      </c>
      <c r="M78" s="1285">
        <f t="shared" si="24"/>
        <v>0</v>
      </c>
      <c r="N78" s="1285">
        <f t="shared" si="24"/>
        <v>0</v>
      </c>
      <c r="Z78" s="2723"/>
      <c r="AA78" s="2799"/>
      <c r="AG78" s="1372"/>
      <c r="AK78" s="2799"/>
    </row>
    <row r="79" spans="1:37" ht="15">
      <c r="A79" s="2877" t="s">
        <v>2966</v>
      </c>
      <c r="B79" s="2878">
        <f>1+E81</f>
        <v>1</v>
      </c>
      <c r="C79" s="811"/>
      <c r="D79" s="811"/>
      <c r="E79" s="812"/>
      <c r="F79" s="2880"/>
      <c r="G79" s="6"/>
      <c r="H79" s="6"/>
      <c r="I79" s="6"/>
      <c r="J79" s="7"/>
      <c r="K79" s="7"/>
      <c r="L79" s="7"/>
      <c r="M79" s="7"/>
      <c r="N79" s="7"/>
      <c r="Z79" s="2723"/>
      <c r="AA79" s="2799"/>
      <c r="AG79" s="1372"/>
      <c r="AK79" s="2799"/>
    </row>
    <row r="80" spans="1:37" ht="24.75">
      <c r="A80" s="2881" t="s">
        <v>2940</v>
      </c>
      <c r="B80" s="1809"/>
      <c r="C80" s="1809" t="s">
        <v>2942</v>
      </c>
      <c r="D80" s="1809" t="s">
        <v>2943</v>
      </c>
      <c r="E80" s="816" t="s">
        <v>2944</v>
      </c>
      <c r="F80" s="2882" t="s">
        <v>2960</v>
      </c>
      <c r="G80" s="1809" t="s">
        <v>754</v>
      </c>
      <c r="H80" s="2883" t="s">
        <v>2946</v>
      </c>
      <c r="I80" s="1809" t="s">
        <v>2947</v>
      </c>
      <c r="J80" s="603" t="s">
        <v>2595</v>
      </c>
      <c r="K80" s="603" t="s">
        <v>2596</v>
      </c>
      <c r="L80" s="603" t="s">
        <v>2597</v>
      </c>
      <c r="M80" s="603" t="s">
        <v>2598</v>
      </c>
      <c r="N80" s="603" t="s">
        <v>2599</v>
      </c>
      <c r="Z80" s="2723"/>
      <c r="AA80" s="2799"/>
      <c r="AG80" s="1372"/>
      <c r="AK80" s="2799"/>
    </row>
    <row r="81" spans="1:37" ht="38.25">
      <c r="A81" s="2881" t="s">
        <v>2967</v>
      </c>
      <c r="B81" s="2885" t="str">
        <f>估价对象房地状况!G15</f>
        <v>估价对象位于XX开发区，园区建设成熟度XX，产业集聚程度XX</v>
      </c>
      <c r="C81" s="2773"/>
      <c r="D81" s="1286">
        <f t="shared" ref="D81:D88" si="25">SUMIF($J$80:$N$80,C81,J81:N81)</f>
        <v>0</v>
      </c>
      <c r="E81" s="818">
        <f>ROUND(SUM(D81:D88),4)</f>
        <v>0</v>
      </c>
      <c r="F81" s="2504" t="str">
        <f>IF(E2="工业",SUMIF(L1:L12,G2,N1:N12),"——")</f>
        <v>——</v>
      </c>
      <c r="G81" s="1284"/>
      <c r="H81" s="1288" t="str">
        <f t="shared" ref="H81:H88" si="26">IFERROR(ROUNDDOWN($F$81*I81/2,4),"——")</f>
        <v>——</v>
      </c>
      <c r="I81" s="817">
        <v>0.26</v>
      </c>
      <c r="J81" s="1285">
        <f t="shared" ref="J81:J88" si="27">K81+$G81</f>
        <v>0</v>
      </c>
      <c r="K81" s="1285">
        <f t="shared" ref="K81:K88" si="28">$L81+$G81</f>
        <v>0</v>
      </c>
      <c r="L81" s="1285">
        <v>0</v>
      </c>
      <c r="M81" s="1285">
        <f t="shared" ref="M81:N88" si="29">L81-$G81</f>
        <v>0</v>
      </c>
      <c r="N81" s="1285">
        <f t="shared" si="29"/>
        <v>0</v>
      </c>
      <c r="Z81" s="2723"/>
      <c r="AA81" s="2799"/>
      <c r="AG81" s="1372"/>
      <c r="AK81" s="2799"/>
    </row>
    <row r="82" spans="1:37" ht="51">
      <c r="A82" s="2881" t="s">
        <v>2949</v>
      </c>
      <c r="B82" s="2885" t="str">
        <f>估价对象房地状况!G16</f>
        <v>估价对象周边道路状况、公共交通通达情况、停车便捷程度，综合评价交通便捷度较好</v>
      </c>
      <c r="C82" s="2773"/>
      <c r="D82" s="1286">
        <f t="shared" si="25"/>
        <v>0</v>
      </c>
      <c r="E82" s="823"/>
      <c r="F82" s="2504"/>
      <c r="G82" s="1284"/>
      <c r="H82" s="1288" t="str">
        <f t="shared" si="26"/>
        <v>——</v>
      </c>
      <c r="I82" s="817">
        <v>0.33</v>
      </c>
      <c r="J82" s="1285">
        <f t="shared" si="27"/>
        <v>0</v>
      </c>
      <c r="K82" s="1285">
        <f t="shared" si="28"/>
        <v>0</v>
      </c>
      <c r="L82" s="1285">
        <v>0</v>
      </c>
      <c r="M82" s="1285">
        <f t="shared" si="29"/>
        <v>0</v>
      </c>
      <c r="N82" s="1285">
        <f t="shared" si="29"/>
        <v>0</v>
      </c>
      <c r="Z82" s="2723"/>
      <c r="AA82" s="2799"/>
      <c r="AG82" s="1372"/>
      <c r="AK82" s="2799"/>
    </row>
    <row r="83" spans="1:37" ht="24">
      <c r="A83" s="2881" t="s">
        <v>2950</v>
      </c>
      <c r="B83" s="2885">
        <f>估价对象房地状况!G17</f>
        <v>0</v>
      </c>
      <c r="C83" s="2773"/>
      <c r="D83" s="1286">
        <f t="shared" si="25"/>
        <v>0</v>
      </c>
      <c r="E83" s="823"/>
      <c r="F83" s="2504"/>
      <c r="G83" s="1284"/>
      <c r="H83" s="1288" t="str">
        <f t="shared" si="26"/>
        <v>——</v>
      </c>
      <c r="I83" s="817">
        <v>0.05</v>
      </c>
      <c r="J83" s="1285">
        <f t="shared" si="27"/>
        <v>0</v>
      </c>
      <c r="K83" s="1285">
        <f t="shared" si="28"/>
        <v>0</v>
      </c>
      <c r="L83" s="1285">
        <v>0</v>
      </c>
      <c r="M83" s="1285">
        <f t="shared" si="29"/>
        <v>0</v>
      </c>
      <c r="N83" s="1285">
        <f t="shared" si="29"/>
        <v>0</v>
      </c>
      <c r="Z83" s="2723"/>
      <c r="AA83" s="2799"/>
      <c r="AG83" s="1372"/>
      <c r="AK83" s="2799"/>
    </row>
    <row r="84" spans="1:37" ht="14.25">
      <c r="A84" s="2881" t="s">
        <v>2964</v>
      </c>
      <c r="B84" s="2885">
        <f>估价对象房地状况!G22</f>
        <v>0</v>
      </c>
      <c r="C84" s="2773"/>
      <c r="D84" s="1286">
        <f t="shared" si="25"/>
        <v>0</v>
      </c>
      <c r="E84" s="823"/>
      <c r="F84" s="2504"/>
      <c r="G84" s="1284"/>
      <c r="H84" s="1288" t="str">
        <f t="shared" si="26"/>
        <v>——</v>
      </c>
      <c r="I84" s="817">
        <v>0.04</v>
      </c>
      <c r="J84" s="1285">
        <f t="shared" si="27"/>
        <v>0</v>
      </c>
      <c r="K84" s="1285">
        <f t="shared" si="28"/>
        <v>0</v>
      </c>
      <c r="L84" s="1285">
        <v>0</v>
      </c>
      <c r="M84" s="1285">
        <f t="shared" si="29"/>
        <v>0</v>
      </c>
      <c r="N84" s="1285">
        <f t="shared" si="29"/>
        <v>0</v>
      </c>
      <c r="Z84" s="2723"/>
      <c r="AA84" s="2799"/>
      <c r="AG84" s="1372"/>
      <c r="AK84" s="2799"/>
    </row>
    <row r="85" spans="1:37" ht="25.5">
      <c r="A85" s="2881" t="s">
        <v>2956</v>
      </c>
      <c r="B85" s="1725" t="str">
        <f>估价对象房地状况!G19</f>
        <v>估价对象所在区域公共配套设施齐备情况</v>
      </c>
      <c r="C85" s="2773"/>
      <c r="D85" s="1286">
        <f t="shared" si="25"/>
        <v>0</v>
      </c>
      <c r="E85" s="823"/>
      <c r="F85" s="2504"/>
      <c r="G85" s="1284"/>
      <c r="H85" s="1288" t="str">
        <f t="shared" si="26"/>
        <v>——</v>
      </c>
      <c r="I85" s="817">
        <v>0.06</v>
      </c>
      <c r="J85" s="1285">
        <f t="shared" si="27"/>
        <v>0</v>
      </c>
      <c r="K85" s="1285">
        <f t="shared" si="28"/>
        <v>0</v>
      </c>
      <c r="L85" s="1285">
        <v>0</v>
      </c>
      <c r="M85" s="1285">
        <f t="shared" si="29"/>
        <v>0</v>
      </c>
      <c r="N85" s="1285">
        <f t="shared" si="29"/>
        <v>0</v>
      </c>
      <c r="Z85" s="2723"/>
      <c r="AA85" s="2799"/>
      <c r="AG85" s="1372"/>
      <c r="AK85" s="2799"/>
    </row>
    <row r="86" spans="1:37" ht="25.5">
      <c r="A86" s="2881" t="s">
        <v>2957</v>
      </c>
      <c r="B86" s="1725" t="str">
        <f>估价对象房地状况!G20</f>
        <v>估价对象所在区域基础设施水平</v>
      </c>
      <c r="C86" s="2773"/>
      <c r="D86" s="1286">
        <f t="shared" si="25"/>
        <v>0</v>
      </c>
      <c r="E86" s="823"/>
      <c r="F86" s="2504"/>
      <c r="G86" s="1284"/>
      <c r="H86" s="1288" t="str">
        <f t="shared" si="26"/>
        <v>——</v>
      </c>
      <c r="I86" s="817">
        <v>0.15</v>
      </c>
      <c r="J86" s="1285">
        <f t="shared" si="27"/>
        <v>0</v>
      </c>
      <c r="K86" s="1285">
        <f t="shared" si="28"/>
        <v>0</v>
      </c>
      <c r="L86" s="1285">
        <v>0</v>
      </c>
      <c r="M86" s="1285">
        <f t="shared" si="29"/>
        <v>0</v>
      </c>
      <c r="N86" s="1285">
        <f t="shared" si="29"/>
        <v>0</v>
      </c>
      <c r="Z86" s="2723"/>
      <c r="AA86" s="2799"/>
      <c r="AG86" s="1372"/>
      <c r="AK86" s="2799"/>
    </row>
    <row r="87" spans="1:37" ht="24">
      <c r="A87" s="2881" t="s">
        <v>2954</v>
      </c>
      <c r="B87" s="2887" t="s">
        <v>2968</v>
      </c>
      <c r="C87" s="2773"/>
      <c r="D87" s="1286">
        <f t="shared" si="25"/>
        <v>0</v>
      </c>
      <c r="E87" s="823"/>
      <c r="F87" s="2504"/>
      <c r="G87" s="1284"/>
      <c r="H87" s="1288" t="str">
        <f t="shared" si="26"/>
        <v>——</v>
      </c>
      <c r="I87" s="817">
        <v>0.05</v>
      </c>
      <c r="J87" s="1285">
        <f t="shared" si="27"/>
        <v>0</v>
      </c>
      <c r="K87" s="1285">
        <f t="shared" si="28"/>
        <v>0</v>
      </c>
      <c r="L87" s="1285">
        <v>0</v>
      </c>
      <c r="M87" s="1285">
        <f t="shared" si="29"/>
        <v>0</v>
      </c>
      <c r="N87" s="1285">
        <f t="shared" si="29"/>
        <v>0</v>
      </c>
      <c r="Z87" s="2723"/>
      <c r="AA87" s="2799"/>
      <c r="AG87" s="1372"/>
      <c r="AK87" s="2799"/>
    </row>
    <row r="88" spans="1:37" ht="39" thickBot="1">
      <c r="A88" s="2889" t="s">
        <v>2969</v>
      </c>
      <c r="B88" s="2894" t="str">
        <f>估价对象房地状况!G18</f>
        <v>该园区内是否有污染型企业，绿化情况，卫生条件，整体环境状况判断</v>
      </c>
      <c r="C88" s="2773"/>
      <c r="D88" s="1286">
        <f t="shared" si="25"/>
        <v>0</v>
      </c>
      <c r="E88" s="824"/>
      <c r="F88" s="2504"/>
      <c r="G88" s="1284"/>
      <c r="H88" s="1288" t="str">
        <f t="shared" si="26"/>
        <v>——</v>
      </c>
      <c r="I88" s="821">
        <v>0.06</v>
      </c>
      <c r="J88" s="1285">
        <f t="shared" si="27"/>
        <v>0</v>
      </c>
      <c r="K88" s="1285">
        <f t="shared" si="28"/>
        <v>0</v>
      </c>
      <c r="L88" s="1285">
        <v>0</v>
      </c>
      <c r="M88" s="1285">
        <f t="shared" si="29"/>
        <v>0</v>
      </c>
      <c r="N88" s="1285">
        <f t="shared" si="29"/>
        <v>0</v>
      </c>
      <c r="Z88" s="2723"/>
      <c r="AA88" s="2799"/>
      <c r="AG88" s="1372"/>
      <c r="AK88" s="2799"/>
    </row>
    <row r="90" spans="1:37">
      <c r="A90" s="3264" t="s">
        <v>2970</v>
      </c>
      <c r="B90" s="3264"/>
      <c r="C90" s="3264"/>
      <c r="D90" s="3264"/>
      <c r="E90" s="3264"/>
      <c r="F90" s="3264"/>
      <c r="G90" s="3264"/>
      <c r="H90" s="3264"/>
      <c r="I90" s="3264"/>
      <c r="J90" s="3264"/>
      <c r="K90" s="2895"/>
      <c r="L90" s="2895"/>
      <c r="M90" s="2895"/>
      <c r="N90" s="2895"/>
    </row>
    <row r="91" spans="1:37">
      <c r="A91" s="3266" t="s">
        <v>2971</v>
      </c>
      <c r="B91" s="3266" t="s">
        <v>2972</v>
      </c>
      <c r="C91" s="2849" t="s">
        <v>2973</v>
      </c>
      <c r="D91" s="2850"/>
      <c r="E91" s="2850"/>
      <c r="F91" s="2850"/>
      <c r="G91" s="2850"/>
      <c r="H91" s="2850"/>
      <c r="I91" s="2850"/>
      <c r="J91" s="2896"/>
      <c r="K91" s="2897"/>
      <c r="L91" s="2897"/>
      <c r="M91" s="2897"/>
      <c r="N91" s="2897"/>
    </row>
    <row r="92" spans="1:37">
      <c r="A92" s="3266"/>
      <c r="B92" s="3266"/>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67" t="s">
        <v>2974</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68"/>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68"/>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68"/>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68"/>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68"/>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68"/>
      <c r="B99" s="2898" t="s">
        <v>2855</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69"/>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67" t="s">
        <v>2975</v>
      </c>
      <c r="B101" s="2902" t="s">
        <v>2976</v>
      </c>
      <c r="C101" s="2903">
        <f>$G$3</f>
        <v>3.63</v>
      </c>
      <c r="D101" s="2903">
        <f t="shared" ref="D101:N101" si="31">$G$3</f>
        <v>3.63</v>
      </c>
      <c r="E101" s="2903">
        <f t="shared" si="31"/>
        <v>3.63</v>
      </c>
      <c r="F101" s="2903">
        <f t="shared" si="31"/>
        <v>3.63</v>
      </c>
      <c r="G101" s="2903">
        <f t="shared" si="31"/>
        <v>3.63</v>
      </c>
      <c r="H101" s="2903">
        <f t="shared" si="31"/>
        <v>3.63</v>
      </c>
      <c r="I101" s="2903">
        <f t="shared" si="31"/>
        <v>3.63</v>
      </c>
      <c r="J101" s="2903">
        <f t="shared" si="31"/>
        <v>3.63</v>
      </c>
      <c r="K101" s="2903">
        <f t="shared" si="31"/>
        <v>3.63</v>
      </c>
      <c r="L101" s="2903">
        <f t="shared" si="31"/>
        <v>3.63</v>
      </c>
      <c r="M101" s="2903">
        <f t="shared" si="31"/>
        <v>3.63</v>
      </c>
      <c r="N101" s="2903">
        <f t="shared" si="31"/>
        <v>3.63</v>
      </c>
    </row>
    <row r="102" spans="1:14">
      <c r="A102" s="3268"/>
      <c r="B102" s="2898">
        <v>1</v>
      </c>
      <c r="C102" s="2899">
        <f>1.9362/C101</f>
        <v>0.53338842975206613</v>
      </c>
      <c r="D102" s="2899">
        <f>1.9362/D101</f>
        <v>0.53338842975206613</v>
      </c>
      <c r="E102" s="2899">
        <f>1.8629/E101</f>
        <v>0.51319559228650136</v>
      </c>
      <c r="F102" s="2899">
        <f>1.8629/F101</f>
        <v>0.51319559228650136</v>
      </c>
      <c r="G102" s="2899">
        <f>1.8629/G101</f>
        <v>0.51319559228650136</v>
      </c>
      <c r="H102" s="2899">
        <f>1.8629/H101</f>
        <v>0.51319559228650136</v>
      </c>
      <c r="I102" s="2899">
        <f>1.8629/I101</f>
        <v>0.51319559228650136</v>
      </c>
      <c r="J102" s="2899">
        <f>1.942/J101</f>
        <v>0.53498622589531686</v>
      </c>
      <c r="K102" s="2899">
        <f>1.942/K101</f>
        <v>0.53498622589531686</v>
      </c>
      <c r="L102" s="2899">
        <f>1.942/L101</f>
        <v>0.53498622589531686</v>
      </c>
      <c r="M102" s="2899">
        <f>1.942/M101</f>
        <v>0.53498622589531686</v>
      </c>
      <c r="N102" s="2899">
        <f>1.942/N101</f>
        <v>0.53498622589531686</v>
      </c>
    </row>
    <row r="103" spans="1:14">
      <c r="A103" s="3268"/>
      <c r="B103" s="2898">
        <v>2</v>
      </c>
      <c r="C103" s="2899">
        <f>1.4198/C101</f>
        <v>0.39112947658402203</v>
      </c>
      <c r="D103" s="2899">
        <f>1.4198/D101</f>
        <v>0.39112947658402203</v>
      </c>
      <c r="E103" s="2899">
        <f>1.3372/E101</f>
        <v>0.36837465564738292</v>
      </c>
      <c r="F103" s="2899">
        <f>1.3372/F101</f>
        <v>0.36837465564738292</v>
      </c>
      <c r="G103" s="2899">
        <f>1.3372/G101</f>
        <v>0.36837465564738292</v>
      </c>
      <c r="H103" s="2899">
        <f>1.3372/H101</f>
        <v>0.36837465564738292</v>
      </c>
      <c r="I103" s="2899">
        <f>1.3372/I101</f>
        <v>0.36837465564738292</v>
      </c>
      <c r="J103" s="2899">
        <f>1.2799/J101</f>
        <v>0.35258953168044077</v>
      </c>
      <c r="K103" s="2899">
        <f>1.2799/K101</f>
        <v>0.35258953168044077</v>
      </c>
      <c r="L103" s="2899">
        <f>1.2799/L101</f>
        <v>0.35258953168044077</v>
      </c>
      <c r="M103" s="2899">
        <f>1.2799/M101</f>
        <v>0.35258953168044077</v>
      </c>
      <c r="N103" s="2899">
        <f>1.2799/N101</f>
        <v>0.35258953168044077</v>
      </c>
    </row>
    <row r="104" spans="1:14">
      <c r="A104" s="3268"/>
      <c r="B104" s="2898">
        <v>3</v>
      </c>
      <c r="C104" s="2899">
        <f>1.1594/C101</f>
        <v>0.3193939393939394</v>
      </c>
      <c r="D104" s="2899">
        <f>1.1594/D101</f>
        <v>0.3193939393939394</v>
      </c>
      <c r="E104" s="2899">
        <f>1.0788/E101</f>
        <v>0.2971900826446281</v>
      </c>
      <c r="F104" s="2899">
        <f>1.0788/F101</f>
        <v>0.2971900826446281</v>
      </c>
      <c r="G104" s="2899">
        <f>1.0788/G101</f>
        <v>0.2971900826446281</v>
      </c>
      <c r="H104" s="2899">
        <f>1.0788/H101</f>
        <v>0.2971900826446281</v>
      </c>
      <c r="I104" s="2899">
        <f>1.0788/I101</f>
        <v>0.2971900826446281</v>
      </c>
      <c r="J104" s="2899">
        <f>1.0072/J101</f>
        <v>0.27746556473829204</v>
      </c>
      <c r="K104" s="2899">
        <f>1.0072/K101</f>
        <v>0.27746556473829204</v>
      </c>
      <c r="L104" s="2899">
        <f>1.0072/L101</f>
        <v>0.27746556473829204</v>
      </c>
      <c r="M104" s="2899">
        <f>1.0072/M101</f>
        <v>0.27746556473829204</v>
      </c>
      <c r="N104" s="2899">
        <f>1.0072/N101</f>
        <v>0.27746556473829204</v>
      </c>
    </row>
    <row r="105" spans="1:14">
      <c r="A105" s="3268"/>
      <c r="B105" s="2898">
        <v>4</v>
      </c>
      <c r="C105" s="2899">
        <f>0.9622/C101</f>
        <v>0.26506887052341599</v>
      </c>
      <c r="D105" s="2899">
        <f>0.9622/D101</f>
        <v>0.26506887052341599</v>
      </c>
      <c r="E105" s="2899">
        <f>0.8656/E101</f>
        <v>0.23845730027548212</v>
      </c>
      <c r="F105" s="2899">
        <f>0.8656/F101</f>
        <v>0.23845730027548212</v>
      </c>
      <c r="G105" s="2899">
        <f>0.8656/G101</f>
        <v>0.23845730027548212</v>
      </c>
      <c r="H105" s="2899">
        <f>0.8656/H101</f>
        <v>0.23845730027548212</v>
      </c>
      <c r="I105" s="2899">
        <f>0.8656/I101</f>
        <v>0.23845730027548212</v>
      </c>
      <c r="J105" s="2899">
        <f>0.7525/J101</f>
        <v>0.20730027548209365</v>
      </c>
      <c r="K105" s="2899">
        <f>0.7525/K101</f>
        <v>0.20730027548209365</v>
      </c>
      <c r="L105" s="2899">
        <f>0.7525/L101</f>
        <v>0.20730027548209365</v>
      </c>
      <c r="M105" s="2899">
        <f>0.7525/M101</f>
        <v>0.20730027548209365</v>
      </c>
      <c r="N105" s="2899">
        <f>0.7525/N101</f>
        <v>0.20730027548209365</v>
      </c>
    </row>
    <row r="106" spans="1:14">
      <c r="A106" s="3268"/>
      <c r="B106" s="2898">
        <v>5</v>
      </c>
      <c r="C106" s="2899">
        <f>0.8417/C101</f>
        <v>0.23187327823691462</v>
      </c>
      <c r="D106" s="2899">
        <f>0.8417/D101</f>
        <v>0.23187327823691462</v>
      </c>
      <c r="E106" s="2899">
        <f>0.7371/E101</f>
        <v>0.20305785123966943</v>
      </c>
      <c r="F106" s="2899">
        <f>0.7371/F101</f>
        <v>0.20305785123966943</v>
      </c>
      <c r="G106" s="2899">
        <f>0.7371/G101</f>
        <v>0.20305785123966943</v>
      </c>
      <c r="H106" s="2899">
        <f>0.7371/H101</f>
        <v>0.20305785123966943</v>
      </c>
      <c r="I106" s="2899">
        <f>0.7371/I101</f>
        <v>0.20305785123966943</v>
      </c>
      <c r="J106" s="2899">
        <f>0.5659/J101</f>
        <v>0.15589531680440771</v>
      </c>
      <c r="K106" s="2899">
        <f>0.5659/K101</f>
        <v>0.15589531680440771</v>
      </c>
      <c r="L106" s="2899">
        <f>0.5659/L101</f>
        <v>0.15589531680440771</v>
      </c>
      <c r="M106" s="2899">
        <f>0.5659/M101</f>
        <v>0.15589531680440771</v>
      </c>
      <c r="N106" s="2899">
        <f>0.5659/N101</f>
        <v>0.15589531680440771</v>
      </c>
    </row>
    <row r="107" spans="1:14">
      <c r="A107" s="3268"/>
      <c r="B107" s="2898">
        <v>6</v>
      </c>
      <c r="C107" s="2899">
        <f>0.7608/C101</f>
        <v>0.20958677685950414</v>
      </c>
      <c r="D107" s="2899">
        <f>0.7608/D101</f>
        <v>0.20958677685950414</v>
      </c>
      <c r="E107" s="2899">
        <f>0.6482/E101</f>
        <v>0.17856749311294767</v>
      </c>
      <c r="F107" s="2899">
        <f>0.6482/F101</f>
        <v>0.17856749311294767</v>
      </c>
      <c r="G107" s="2899">
        <f>0.6482/G101</f>
        <v>0.17856749311294767</v>
      </c>
      <c r="H107" s="2899">
        <f>0.6482/H101</f>
        <v>0.17856749311294767</v>
      </c>
      <c r="I107" s="2899">
        <f>0.6482/I101</f>
        <v>0.17856749311294767</v>
      </c>
      <c r="J107" s="2899">
        <f>0.4525/J101</f>
        <v>0.12465564738292012</v>
      </c>
      <c r="K107" s="2899">
        <f>0.4525/K101</f>
        <v>0.12465564738292012</v>
      </c>
      <c r="L107" s="2899">
        <f>0.4525/L101</f>
        <v>0.12465564738292012</v>
      </c>
      <c r="M107" s="2899">
        <f>0.4525/M101</f>
        <v>0.12465564738292012</v>
      </c>
      <c r="N107" s="2899">
        <f>0.4525/N101</f>
        <v>0.12465564738292012</v>
      </c>
    </row>
    <row r="108" spans="1:14">
      <c r="A108" s="3268"/>
      <c r="B108" s="3126" t="s">
        <v>2977</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69"/>
      <c r="B109" s="3127"/>
      <c r="C109" s="2901">
        <f>(-0.163*(C108^2)-0.59*C108+7617)*(10^(-4))/C101</f>
        <v>0.20983471074380167</v>
      </c>
      <c r="D109" s="2901">
        <f>(-0.163*(D108^2)-0.59*D108+7617)*(10^(-4))/D101</f>
        <v>0.20983471074380167</v>
      </c>
      <c r="E109" s="2901">
        <f>(-0.161*(E108^2)-7.509*E108+6533)*(10^(-4))/E101</f>
        <v>0.17997245179063362</v>
      </c>
      <c r="F109" s="2901">
        <f>(-0.161*(F108^2)-7.509*F108+6533)*(10^(-4))/F101</f>
        <v>0.17997245179063362</v>
      </c>
      <c r="G109" s="2901">
        <f>(-0.161*(G108^2)-7.509*G108+6533)*(10^(-4))/G101</f>
        <v>0.17997245179063362</v>
      </c>
      <c r="H109" s="2901">
        <f>(-0.161*(H108^2)-7.509*H108+6533)*(10^(-4))/H101</f>
        <v>0.17997245179063362</v>
      </c>
      <c r="I109" s="2901">
        <f>(-0.161*(I108^2)-7.509*I108+6533)*(10^(-4))/I101</f>
        <v>0.17997245179063362</v>
      </c>
      <c r="J109" s="2901">
        <f>(-0.214*(J108^2)-21.991*J108+4665)*(10^(-4))/J101</f>
        <v>0.12851239669421488</v>
      </c>
      <c r="K109" s="2901">
        <f>(-0.214*(K108^2)-21.991*K108+4665)*(10^(-4))/K101</f>
        <v>0.12851239669421488</v>
      </c>
      <c r="L109" s="2901">
        <f>(-0.214*(L108^2)-21.991*L108+4665)*(10^(-4))/L101</f>
        <v>0.12851239669421488</v>
      </c>
      <c r="M109" s="2901">
        <f>(-0.214*(M108^2)-21.991*M108+4665)*(10^(-4))/M101</f>
        <v>0.12851239669421488</v>
      </c>
      <c r="N109" s="2901">
        <f>(-0.214*(N108^2)-21.991*N108+4665)*(10^(-4))/N101</f>
        <v>0.12851239669421488</v>
      </c>
    </row>
    <row r="110" spans="1:14">
      <c r="A110" s="3265" t="s">
        <v>2978</v>
      </c>
      <c r="B110" s="3265"/>
      <c r="C110" s="3265"/>
      <c r="D110" s="3265"/>
      <c r="E110" s="3265"/>
      <c r="F110" s="3265"/>
      <c r="G110" s="3265"/>
      <c r="H110" s="3265"/>
      <c r="I110" s="3265"/>
      <c r="J110" s="3265"/>
      <c r="K110" s="2904"/>
      <c r="L110" s="2904"/>
      <c r="M110" s="2904"/>
      <c r="N110" s="2904"/>
    </row>
    <row r="112" spans="1:14" ht="13.5" thickBot="1"/>
    <row r="113" spans="1:13" ht="25.5" thickBot="1">
      <c r="A113" s="900" t="s">
        <v>2979</v>
      </c>
      <c r="B113" s="1287">
        <f>G3</f>
        <v>3.63</v>
      </c>
      <c r="C113" s="901" t="s">
        <v>2980</v>
      </c>
      <c r="D113" s="902">
        <f>SUMPRODUCT((A115:A118=F113)*(B114:M114=H113)*B115:M118)</f>
        <v>0.8095</v>
      </c>
      <c r="E113" s="2727" t="s">
        <v>2812</v>
      </c>
      <c r="F113" s="2906" t="str">
        <f>E2</f>
        <v>办公</v>
      </c>
      <c r="G113" s="2727" t="s">
        <v>2813</v>
      </c>
      <c r="H113" s="2906" t="str">
        <f>G2</f>
        <v>六级</v>
      </c>
      <c r="I113" s="2727"/>
      <c r="J113" s="2907"/>
      <c r="K113" s="2907"/>
      <c r="L113" s="2907"/>
      <c r="M113" s="2907"/>
    </row>
    <row r="114" spans="1:13">
      <c r="A114" s="905"/>
      <c r="B114" s="2908" t="s">
        <v>2981</v>
      </c>
      <c r="C114" s="2908" t="s">
        <v>2982</v>
      </c>
      <c r="D114" s="2908" t="s">
        <v>2983</v>
      </c>
      <c r="E114" s="2909" t="s">
        <v>2984</v>
      </c>
      <c r="F114" s="2909" t="s">
        <v>2985</v>
      </c>
      <c r="G114" s="2909" t="s">
        <v>2986</v>
      </c>
      <c r="H114" s="2910" t="s">
        <v>2987</v>
      </c>
      <c r="I114" s="2910" t="s">
        <v>2988</v>
      </c>
      <c r="J114" s="2911" t="s">
        <v>2989</v>
      </c>
      <c r="K114" s="2911" t="s">
        <v>2990</v>
      </c>
      <c r="L114" s="2911" t="s">
        <v>2991</v>
      </c>
      <c r="M114" s="2912" t="s">
        <v>2992</v>
      </c>
    </row>
    <row r="115" spans="1:13">
      <c r="A115" s="906" t="s">
        <v>2877</v>
      </c>
      <c r="B115" s="907">
        <f>ROUND(0.9335-0.0094*B113,4)</f>
        <v>0.89939999999999998</v>
      </c>
      <c r="C115" s="907">
        <f>B115</f>
        <v>0.89939999999999998</v>
      </c>
      <c r="D115" s="907">
        <f>ROUND(0.8331-0.0109*B113,4)</f>
        <v>0.79349999999999998</v>
      </c>
      <c r="E115" s="907">
        <f>D115</f>
        <v>0.79349999999999998</v>
      </c>
      <c r="F115" s="907">
        <f>E115</f>
        <v>0.79349999999999998</v>
      </c>
      <c r="G115" s="907">
        <f>F115</f>
        <v>0.79349999999999998</v>
      </c>
      <c r="H115" s="907">
        <f>G115</f>
        <v>0.79349999999999998</v>
      </c>
      <c r="I115" s="907">
        <f>ROUND(0.689-0.0155*B113,4)</f>
        <v>0.63270000000000004</v>
      </c>
      <c r="J115" s="907">
        <f t="shared" ref="J115:M118" si="33">I115</f>
        <v>0.63270000000000004</v>
      </c>
      <c r="K115" s="907">
        <f t="shared" si="33"/>
        <v>0.63270000000000004</v>
      </c>
      <c r="L115" s="907">
        <f t="shared" si="33"/>
        <v>0.63270000000000004</v>
      </c>
      <c r="M115" s="908">
        <f t="shared" si="33"/>
        <v>0.63270000000000004</v>
      </c>
    </row>
    <row r="116" spans="1:13">
      <c r="A116" s="906" t="s">
        <v>2878</v>
      </c>
      <c r="B116" s="907">
        <f>ROUND(0.949-0.012*B113,4)</f>
        <v>0.90539999999999998</v>
      </c>
      <c r="C116" s="907">
        <f>B116</f>
        <v>0.90539999999999998</v>
      </c>
      <c r="D116" s="907">
        <f>ROUND(0.8567-0.013*B113,4)</f>
        <v>0.8095</v>
      </c>
      <c r="E116" s="907">
        <f t="shared" ref="E116:H117" si="34">D116</f>
        <v>0.8095</v>
      </c>
      <c r="F116" s="907">
        <f t="shared" si="34"/>
        <v>0.8095</v>
      </c>
      <c r="G116" s="907">
        <f t="shared" si="34"/>
        <v>0.8095</v>
      </c>
      <c r="H116" s="907">
        <f t="shared" si="34"/>
        <v>0.8095</v>
      </c>
      <c r="I116" s="907">
        <f>ROUND(0.7694-0.014*B113,4)</f>
        <v>0.71860000000000002</v>
      </c>
      <c r="J116" s="907">
        <f t="shared" si="33"/>
        <v>0.71860000000000002</v>
      </c>
      <c r="K116" s="907">
        <f t="shared" si="33"/>
        <v>0.71860000000000002</v>
      </c>
      <c r="L116" s="907">
        <f t="shared" si="33"/>
        <v>0.71860000000000002</v>
      </c>
      <c r="M116" s="908">
        <f t="shared" si="33"/>
        <v>0.71860000000000002</v>
      </c>
    </row>
    <row r="117" spans="1:13">
      <c r="A117" s="906" t="s">
        <v>2879</v>
      </c>
      <c r="B117" s="907">
        <f>ROUND(0.8808-0.006*B113,4)</f>
        <v>0.85899999999999999</v>
      </c>
      <c r="C117" s="907">
        <f>B117</f>
        <v>0.85899999999999999</v>
      </c>
      <c r="D117" s="907">
        <f>ROUND(0.8748-0.008*B113,4)</f>
        <v>0.8458</v>
      </c>
      <c r="E117" s="907">
        <f t="shared" si="34"/>
        <v>0.8458</v>
      </c>
      <c r="F117" s="907">
        <f t="shared" si="34"/>
        <v>0.8458</v>
      </c>
      <c r="G117" s="907">
        <f t="shared" si="34"/>
        <v>0.8458</v>
      </c>
      <c r="H117" s="907">
        <f t="shared" si="34"/>
        <v>0.8458</v>
      </c>
      <c r="I117" s="907">
        <f>ROUND(0.7412-0.0095*B113,4)</f>
        <v>0.70669999999999999</v>
      </c>
      <c r="J117" s="907">
        <f t="shared" si="33"/>
        <v>0.70669999999999999</v>
      </c>
      <c r="K117" s="907">
        <f t="shared" si="33"/>
        <v>0.70669999999999999</v>
      </c>
      <c r="L117" s="907">
        <f t="shared" si="33"/>
        <v>0.70669999999999999</v>
      </c>
      <c r="M117" s="908">
        <f t="shared" si="33"/>
        <v>0.70669999999999999</v>
      </c>
    </row>
    <row r="118" spans="1:13" ht="13.5" thickBot="1">
      <c r="A118" s="714" t="s">
        <v>2880</v>
      </c>
      <c r="B118" s="909">
        <f>ROUND(0.7275-0.01*B113,4)</f>
        <v>0.69120000000000004</v>
      </c>
      <c r="C118" s="909">
        <f>B118</f>
        <v>0.69120000000000004</v>
      </c>
      <c r="D118" s="909">
        <f>ROUND(0.7043-0.012*B113,4)</f>
        <v>0.66069999999999995</v>
      </c>
      <c r="E118" s="909">
        <f>D118</f>
        <v>0.66069999999999995</v>
      </c>
      <c r="F118" s="909">
        <f>E118</f>
        <v>0.66069999999999995</v>
      </c>
      <c r="G118" s="909">
        <f>ROUND(0.6299-0.0122*B113,4)</f>
        <v>0.58560000000000001</v>
      </c>
      <c r="H118" s="909">
        <f>G118</f>
        <v>0.58560000000000001</v>
      </c>
      <c r="I118" s="909">
        <f>ROUND(0.5667-0.0136*B113,4)</f>
        <v>0.51729999999999998</v>
      </c>
      <c r="J118" s="909">
        <f t="shared" si="33"/>
        <v>0.51729999999999998</v>
      </c>
      <c r="K118" s="909">
        <f t="shared" si="33"/>
        <v>0.51729999999999998</v>
      </c>
      <c r="L118" s="909">
        <f t="shared" si="33"/>
        <v>0.51729999999999998</v>
      </c>
      <c r="M118" s="910">
        <f t="shared" si="33"/>
        <v>0.51729999999999998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6" zoomScale="90" zoomScaleNormal="90" zoomScaleSheetLayoutView="96" workbookViewId="0">
      <selection activeCell="A4" sqref="A4:J4"/>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2" customWidth="1"/>
    <col min="33" max="36" width="9.375" style="2799" customWidth="1"/>
    <col min="37" max="38" width="9.375" style="2723" customWidth="1"/>
    <col min="39" max="16384" width="12" style="2723"/>
  </cols>
  <sheetData>
    <row r="1" spans="1:36" ht="28.5">
      <c r="A1" s="240" t="s">
        <v>2802</v>
      </c>
      <c r="B1" s="241"/>
      <c r="C1" s="245" t="s">
        <v>2803</v>
      </c>
      <c r="D1" s="388">
        <f>SUM(D29:D30,D33:D39)</f>
        <v>2330.23</v>
      </c>
      <c r="E1" s="2720"/>
      <c r="F1" s="2720"/>
      <c r="G1" s="2720"/>
      <c r="H1" s="2720"/>
      <c r="I1" s="2720"/>
      <c r="J1" s="2720"/>
      <c r="K1" s="1370"/>
      <c r="L1" s="2721" t="s">
        <v>2804</v>
      </c>
      <c r="M1" s="1080">
        <f>SUMPRODUCT((区片价!B5:B9=I2)*(区片价!C3:F3=E2)*(区片价!C5:F9))</f>
        <v>0</v>
      </c>
      <c r="N1" s="1083">
        <f>SUMPRODUCT((因素修正幅度!B5:B9=I2)*(因素修正幅度!C3:F3=E2)*(因素修正幅度!C5:F9))</f>
        <v>0</v>
      </c>
      <c r="O1" s="2722"/>
      <c r="P1" s="2722"/>
      <c r="Q1" s="1370"/>
      <c r="R1" s="1602" t="s">
        <v>2805</v>
      </c>
      <c r="S1" s="1602" t="s">
        <v>2806</v>
      </c>
      <c r="T1" s="1602" t="s">
        <v>2807</v>
      </c>
      <c r="U1" s="1602" t="s">
        <v>2808</v>
      </c>
      <c r="V1" s="1602" t="s">
        <v>2809</v>
      </c>
      <c r="W1" s="1606"/>
      <c r="X1" s="1606"/>
      <c r="Y1" s="1606"/>
      <c r="Z1" s="1606"/>
      <c r="AA1" s="1606"/>
      <c r="AB1" s="1606"/>
      <c r="AC1" s="1607"/>
      <c r="AD1" s="1608"/>
      <c r="AE1" s="1608"/>
      <c r="AF1" s="1608"/>
      <c r="AG1" s="1608"/>
      <c r="AH1" s="1608"/>
      <c r="AI1" s="1608"/>
      <c r="AJ1" s="1609"/>
    </row>
    <row r="2" spans="1:36" ht="15.75">
      <c r="A2" s="245" t="s">
        <v>2810</v>
      </c>
      <c r="B2" s="248">
        <f ca="1">C26</f>
        <v>5226</v>
      </c>
      <c r="C2" s="2724" t="s">
        <v>2811</v>
      </c>
      <c r="D2" s="2725" t="s">
        <v>2812</v>
      </c>
      <c r="E2" s="2726" t="s">
        <v>1373</v>
      </c>
      <c r="F2" s="2725" t="s">
        <v>2813</v>
      </c>
      <c r="G2" s="2727" t="str">
        <f>IF(E2="商业",项目基本情况!B37,IF(E2="办公",项目基本情况!C37,IF(E2="住宅",项目基本情况!D37,项目基本情况!E37)))</f>
        <v>六级</v>
      </c>
      <c r="H2" s="2725" t="s">
        <v>2814</v>
      </c>
      <c r="I2" s="2727" t="str">
        <f>IF(E2="商业",项目基本情况!B38,IF(E2="办公",项目基本情况!C38,IF(E2="住宅",项目基本情况!D38,项目基本情况!E38)))</f>
        <v>Ⅵ-昌4</v>
      </c>
      <c r="J2" s="2728"/>
      <c r="K2" s="1370"/>
      <c r="L2" s="2729" t="s">
        <v>2815</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22428</v>
      </c>
      <c r="U2" s="1603"/>
      <c r="V2" s="1602">
        <f ca="1">ROUND(T2*U2/10000,0)</f>
        <v>0</v>
      </c>
      <c r="W2" s="1606"/>
      <c r="X2" s="1606"/>
      <c r="Y2" s="1606"/>
      <c r="Z2" s="1606"/>
      <c r="AA2" s="1606"/>
      <c r="AB2" s="1606"/>
      <c r="AC2" s="1607"/>
      <c r="AD2" s="1608"/>
      <c r="AE2" s="1608"/>
      <c r="AF2" s="1608"/>
      <c r="AG2" s="1608"/>
      <c r="AH2" s="1608"/>
      <c r="AI2" s="1608"/>
      <c r="AJ2" s="1609"/>
    </row>
    <row r="3" spans="1:36" ht="25.5">
      <c r="A3" s="247" t="s">
        <v>2816</v>
      </c>
      <c r="B3" s="248">
        <f ca="1">ROUND(B2*10000/D1,0)</f>
        <v>22427</v>
      </c>
      <c r="C3" s="2724" t="s">
        <v>2817</v>
      </c>
      <c r="D3" s="2725" t="s">
        <v>2818</v>
      </c>
      <c r="E3" s="2730" t="s">
        <v>3067</v>
      </c>
      <c r="F3" s="2731" t="s">
        <v>2819</v>
      </c>
      <c r="G3" s="913">
        <f>IF(F3="宗地容积率",'数据-汇总表'!I4,IF(F3="估价对象容积率",'数据-汇总表'!I6,'数据-汇总表'!I7))</f>
        <v>3.63</v>
      </c>
      <c r="H3" s="198" t="s">
        <v>2820</v>
      </c>
      <c r="I3" s="944">
        <v>1</v>
      </c>
      <c r="J3" s="2728" t="s">
        <v>2821</v>
      </c>
      <c r="K3" s="1370"/>
      <c r="L3" s="2729" t="s">
        <v>2822</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16099</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56"/>
      <c r="B4" s="3257"/>
      <c r="C4" s="3257"/>
      <c r="D4" s="3258"/>
      <c r="E4" s="3258"/>
      <c r="F4" s="3258"/>
      <c r="G4" s="3258"/>
      <c r="H4" s="3258"/>
      <c r="I4" s="3258"/>
      <c r="J4" s="3259"/>
      <c r="K4" s="1370"/>
      <c r="L4" s="2729" t="s">
        <v>2823</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12988</v>
      </c>
      <c r="U4" s="1603"/>
      <c r="V4" s="1602">
        <f t="shared" ca="1" si="1"/>
        <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2824</v>
      </c>
      <c r="C5" s="914">
        <f>ROUND(IF(E2="商业",IF(F16="增加",C6*C7+C16,C6*C7-C16),IF(E2="住宅",IF(F16="增加",C6*C12+C16,C6*C12-C16),IF(F16="增加",C6+C16,C6-C16))),0)</f>
        <v>10080</v>
      </c>
      <c r="D5" s="1787">
        <f>ROUND(IF(F16="增加",C6+C16,C6-C16),0)</f>
        <v>10080</v>
      </c>
      <c r="E5" s="1787"/>
      <c r="F5" s="2734"/>
      <c r="G5" s="2735"/>
      <c r="H5" s="2735"/>
      <c r="I5" s="2735"/>
      <c r="J5" s="2736"/>
      <c r="K5" s="2737"/>
      <c r="L5" s="2729" t="s">
        <v>2825</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10421</v>
      </c>
      <c r="U5" s="1603"/>
      <c r="V5" s="1602">
        <f t="shared" ca="1" si="1"/>
        <v>0</v>
      </c>
      <c r="W5" s="1606"/>
      <c r="X5" s="1606"/>
      <c r="Y5" s="1606"/>
      <c r="Z5" s="1606"/>
      <c r="AA5" s="1606"/>
      <c r="AB5" s="1606"/>
      <c r="AC5" s="2738"/>
      <c r="AD5" s="2739"/>
      <c r="AE5" s="2739"/>
      <c r="AF5" s="2739"/>
      <c r="AG5" s="2739"/>
      <c r="AH5" s="2739"/>
      <c r="AI5" s="2739"/>
      <c r="AJ5" s="2740"/>
    </row>
    <row r="6" spans="1:36" ht="15.75" thickBot="1">
      <c r="A6" s="2742" t="s">
        <v>2826</v>
      </c>
      <c r="B6" s="2743" t="s">
        <v>2827</v>
      </c>
      <c r="C6" s="915">
        <f>SUMIF(L1:L12,G2,M1:M12)</f>
        <v>10080</v>
      </c>
      <c r="D6" s="2744" t="s">
        <v>2828</v>
      </c>
      <c r="E6" s="2745"/>
      <c r="F6" s="2745"/>
      <c r="G6" s="2746"/>
      <c r="H6" s="2746"/>
      <c r="I6" s="2746"/>
      <c r="J6" s="2747"/>
      <c r="K6" s="1842"/>
      <c r="L6" s="2729" t="s">
        <v>2829</v>
      </c>
      <c r="M6" s="1081">
        <f>SUMPRODUCT((区片价!B110:B157=I2)*(区片价!C3:F3=E2)*(区片价!C110:F157))</f>
        <v>10080</v>
      </c>
      <c r="N6" s="1083">
        <f>SUMPRODUCT((因素修正幅度!B110:B157=I2)*(因素修正幅度!C3:F3=E2)*(因素修正幅度!C110:F157))</f>
        <v>0.121</v>
      </c>
      <c r="O6" s="1370"/>
      <c r="P6" s="1370"/>
      <c r="Q6" s="1370"/>
      <c r="R6" s="1602">
        <v>5</v>
      </c>
      <c r="S6" s="1602">
        <f>ROUND(IF(G3&gt;1,IF(R6&lt;7,SUMPRODUCT((B93:B98=R6)*(C92:N92=G2)*(C93:N98)),SUMIF(C92:N92,G2,C100:N100)),IF(R6&lt;7,SUMPRODUCT((B102:B107=R6)*(C92:N92=G2)*(C102:N107)),SUMIF(C92:N92,G2,C109:N109))),4)</f>
        <v>0.73709999999999998</v>
      </c>
      <c r="T6" s="1602">
        <f t="shared" ca="1" si="0"/>
        <v>8874</v>
      </c>
      <c r="U6" s="1603"/>
      <c r="V6" s="1602">
        <f t="shared" ca="1" si="1"/>
        <v>0</v>
      </c>
      <c r="W6" s="1606"/>
      <c r="X6" s="1606"/>
      <c r="Y6" s="1606"/>
      <c r="Z6" s="1606"/>
      <c r="AA6" s="1606"/>
      <c r="AB6" s="1606"/>
      <c r="AC6" s="2738"/>
      <c r="AD6" s="2739"/>
      <c r="AE6" s="2739"/>
      <c r="AF6" s="2739"/>
      <c r="AG6" s="2739"/>
      <c r="AH6" s="2739"/>
      <c r="AI6" s="2739"/>
      <c r="AJ6" s="2740"/>
    </row>
    <row r="7" spans="1:36" ht="24">
      <c r="A7" s="3260">
        <f>IF(E2="商业",IF(C8="不临58条商业街","",2),"")</f>
        <v>2</v>
      </c>
      <c r="B7" s="2748" t="s">
        <v>2830</v>
      </c>
      <c r="C7" s="916">
        <f>IF(C8="不临58条商业街",1,ROUND(1+(1.6*E8+1.2*E9+0.8*E10+0.4*E11)*C9,4))</f>
        <v>1</v>
      </c>
      <c r="D7" s="2749" t="s">
        <v>2831</v>
      </c>
      <c r="E7" s="945">
        <v>60</v>
      </c>
      <c r="F7" s="2750"/>
      <c r="G7" s="2751"/>
      <c r="H7" s="2751"/>
      <c r="I7" s="2751"/>
      <c r="J7" s="2752"/>
      <c r="K7" s="1842"/>
      <c r="L7" s="2729" t="s">
        <v>2832</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0.6482</v>
      </c>
      <c r="T7" s="1602">
        <f t="shared" ca="1" si="0"/>
        <v>7804</v>
      </c>
      <c r="U7" s="1603"/>
      <c r="V7" s="1602">
        <f t="shared" ca="1" si="1"/>
        <v>0</v>
      </c>
      <c r="W7" s="2961" t="s">
        <v>2833</v>
      </c>
      <c r="X7" s="1604" t="str">
        <f>G2</f>
        <v>六级</v>
      </c>
      <c r="Y7" s="1604" t="s">
        <v>2834</v>
      </c>
      <c r="Z7" s="1605">
        <f>G3</f>
        <v>3.63</v>
      </c>
      <c r="AA7" s="1606"/>
      <c r="AB7" s="1606"/>
      <c r="AC7" s="1607"/>
      <c r="AD7" s="1608"/>
      <c r="AE7" s="1608"/>
      <c r="AF7" s="1608"/>
      <c r="AG7" s="1608"/>
      <c r="AH7" s="1608"/>
      <c r="AI7" s="1608"/>
      <c r="AJ7" s="1609"/>
    </row>
    <row r="8" spans="1:36" ht="15">
      <c r="A8" s="3261"/>
      <c r="B8" s="198" t="s">
        <v>2835</v>
      </c>
      <c r="C8" s="2753"/>
      <c r="D8" s="917" t="s">
        <v>139</v>
      </c>
      <c r="E8" s="918">
        <f>ROUND(C11/E7,4)</f>
        <v>0</v>
      </c>
      <c r="F8" s="2754" t="s">
        <v>2836</v>
      </c>
      <c r="G8" s="2755"/>
      <c r="H8" s="2755"/>
      <c r="I8" s="2755"/>
      <c r="J8" s="2756"/>
      <c r="K8" s="1370"/>
      <c r="L8" s="2729" t="s">
        <v>2837</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53" t="s">
        <v>2838</v>
      </c>
      <c r="X8" s="3254"/>
      <c r="Y8" s="1610" t="s">
        <v>2839</v>
      </c>
      <c r="Z8" s="1610" t="s">
        <v>2840</v>
      </c>
      <c r="AA8" s="1610" t="s">
        <v>2841</v>
      </c>
      <c r="AB8" s="1610" t="s">
        <v>2842</v>
      </c>
      <c r="AC8" s="1610" t="s">
        <v>2843</v>
      </c>
      <c r="AD8" s="1610" t="s">
        <v>2844</v>
      </c>
      <c r="AE8" s="1610" t="s">
        <v>2845</v>
      </c>
      <c r="AF8" s="1610" t="s">
        <v>2846</v>
      </c>
      <c r="AG8" s="1610" t="s">
        <v>2847</v>
      </c>
      <c r="AH8" s="1610" t="s">
        <v>2848</v>
      </c>
      <c r="AI8" s="1610" t="s">
        <v>2849</v>
      </c>
      <c r="AJ8" s="1610" t="s">
        <v>2850</v>
      </c>
    </row>
    <row r="9" spans="1:36" ht="15">
      <c r="A9" s="3261"/>
      <c r="B9" s="198" t="s">
        <v>2851</v>
      </c>
      <c r="C9" s="919">
        <f>SUMIF(修正!C59:C119,C8,修正!E59:E119)</f>
        <v>0</v>
      </c>
      <c r="D9" s="200" t="s">
        <v>140</v>
      </c>
      <c r="E9" s="200">
        <f>ROUND(C11/E7,4)</f>
        <v>0</v>
      </c>
      <c r="F9" s="2754" t="s">
        <v>2852</v>
      </c>
      <c r="G9" s="2755"/>
      <c r="H9" s="2755"/>
      <c r="I9" s="2755"/>
      <c r="J9" s="2756"/>
      <c r="K9" s="1370"/>
      <c r="L9" s="2729" t="s">
        <v>2853</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55" t="s">
        <v>2854</v>
      </c>
      <c r="X9" s="1611" t="s">
        <v>2855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61"/>
      <c r="B10" s="198" t="s">
        <v>2856</v>
      </c>
      <c r="C10" s="200">
        <f>SUMIF(修正!C59:C119,C8,修正!F59:F119)</f>
        <v>0</v>
      </c>
      <c r="D10" s="200" t="s">
        <v>141</v>
      </c>
      <c r="E10" s="200">
        <f>ROUND(C11/E7,4)</f>
        <v>0</v>
      </c>
      <c r="F10" s="2754" t="s">
        <v>2857</v>
      </c>
      <c r="G10" s="2755"/>
      <c r="H10" s="2755"/>
      <c r="I10" s="2755"/>
      <c r="J10" s="2756"/>
      <c r="K10" s="1370"/>
      <c r="L10" s="2729" t="s">
        <v>2858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5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61"/>
      <c r="B11" s="2757" t="s">
        <v>2859</v>
      </c>
      <c r="C11" s="920">
        <f>C10/4</f>
        <v>0</v>
      </c>
      <c r="D11" s="920" t="s">
        <v>142</v>
      </c>
      <c r="E11" s="920">
        <f>ROUND(C11/E7,4)</f>
        <v>0</v>
      </c>
      <c r="F11" s="2758" t="s">
        <v>2860</v>
      </c>
      <c r="G11" s="2759"/>
      <c r="H11" s="2759"/>
      <c r="I11" s="2759"/>
      <c r="J11" s="2760"/>
      <c r="K11" s="1370"/>
      <c r="L11" s="2729" t="s">
        <v>2861</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55" t="s">
        <v>2862</v>
      </c>
      <c r="X11" s="1614" t="s">
        <v>2863</v>
      </c>
      <c r="Y11" s="1615">
        <f>$G$3</f>
        <v>3.63</v>
      </c>
      <c r="Z11" s="1615">
        <f t="shared" ref="Z11:AJ11" si="3">$G$3</f>
        <v>3.63</v>
      </c>
      <c r="AA11" s="1615">
        <f t="shared" si="3"/>
        <v>3.63</v>
      </c>
      <c r="AB11" s="1615">
        <f t="shared" si="3"/>
        <v>3.63</v>
      </c>
      <c r="AC11" s="1615">
        <f t="shared" si="3"/>
        <v>3.63</v>
      </c>
      <c r="AD11" s="1615">
        <f t="shared" si="3"/>
        <v>3.63</v>
      </c>
      <c r="AE11" s="1615">
        <f t="shared" si="3"/>
        <v>3.63</v>
      </c>
      <c r="AF11" s="1615">
        <f t="shared" si="3"/>
        <v>3.63</v>
      </c>
      <c r="AG11" s="1615">
        <f t="shared" si="3"/>
        <v>3.63</v>
      </c>
      <c r="AH11" s="1615">
        <f t="shared" si="3"/>
        <v>3.63</v>
      </c>
      <c r="AI11" s="1615">
        <f t="shared" si="3"/>
        <v>3.63</v>
      </c>
      <c r="AJ11" s="1615">
        <f t="shared" si="3"/>
        <v>3.63</v>
      </c>
    </row>
    <row r="12" spans="1:36" ht="25.5" thickBot="1">
      <c r="A12" s="3260" t="s">
        <v>2864</v>
      </c>
      <c r="B12" s="2761" t="s">
        <v>2865</v>
      </c>
      <c r="C12" s="916">
        <f>ROUND(C15*D15*E15*F15*G15*H15*I15*J15,4)</f>
        <v>1</v>
      </c>
      <c r="D12" s="2762" t="s">
        <v>2866</v>
      </c>
      <c r="E12" s="2763"/>
      <c r="F12" s="2763"/>
      <c r="G12" s="2764"/>
      <c r="H12" s="2764"/>
      <c r="I12" s="2764"/>
      <c r="J12" s="2765"/>
      <c r="K12" s="1370"/>
      <c r="L12" s="2766" t="s">
        <v>2867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55"/>
      <c r="X12" s="1616" t="s">
        <v>2868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62"/>
      <c r="B13" s="2767" t="s">
        <v>2869</v>
      </c>
      <c r="C13" s="2768" t="s">
        <v>2870</v>
      </c>
      <c r="D13" s="2950" t="s">
        <v>2871</v>
      </c>
      <c r="E13" s="2950" t="s">
        <v>2872</v>
      </c>
      <c r="F13" s="30" t="s">
        <v>2873</v>
      </c>
      <c r="G13" s="2769" t="s">
        <v>2874</v>
      </c>
      <c r="H13" s="2769" t="s">
        <v>2874</v>
      </c>
      <c r="I13" s="2769" t="s">
        <v>2874</v>
      </c>
      <c r="J13" s="2770" t="s">
        <v>2874</v>
      </c>
      <c r="K13" s="1370"/>
      <c r="L13" s="1370"/>
      <c r="M13" s="1370"/>
      <c r="N13" s="1370"/>
      <c r="O13" s="1370"/>
      <c r="P13" s="1370"/>
      <c r="Q13" s="1370"/>
      <c r="R13" s="1602">
        <v>12</v>
      </c>
      <c r="S13" s="1603"/>
      <c r="T13" s="1602">
        <f t="shared" ca="1" si="0"/>
        <v>0</v>
      </c>
      <c r="U13" s="1603"/>
      <c r="V13" s="1602">
        <f t="shared" ca="1" si="1"/>
        <v>0</v>
      </c>
      <c r="W13" s="3255"/>
      <c r="X13" s="1616"/>
      <c r="Y13" s="1613">
        <f>(-0.163*(Y12^2)-0.59*Y12+7617)*(10^(-4))/Y11</f>
        <v>0.20983471074380167</v>
      </c>
      <c r="Z13" s="1613">
        <f t="shared" ref="Z13:AJ13" si="5">(-0.163*(Z12^2)-0.59*Z12+7617)*(10^(-4))/Z11</f>
        <v>0.20983471074380167</v>
      </c>
      <c r="AA13" s="1613">
        <f t="shared" si="5"/>
        <v>0.20983471074380167</v>
      </c>
      <c r="AB13" s="1613">
        <f t="shared" si="5"/>
        <v>0.20983471074380167</v>
      </c>
      <c r="AC13" s="1613">
        <f t="shared" si="5"/>
        <v>0.20983471074380167</v>
      </c>
      <c r="AD13" s="1613">
        <f t="shared" si="5"/>
        <v>0.20983471074380167</v>
      </c>
      <c r="AE13" s="1613">
        <f t="shared" si="5"/>
        <v>0.20983471074380167</v>
      </c>
      <c r="AF13" s="1613">
        <f t="shared" si="5"/>
        <v>0.20983471074380167</v>
      </c>
      <c r="AG13" s="1613">
        <f t="shared" si="5"/>
        <v>0.20983471074380167</v>
      </c>
      <c r="AH13" s="1613">
        <f t="shared" si="5"/>
        <v>0.20983471074380167</v>
      </c>
      <c r="AI13" s="1613">
        <f t="shared" si="5"/>
        <v>0.20983471074380167</v>
      </c>
      <c r="AJ13" s="1613">
        <f t="shared" si="5"/>
        <v>0.20983471074380167</v>
      </c>
    </row>
    <row r="14" spans="1:36" ht="15">
      <c r="A14" s="3262"/>
      <c r="B14" s="2771"/>
      <c r="C14" s="2772"/>
      <c r="D14" s="2773"/>
      <c r="E14" s="2773"/>
      <c r="F14" s="2774"/>
      <c r="G14" s="2775" t="s">
        <v>2875</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63"/>
      <c r="B15" s="2779" t="s">
        <v>2876</v>
      </c>
      <c r="C15" s="229">
        <f>IF(C14="有",1.1,1)</f>
        <v>1</v>
      </c>
      <c r="D15" s="229">
        <f>IF(D14="有",1.1,1)</f>
        <v>1</v>
      </c>
      <c r="E15" s="229">
        <f>IF(E14="有",1.1,1)</f>
        <v>1</v>
      </c>
      <c r="F15" s="229">
        <f>IF(F14="500米范围内",1.2,IF(F14="500-1000米",1.1,1))</f>
        <v>1</v>
      </c>
      <c r="G15" s="946">
        <v>1</v>
      </c>
      <c r="H15" s="946">
        <v>1</v>
      </c>
      <c r="I15" s="946">
        <v>1</v>
      </c>
      <c r="J15" s="947">
        <v>1</v>
      </c>
      <c r="K15" s="1370"/>
      <c r="L15" s="2780" t="s">
        <v>2812</v>
      </c>
      <c r="M15" s="917" t="s">
        <v>2877</v>
      </c>
      <c r="N15" s="917" t="s">
        <v>2878</v>
      </c>
      <c r="O15" s="917" t="s">
        <v>2879</v>
      </c>
      <c r="P15" s="2781" t="s">
        <v>2880</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260" t="s">
        <v>2881</v>
      </c>
      <c r="B16" s="2748" t="s">
        <v>2882</v>
      </c>
      <c r="C16" s="2951">
        <f>ROUND(SUM(G17:J17)/C17,0)</f>
        <v>0</v>
      </c>
      <c r="D16" s="2782" t="s">
        <v>2883</v>
      </c>
      <c r="E16" s="2783"/>
      <c r="F16" s="2784"/>
      <c r="G16" s="2785"/>
      <c r="H16" s="2785"/>
      <c r="I16" s="2785"/>
      <c r="J16" s="2786"/>
      <c r="K16" s="1370"/>
      <c r="L16" s="2787" t="s">
        <v>2884</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261"/>
      <c r="B17" s="2788" t="s">
        <v>2885</v>
      </c>
      <c r="C17" s="921">
        <f>SUMPRODUCT((修正!A2:A5=E2)*(修正!B1:M1=G2)*(修正!B2:M5))</f>
        <v>2.5</v>
      </c>
      <c r="D17" s="2789" t="s">
        <v>2886</v>
      </c>
      <c r="E17" s="920" t="str">
        <f>IF(OR(G2="八级",G2="九级",G2="十级",G2="十一级",G2="十二级"),"五通一平","七通一平")</f>
        <v>七通一平</v>
      </c>
      <c r="F17" s="921" t="s">
        <v>2887</v>
      </c>
      <c r="G17" s="921">
        <f>SUMPRODUCT((七通一平=G16)*(修正!B1:M1=G2)*(修正!B6:M14))</f>
        <v>0</v>
      </c>
      <c r="H17" s="921">
        <f>SUMPRODUCT((七通一平=H16)*(修正!B1:M1=G2)*(修正!B6:M14))</f>
        <v>0</v>
      </c>
      <c r="I17" s="921">
        <f>SUMPRODUCT((七通一平=I16)*(修正!B1:M1=G2)*(修正!B6:M14))</f>
        <v>0</v>
      </c>
      <c r="J17" s="922">
        <f>SUMPRODUCT((七通一平=J16)*(修正!B1:M1=G2)*(修正!B6:M14))</f>
        <v>0</v>
      </c>
      <c r="K17" s="1370"/>
      <c r="L17" s="2790" t="s">
        <v>2888</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91"/>
      <c r="AF17" s="2791"/>
      <c r="AG17" s="2723"/>
      <c r="AH17" s="2723"/>
      <c r="AI17" s="2723"/>
      <c r="AJ17" s="2723"/>
    </row>
    <row r="18" spans="1:37" s="2741" customFormat="1" ht="15.75" thickBot="1">
      <c r="A18" s="2792" t="s">
        <v>808</v>
      </c>
      <c r="B18" s="2793" t="s">
        <v>2889</v>
      </c>
      <c r="C18" s="923">
        <f>SUMIF(修正!C18:C39,E3,修正!E18:E39)</f>
        <v>1</v>
      </c>
      <c r="D18" s="2794"/>
      <c r="E18" s="2795"/>
      <c r="F18" s="2796"/>
      <c r="G18" s="2797"/>
      <c r="H18" s="2797"/>
      <c r="I18" s="2797"/>
      <c r="J18" s="2798"/>
      <c r="K18" s="1377"/>
      <c r="O18" s="1375"/>
      <c r="P18" s="1375"/>
      <c r="Q18" s="1376"/>
      <c r="R18" s="1376"/>
      <c r="S18" s="1376"/>
      <c r="T18" s="1371"/>
      <c r="U18" s="1371"/>
      <c r="V18" s="1371"/>
      <c r="W18" s="1370"/>
      <c r="X18" s="1370"/>
      <c r="Y18" s="1370"/>
      <c r="Z18" s="1377"/>
      <c r="AA18" s="1378"/>
      <c r="AB18" s="1378"/>
      <c r="AC18" s="1378"/>
      <c r="AD18" s="1378"/>
      <c r="AE18" s="1372"/>
      <c r="AF18" s="1372"/>
      <c r="AG18" s="2799"/>
      <c r="AH18" s="2799"/>
      <c r="AI18" s="2799"/>
    </row>
    <row r="19" spans="1:37" s="2741" customFormat="1" ht="29.25" thickBot="1">
      <c r="A19" s="2792" t="s">
        <v>809</v>
      </c>
      <c r="B19" s="2793" t="s">
        <v>2890</v>
      </c>
      <c r="C19" s="924">
        <f>ROUND(IF(H19="按公示增长率计算",SUMPRODUCT((地价!A3:A25=YEAR(G19)&amp;"-"&amp;ROUNDUP(MONTH(G19)/3,0))*(地价!X2:AB2=E2)*(地价!X3:AB25)),IF(H19="地价指数",M20/M19,(1+I19)^O19)),4)</f>
        <v>1.3372999999999999</v>
      </c>
      <c r="D19" s="2800" t="s">
        <v>2891</v>
      </c>
      <c r="E19" s="925">
        <v>41640</v>
      </c>
      <c r="F19" s="2800" t="s">
        <v>2892</v>
      </c>
      <c r="G19" s="926">
        <f>'数据-取费表'!B2</f>
        <v>43538</v>
      </c>
      <c r="H19" s="2801" t="s">
        <v>3068</v>
      </c>
      <c r="I19" s="927" t="str">
        <f>IF(H19="季度增幅（自定义）",SUMIF(N21:N24,E2,O21:O24),"")</f>
        <v/>
      </c>
      <c r="J19" s="2798"/>
      <c r="K19" s="1377"/>
      <c r="L19" s="2802" t="s">
        <v>2893</v>
      </c>
      <c r="M19" s="1734">
        <f>ROUND(SUMIF(地价!B2:F2,E2,地价!B25:F25),0)</f>
        <v>258</v>
      </c>
      <c r="N19" s="2803" t="s">
        <v>2894</v>
      </c>
      <c r="O19" s="928">
        <f>ROUNDDOWN(DATEDIF(E19,G19,"M")/3,0)</f>
        <v>20</v>
      </c>
      <c r="P19" s="1374"/>
      <c r="Q19" s="1376"/>
      <c r="R19" s="1376"/>
      <c r="S19" s="1376"/>
      <c r="T19" s="1371"/>
      <c r="U19" s="1371"/>
      <c r="V19" s="1371"/>
      <c r="W19" s="1370"/>
      <c r="X19" s="1370"/>
      <c r="Y19" s="1370"/>
      <c r="Z19" s="1377"/>
      <c r="AA19" s="1378"/>
      <c r="AB19" s="1378"/>
      <c r="AC19" s="1378"/>
      <c r="AD19" s="1378"/>
      <c r="AE19" s="1378"/>
      <c r="AF19" s="2804"/>
      <c r="AG19" s="2805"/>
      <c r="AH19" s="2799"/>
      <c r="AI19" s="2806"/>
      <c r="AJ19" s="2806"/>
      <c r="AK19" s="2806"/>
    </row>
    <row r="20" spans="1:37" s="2741" customFormat="1" ht="27.75" thickBot="1">
      <c r="A20" s="2807" t="s">
        <v>810</v>
      </c>
      <c r="B20" s="2808" t="s">
        <v>2895</v>
      </c>
      <c r="C20" s="929">
        <f ca="1">ROUND(POWER(1+G20,J20-I20)*(POWER(1+G20,I20)-1)/(POWER(1+G20,J20)-1),4)</f>
        <v>0.89419999999999999</v>
      </c>
      <c r="D20" s="2809" t="s">
        <v>2896</v>
      </c>
      <c r="E20" s="1768">
        <f ca="1">存贷款利率!D4/100</f>
        <v>4.3499999999999997E-2</v>
      </c>
      <c r="F20" s="2809" t="s">
        <v>2888</v>
      </c>
      <c r="G20" s="934">
        <f ca="1">SUMIF(M15:P15,E2,M17:P17)</f>
        <v>5.3999999999999999E-2</v>
      </c>
      <c r="H20" s="2809" t="s">
        <v>2897</v>
      </c>
      <c r="I20" s="935">
        <f>SUMIF('数据-取费表'!C6:C15,E2,'数据-取费表'!F6:F15)/COUNTIF('数据-取费表'!C6:C15,E2)</f>
        <v>29.24</v>
      </c>
      <c r="J20" s="936">
        <f>IF(E2="住宅",70,IF(E2="商业",40,50))</f>
        <v>40</v>
      </c>
      <c r="K20" s="1377"/>
      <c r="L20" s="2810" t="s">
        <v>2898</v>
      </c>
      <c r="M20" s="1735">
        <f>ROUND(SUMPRODUCT((地价!A4:A25=YEAR(G19)&amp;"-"&amp;ROUNDUP(MONTH(G19)/3,0))*(地价!B2:F2=E2)*(地价!B4:F25)),0)</f>
        <v>345</v>
      </c>
      <c r="N20" s="2811" t="s">
        <v>2899</v>
      </c>
      <c r="O20" s="2812" t="s">
        <v>2900</v>
      </c>
      <c r="P20" s="2813" t="s">
        <v>2901</v>
      </c>
      <c r="R20" s="1376"/>
      <c r="S20" s="1376"/>
      <c r="T20" s="1371"/>
      <c r="U20" s="1371"/>
      <c r="V20" s="1371"/>
      <c r="W20" s="1370"/>
      <c r="X20" s="1370"/>
      <c r="Y20" s="1370"/>
      <c r="Z20" s="1377"/>
      <c r="AA20" s="1378"/>
      <c r="AB20" s="1378"/>
      <c r="AC20" s="1378"/>
      <c r="AD20" s="1378"/>
      <c r="AE20" s="1378"/>
      <c r="AF20" s="1378"/>
    </row>
    <row r="21" spans="1:37" s="2741" customFormat="1" ht="15">
      <c r="A21" s="2814" t="s">
        <v>811</v>
      </c>
      <c r="B21" s="2815" t="s">
        <v>3099</v>
      </c>
      <c r="C21" s="2957">
        <f>IF(B21="容积率修正",IF(G3&lt;=10,D22,J22),C23)</f>
        <v>1.8629</v>
      </c>
      <c r="D21" s="2816"/>
      <c r="E21" s="2816"/>
      <c r="F21" s="2816"/>
      <c r="G21" s="2816"/>
      <c r="H21" s="2816"/>
      <c r="I21" s="2816"/>
      <c r="J21" s="2817"/>
      <c r="K21" s="1377"/>
      <c r="N21" s="2818" t="s">
        <v>2902</v>
      </c>
      <c r="O21" s="1561"/>
      <c r="P21" s="1562">
        <f>SUMPRODUCT((地价!A3:A25=YEAR(G19)&amp;"-"&amp;ROUNDUP(MONTH(G19)/3,0))*(地价!AD2:AH2=N21)*(地价!AD3:AH25))</f>
        <v>1.5100000000000001E-2</v>
      </c>
      <c r="R21" s="1376"/>
      <c r="S21" s="1376"/>
      <c r="T21" s="1371"/>
      <c r="U21" s="1371"/>
      <c r="V21" s="1371"/>
      <c r="W21" s="1370"/>
      <c r="X21" s="1370"/>
      <c r="Y21" s="1370"/>
      <c r="Z21" s="1377"/>
      <c r="AA21" s="1378"/>
      <c r="AB21" s="1378"/>
      <c r="AC21" s="1378"/>
      <c r="AD21" s="1378"/>
      <c r="AE21" s="1378"/>
      <c r="AF21" s="1378"/>
    </row>
    <row r="22" spans="1:37" s="2741" customFormat="1" ht="14.25">
      <c r="A22" s="2667" t="s">
        <v>2903</v>
      </c>
      <c r="B22" s="2819" t="s">
        <v>2904</v>
      </c>
      <c r="C22" s="2956" t="s">
        <v>2905</v>
      </c>
      <c r="D22" s="2956">
        <f>IF(E22=G22,F22,IF(G3&lt;=10,ROUND(F22+(H22-F22)*(G3-E22)/(G22-E22),4),"——"))</f>
        <v>0.88929999999999998</v>
      </c>
      <c r="E22" s="913">
        <f>ROUNDDOWN(G3,1)</f>
        <v>3.6</v>
      </c>
      <c r="F22" s="29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0.89139999999999997</v>
      </c>
      <c r="G22" s="913">
        <f>ROUNDUP(G3,1)</f>
        <v>3.7</v>
      </c>
      <c r="H22" s="29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0.88449999999999995</v>
      </c>
      <c r="I22" s="2956" t="s">
        <v>155</v>
      </c>
      <c r="J22" s="938" t="str">
        <f>IF(G3&gt;10,D113,"——")</f>
        <v>——</v>
      </c>
      <c r="K22" s="1377"/>
      <c r="N22" s="2818" t="s">
        <v>2906</v>
      </c>
      <c r="O22" s="1561"/>
      <c r="P22" s="1562">
        <f>SUMPRODUCT((地价!A3:A25=YEAR(G19)&amp;"-"&amp;ROUNDUP(MONTH(G19)/3,0))*(地价!AD2:AH2=N22)*(地价!AD3:AH25))</f>
        <v>1.5100000000000001E-2</v>
      </c>
      <c r="R22" s="1376"/>
      <c r="S22" s="1376"/>
      <c r="T22" s="1371"/>
      <c r="U22" s="1371"/>
      <c r="V22" s="1371"/>
      <c r="W22" s="1370"/>
      <c r="X22" s="1370"/>
      <c r="Y22" s="1370"/>
      <c r="Z22" s="1377"/>
      <c r="AA22" s="1378"/>
      <c r="AB22" s="1378"/>
      <c r="AC22" s="1378"/>
      <c r="AD22" s="1378"/>
      <c r="AE22" s="1378"/>
      <c r="AF22" s="1378"/>
    </row>
    <row r="23" spans="1:37" ht="27.75" thickBot="1">
      <c r="A23" s="2667" t="s">
        <v>2907</v>
      </c>
      <c r="B23" s="2820" t="s">
        <v>2908</v>
      </c>
      <c r="C23" s="1013">
        <f>ROUND(IF(G3&gt;1,IF(I3&lt;7,SUMPRODUCT((B93:B98=I3)*(C92:N92=G2)*(C93:N98)),SUMIF(C92:N92,G2,C100:N100)),IF(I3&lt;7,SUMPRODUCT((B102:B107=I3)*(C92:N92=G2)*(C102:N107)),SUMIF(C92:N92,G2,C109:N109))),4)</f>
        <v>1.8629</v>
      </c>
      <c r="D23" s="2776"/>
      <c r="E23" s="2776"/>
      <c r="F23" s="2821"/>
      <c r="G23" s="2822"/>
      <c r="H23" s="2823"/>
      <c r="I23" s="2824"/>
      <c r="J23" s="2825"/>
      <c r="K23" s="1370"/>
      <c r="N23" s="2818" t="s">
        <v>2909</v>
      </c>
      <c r="O23" s="1561"/>
      <c r="P23" s="1562">
        <f>SUMPRODUCT((地价!A3:A25=YEAR(G19)&amp;"-"&amp;ROUNDUP(MONTH(G19)/3,0))*(地价!AD2:AH2=N23)*(地价!AD3:AH25))</f>
        <v>2.3400000000000001E-2</v>
      </c>
      <c r="R23" s="1376"/>
      <c r="S23" s="1376"/>
      <c r="T23" s="1371"/>
      <c r="U23" s="1371"/>
      <c r="V23" s="1371"/>
      <c r="W23" s="1370"/>
      <c r="X23" s="1370"/>
      <c r="Y23" s="1370"/>
      <c r="Z23" s="1377"/>
      <c r="AA23" s="1378"/>
      <c r="AB23" s="1378"/>
      <c r="AC23" s="1378"/>
      <c r="AD23" s="1378"/>
      <c r="AK23" s="2799"/>
    </row>
    <row r="24" spans="1:37" s="2741" customFormat="1" ht="15.75" thickBot="1">
      <c r="A24" s="2807" t="s">
        <v>812</v>
      </c>
      <c r="B24" s="2793" t="s">
        <v>2910</v>
      </c>
      <c r="C24" s="924">
        <f>SUMIF(A45:A88,E2,B45:B88)</f>
        <v>0.99880000000000002</v>
      </c>
      <c r="D24" s="2796"/>
      <c r="E24" s="2826"/>
      <c r="F24" s="2826"/>
      <c r="G24" s="2826"/>
      <c r="H24" s="2826"/>
      <c r="I24" s="2826"/>
      <c r="J24" s="2827"/>
      <c r="K24" s="1377"/>
      <c r="N24" s="2828" t="s">
        <v>2911</v>
      </c>
      <c r="O24" s="1563"/>
      <c r="P24" s="1564">
        <f>SUMPRODUCT((地价!A3:A25=YEAR(G19)&amp;"-"&amp;ROUNDUP(MONTH(G19)/3,0))*(地价!AD2:AH2=N24)*(地价!AD3:AH25))</f>
        <v>1.4200000000000001E-2</v>
      </c>
      <c r="R24" s="1376"/>
      <c r="S24" s="1376"/>
      <c r="T24" s="1371"/>
      <c r="U24" s="1371"/>
      <c r="V24" s="1371"/>
      <c r="W24" s="1370"/>
      <c r="X24" s="1370"/>
      <c r="Y24" s="1370"/>
      <c r="Z24" s="1377"/>
      <c r="AA24" s="1378"/>
      <c r="AB24" s="1378"/>
      <c r="AC24" s="1378"/>
      <c r="AD24" s="1378"/>
      <c r="AE24" s="1378"/>
      <c r="AF24" s="1378"/>
    </row>
    <row r="25" spans="1:37" ht="15.75" thickBot="1">
      <c r="A25" s="2807" t="s">
        <v>813</v>
      </c>
      <c r="B25" s="2829" t="s">
        <v>2912</v>
      </c>
      <c r="C25" s="930"/>
      <c r="D25" s="2751"/>
      <c r="E25" s="2751"/>
      <c r="F25" s="2830"/>
      <c r="G25" s="2751"/>
      <c r="H25" s="2751"/>
      <c r="I25" s="2751"/>
      <c r="J25" s="2752"/>
      <c r="K25" s="1370"/>
      <c r="N25" s="2831" t="s">
        <v>2913</v>
      </c>
      <c r="O25" s="1565"/>
      <c r="P25" s="1564">
        <f>SUMPRODUCT((地价!A3:A25=YEAR(G19)&amp;"-"&amp;ROUNDUP(MONTH(G19)/3,0))*(地价!AD2:AH2=N25)*(地价!AD3:AH25))</f>
        <v>2.1299999999999999E-2</v>
      </c>
      <c r="R25" s="1376"/>
      <c r="S25" s="1376"/>
      <c r="T25" s="1371"/>
      <c r="U25" s="1371"/>
      <c r="V25" s="1371"/>
      <c r="W25" s="1370"/>
      <c r="X25" s="1370"/>
      <c r="Y25" s="1370"/>
      <c r="Z25" s="1377"/>
      <c r="AA25" s="1378"/>
      <c r="AB25" s="1378"/>
      <c r="AC25" s="1378"/>
      <c r="AD25" s="1378"/>
    </row>
    <row r="26" spans="1:37" ht="15">
      <c r="A26" s="2832"/>
      <c r="B26" s="2819" t="s">
        <v>2914</v>
      </c>
      <c r="C26" s="206">
        <f ca="1">E29+SUM(E33:E39)</f>
        <v>5226</v>
      </c>
      <c r="D26" s="2833"/>
      <c r="E26" s="2776"/>
      <c r="F26" s="2834"/>
      <c r="G26" s="2776"/>
      <c r="H26" s="2776"/>
      <c r="I26" s="2776"/>
      <c r="J26" s="2835"/>
      <c r="K26" s="1370"/>
      <c r="R26" s="1376"/>
      <c r="S26" s="1376"/>
      <c r="T26" s="1371"/>
      <c r="U26" s="1371"/>
      <c r="V26" s="1371"/>
      <c r="W26" s="1370"/>
      <c r="X26" s="1370"/>
      <c r="Y26" s="1370"/>
      <c r="Z26" s="1377"/>
      <c r="AA26" s="1378"/>
      <c r="AB26" s="1378"/>
      <c r="AC26" s="1378"/>
      <c r="AD26" s="1378"/>
    </row>
    <row r="27" spans="1:37" ht="15.75" thickBot="1">
      <c r="A27" s="2832"/>
      <c r="B27" s="2836" t="s">
        <v>2915</v>
      </c>
      <c r="C27" s="931">
        <f ca="1">E30+SUM(I33:I39)</f>
        <v>0</v>
      </c>
      <c r="D27" s="2837"/>
      <c r="E27" s="2838"/>
      <c r="F27" s="2839"/>
      <c r="G27" s="2838"/>
      <c r="H27" s="2838"/>
      <c r="I27" s="2838"/>
      <c r="J27" s="2840"/>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41"/>
      <c r="B28" s="2842" t="s">
        <v>2916</v>
      </c>
      <c r="C28" s="2843" t="s">
        <v>2917</v>
      </c>
      <c r="D28" s="2843" t="s">
        <v>2918</v>
      </c>
      <c r="E28" s="2844" t="s">
        <v>2919</v>
      </c>
      <c r="F28" s="2845"/>
      <c r="G28" s="2764"/>
      <c r="H28" s="2764"/>
      <c r="I28" s="2764"/>
      <c r="J28" s="2765"/>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6"/>
      <c r="B29" s="2847" t="s">
        <v>2920</v>
      </c>
      <c r="C29" s="206">
        <f ca="1">ROUND(C5*C18*C19*C20*C21*C24,0)</f>
        <v>22428</v>
      </c>
      <c r="D29" s="2848">
        <f>'数据-基础表'!K14</f>
        <v>2330.23</v>
      </c>
      <c r="E29" s="2960">
        <f ca="1">ROUND(C29*D29/10000,0)</f>
        <v>5226</v>
      </c>
      <c r="F29" s="2849" t="s">
        <v>2921</v>
      </c>
      <c r="G29" s="2850"/>
      <c r="H29" s="2850"/>
      <c r="I29" s="2850"/>
      <c r="J29" s="2851"/>
      <c r="K29" s="1370"/>
      <c r="L29" s="1370"/>
      <c r="M29" s="1370"/>
      <c r="N29" s="1370"/>
      <c r="O29" s="1375"/>
      <c r="P29" s="1375"/>
      <c r="Q29" s="1376"/>
      <c r="R29" s="1376"/>
      <c r="S29" s="1376"/>
      <c r="T29" s="1371"/>
      <c r="U29" s="1371"/>
      <c r="V29" s="1371"/>
      <c r="W29" s="1370"/>
      <c r="X29" s="1370"/>
      <c r="Y29" s="1370"/>
      <c r="Z29" s="1377"/>
      <c r="AA29" s="1378"/>
      <c r="AB29" s="1378"/>
      <c r="AC29" s="1378"/>
      <c r="AD29" s="1378"/>
      <c r="AE29" s="2791"/>
      <c r="AF29" s="2791"/>
      <c r="AG29" s="2723"/>
      <c r="AH29" s="2723"/>
      <c r="AI29" s="2723"/>
      <c r="AJ29" s="2723"/>
    </row>
    <row r="30" spans="1:37" ht="25.5" thickBot="1">
      <c r="A30" s="2852"/>
      <c r="B30" s="2853" t="s">
        <v>2922</v>
      </c>
      <c r="C30" s="229">
        <f ca="1">ROUND(IF(E2="工业",C29*M39,C29*M38),0)</f>
        <v>5607</v>
      </c>
      <c r="D30" s="2854"/>
      <c r="E30" s="2960">
        <f ca="1">ROUND(C30*D30/10000,0)</f>
        <v>0</v>
      </c>
      <c r="F30" s="2855" t="s">
        <v>2923</v>
      </c>
      <c r="G30" s="2856"/>
      <c r="H30" s="2856"/>
      <c r="I30" s="2856"/>
      <c r="J30" s="2857"/>
      <c r="K30" s="1370"/>
      <c r="L30" s="1370"/>
      <c r="M30" s="1370"/>
      <c r="N30" s="1370"/>
      <c r="O30" s="1375"/>
      <c r="P30" s="1375"/>
      <c r="Q30" s="1376"/>
      <c r="R30" s="1376"/>
      <c r="S30" s="1376"/>
      <c r="T30" s="1371"/>
      <c r="U30" s="1371"/>
      <c r="V30" s="1371"/>
      <c r="W30" s="1370"/>
      <c r="X30" s="1370"/>
      <c r="Y30" s="1370"/>
      <c r="Z30" s="1377"/>
      <c r="AA30" s="1378"/>
      <c r="AB30" s="1378"/>
      <c r="AC30" s="1378"/>
      <c r="AD30" s="1378"/>
      <c r="AE30" s="2791"/>
      <c r="AF30" s="2791"/>
      <c r="AG30" s="2723"/>
      <c r="AH30" s="2723"/>
      <c r="AI30" s="2723"/>
      <c r="AJ30" s="2723"/>
    </row>
    <row r="31" spans="1:37" ht="14.25">
      <c r="A31" s="2858"/>
      <c r="B31" s="2859" t="s">
        <v>2924</v>
      </c>
      <c r="C31" s="2860" t="s">
        <v>2925</v>
      </c>
      <c r="D31" s="2764"/>
      <c r="E31" s="2860"/>
      <c r="F31" s="2860"/>
      <c r="G31" s="2762" t="s">
        <v>2926</v>
      </c>
      <c r="H31" s="2764"/>
      <c r="I31" s="2861"/>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91"/>
      <c r="AF31" s="2791"/>
      <c r="AG31" s="2723"/>
      <c r="AH31" s="2723"/>
      <c r="AI31" s="2723"/>
      <c r="AJ31" s="2723"/>
    </row>
    <row r="32" spans="1:37" ht="24">
      <c r="A32" s="2846"/>
      <c r="B32" s="2862"/>
      <c r="C32" s="501" t="s">
        <v>2917</v>
      </c>
      <c r="D32" s="498" t="s">
        <v>2918</v>
      </c>
      <c r="E32" s="498" t="s">
        <v>2919</v>
      </c>
      <c r="F32" s="388" t="s">
        <v>2927</v>
      </c>
      <c r="G32" s="2863" t="s">
        <v>2917</v>
      </c>
      <c r="H32" s="2863" t="s">
        <v>2918</v>
      </c>
      <c r="I32" s="2863" t="s">
        <v>2919</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91"/>
      <c r="AF32" s="2791"/>
      <c r="AG32" s="2723"/>
      <c r="AH32" s="2723"/>
      <c r="AI32" s="2723"/>
      <c r="AJ32" s="2723"/>
    </row>
    <row r="33" spans="1:37" ht="36" customHeight="1">
      <c r="A33" s="3270" t="s">
        <v>2928</v>
      </c>
      <c r="B33" s="2864" t="s">
        <v>2929</v>
      </c>
      <c r="C33" s="206">
        <f ca="1">ROUND(D5*C19*C20*C24*F33,0)</f>
        <v>8428</v>
      </c>
      <c r="D33" s="2848"/>
      <c r="E33" s="200">
        <f ca="1">ROUND(C33*D33/10000,0)</f>
        <v>0</v>
      </c>
      <c r="F33" s="200">
        <f>SUMIF(修正!A45:A56,G2,修正!B45:B56)</f>
        <v>0.7</v>
      </c>
      <c r="G33" s="200">
        <f t="shared" ref="G33" ca="1" si="6">ROUND(IF(E2="工业",C33*$M$39,C33*$M$38),0)</f>
        <v>2107</v>
      </c>
      <c r="H33" s="200">
        <f>D33</f>
        <v>0</v>
      </c>
      <c r="I33" s="200">
        <f ca="1">ROUND(G33*H33/10000,0)</f>
        <v>0</v>
      </c>
      <c r="J33" s="2865"/>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71"/>
      <c r="B34" s="2768" t="s">
        <v>2930</v>
      </c>
      <c r="C34" s="206">
        <f ca="1">ROUND(D5*C19*C20*C24*F34,0)</f>
        <v>4816</v>
      </c>
      <c r="D34" s="2848"/>
      <c r="E34" s="200">
        <f t="shared" ref="E34:E39" ca="1" si="7">ROUND(C34*D34/10000,0)</f>
        <v>0</v>
      </c>
      <c r="F34" s="200">
        <f>SUMIF(修正!A45:A56,G2,修正!C45:C56)</f>
        <v>0.4</v>
      </c>
      <c r="G34" s="200">
        <f ca="1">ROUND(IF(E2="工业",C34*$M$39,C34*$M$38),0)</f>
        <v>1204</v>
      </c>
      <c r="H34" s="200">
        <f t="shared" ref="H34:H39" si="8">D34</f>
        <v>0</v>
      </c>
      <c r="I34" s="200">
        <f t="shared" ref="I34:I39" ca="1" si="9">ROUND(G34*H34/10000,0)</f>
        <v>0</v>
      </c>
      <c r="J34" s="2865"/>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71"/>
      <c r="B35" s="2768" t="s">
        <v>2931</v>
      </c>
      <c r="C35" s="206">
        <f ca="1">ROUND(D5*C19*C20*C24*F35,0)</f>
        <v>3371</v>
      </c>
      <c r="D35" s="2848"/>
      <c r="E35" s="200">
        <f t="shared" ca="1" si="7"/>
        <v>0</v>
      </c>
      <c r="F35" s="200">
        <f>SUMIF(修正!A45:A56,G2,修正!D45:D56)</f>
        <v>0.28000000000000003</v>
      </c>
      <c r="G35" s="200">
        <f ca="1">ROUND(IF(E2="工业",C35*$M$39,C35*$M$38),0)</f>
        <v>843</v>
      </c>
      <c r="H35" s="200">
        <f t="shared" si="8"/>
        <v>0</v>
      </c>
      <c r="I35" s="200">
        <f t="shared" ca="1" si="9"/>
        <v>0</v>
      </c>
      <c r="J35" s="2865"/>
      <c r="K35" s="1370"/>
      <c r="L35" s="1370"/>
      <c r="M35" s="1370"/>
      <c r="N35" s="1370"/>
      <c r="O35" s="1370"/>
      <c r="P35" s="1370"/>
      <c r="Q35" s="1370"/>
      <c r="R35" s="1370"/>
      <c r="S35" s="1370"/>
      <c r="T35" s="1370"/>
      <c r="U35" s="1370"/>
      <c r="V35" s="1370"/>
      <c r="W35" s="1370"/>
      <c r="X35" s="1370"/>
      <c r="Y35" s="1370"/>
      <c r="Z35" s="1371"/>
    </row>
    <row r="36" spans="1:37" ht="13.5" thickBot="1">
      <c r="A36" s="3272"/>
      <c r="B36" s="2768" t="s">
        <v>2932</v>
      </c>
      <c r="C36" s="206">
        <f ca="1">ROUND(D5*C19*C20*C24*F36,0)</f>
        <v>3010</v>
      </c>
      <c r="D36" s="2848"/>
      <c r="E36" s="200">
        <f t="shared" ca="1" si="7"/>
        <v>0</v>
      </c>
      <c r="F36" s="200">
        <f>SUMIF(修正!A45:A56,G2,修正!E45:E56)</f>
        <v>0.25</v>
      </c>
      <c r="G36" s="200">
        <f ca="1">ROUND(IF(E2="工业",C36*$M$39,C36*$M$38),0)</f>
        <v>753</v>
      </c>
      <c r="H36" s="200">
        <f t="shared" si="8"/>
        <v>0</v>
      </c>
      <c r="I36" s="200">
        <f t="shared" ca="1" si="9"/>
        <v>0</v>
      </c>
      <c r="J36" s="2865"/>
      <c r="K36" s="1370"/>
      <c r="L36" s="2722"/>
      <c r="M36" s="2722"/>
      <c r="N36" s="1370"/>
      <c r="O36" s="1370"/>
      <c r="P36" s="1370"/>
      <c r="Q36" s="1370"/>
      <c r="R36" s="1370"/>
      <c r="S36" s="1370"/>
      <c r="T36" s="1370"/>
      <c r="U36" s="1370"/>
      <c r="V36" s="1370"/>
      <c r="W36" s="1370"/>
      <c r="X36" s="1370"/>
      <c r="Y36" s="1370"/>
      <c r="Z36" s="1371"/>
    </row>
    <row r="37" spans="1:37">
      <c r="A37" s="2866"/>
      <c r="B37" s="2768" t="s">
        <v>2933</v>
      </c>
      <c r="C37" s="200">
        <f ca="1">ROUND(D5*C19*C20*C24*F37,0)</f>
        <v>3010</v>
      </c>
      <c r="D37" s="2848"/>
      <c r="E37" s="200">
        <f t="shared" ca="1" si="7"/>
        <v>0</v>
      </c>
      <c r="F37" s="206">
        <f>SUMIF(修正!A45:A56,G2,修正!F45:F56)</f>
        <v>0.25</v>
      </c>
      <c r="G37" s="200">
        <f ca="1">ROUND(IF(E2="工业",C37*$M$39,C37*$M$38),0)</f>
        <v>753</v>
      </c>
      <c r="H37" s="200">
        <f t="shared" si="8"/>
        <v>0</v>
      </c>
      <c r="I37" s="200">
        <f t="shared" ca="1" si="9"/>
        <v>0</v>
      </c>
      <c r="J37" s="2865"/>
      <c r="K37" s="1370"/>
      <c r="L37" s="2867" t="s">
        <v>2934</v>
      </c>
      <c r="M37" s="2868"/>
      <c r="N37" s="1370"/>
      <c r="O37" s="1370"/>
      <c r="P37" s="1370"/>
      <c r="Q37" s="1370"/>
      <c r="R37" s="1370"/>
      <c r="S37" s="1370"/>
      <c r="T37" s="1370"/>
      <c r="U37" s="1370"/>
      <c r="V37" s="1370"/>
      <c r="W37" s="1370"/>
      <c r="X37" s="1370"/>
      <c r="Y37" s="1370"/>
      <c r="Z37" s="1371"/>
    </row>
    <row r="38" spans="1:37">
      <c r="A38" s="2866"/>
      <c r="B38" s="2768" t="s">
        <v>2935</v>
      </c>
      <c r="C38" s="200">
        <f ca="1">ROUND(D5*C19*C41*C24*F38,0)</f>
        <v>3167</v>
      </c>
      <c r="D38" s="2848"/>
      <c r="E38" s="200">
        <f t="shared" ca="1" si="7"/>
        <v>0</v>
      </c>
      <c r="F38" s="206">
        <f>SUMIF(修正!A45:A56,G2,修正!G45:G56)</f>
        <v>0.25</v>
      </c>
      <c r="G38" s="200">
        <f ca="1">ROUND(IF(E2="工业",C38*$M$39,C38*$M$38),0)</f>
        <v>792</v>
      </c>
      <c r="H38" s="200">
        <f t="shared" si="8"/>
        <v>0</v>
      </c>
      <c r="I38" s="200">
        <f t="shared" ca="1" si="9"/>
        <v>0</v>
      </c>
      <c r="J38" s="2865"/>
      <c r="K38" s="1370"/>
      <c r="L38" s="1887" t="s">
        <v>2936</v>
      </c>
      <c r="M38" s="2869">
        <v>0.25</v>
      </c>
      <c r="N38" s="1370"/>
      <c r="O38" s="1370"/>
      <c r="P38" s="1370"/>
      <c r="Q38" s="1370"/>
      <c r="R38" s="1370"/>
      <c r="S38" s="1370"/>
      <c r="T38" s="1370"/>
      <c r="U38" s="1370"/>
      <c r="V38" s="1370"/>
      <c r="W38" s="1370"/>
      <c r="X38" s="1370"/>
      <c r="Y38" s="1370"/>
      <c r="Z38" s="1371"/>
    </row>
    <row r="39" spans="1:37" ht="13.5" thickBot="1">
      <c r="A39" s="2852"/>
      <c r="B39" s="2870" t="s">
        <v>2937</v>
      </c>
      <c r="C39" s="229">
        <f ca="1">ROUND(D5*C19*C41*C24*F39,0)</f>
        <v>2534</v>
      </c>
      <c r="D39" s="2854"/>
      <c r="E39" s="229">
        <f t="shared" ca="1" si="7"/>
        <v>0</v>
      </c>
      <c r="F39" s="932">
        <f>SUMIF(修正!A45:A56,G2,修正!H45:H56)</f>
        <v>0.2</v>
      </c>
      <c r="G39" s="229">
        <f ca="1">ROUND(IF(E2="工业",C39*$M$39,C39*$M$38),0)</f>
        <v>634</v>
      </c>
      <c r="H39" s="229">
        <f t="shared" si="8"/>
        <v>0</v>
      </c>
      <c r="I39" s="229">
        <f t="shared" ca="1" si="9"/>
        <v>0</v>
      </c>
      <c r="J39" s="2871"/>
      <c r="K39" s="1370"/>
      <c r="L39" s="2872" t="s">
        <v>2880</v>
      </c>
      <c r="M39" s="2873">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41" t="s">
        <v>3047</v>
      </c>
      <c r="C41" s="388">
        <f ca="1">ROUND(POWER(1+E41,H41-G41)*(POWER(1+E41,G41)-1)/(POWER(1+E41,H41)-1),4)</f>
        <v>0.94089999999999996</v>
      </c>
      <c r="D41" s="200" t="s">
        <v>2888</v>
      </c>
      <c r="E41" s="2940">
        <f ca="1">G20</f>
        <v>5.3999999999999999E-2</v>
      </c>
      <c r="F41" s="200" t="s">
        <v>2897</v>
      </c>
      <c r="G41" s="218">
        <f>项目基本情况!H15</f>
        <v>39.24</v>
      </c>
      <c r="H41" s="200">
        <v>50</v>
      </c>
      <c r="Z41" s="1371"/>
      <c r="AA41" s="1371"/>
      <c r="AB41" s="1371"/>
      <c r="AC41" s="1371"/>
      <c r="AD41" s="1371"/>
      <c r="AE41" s="1371"/>
      <c r="AF41" s="1371"/>
      <c r="AG41" s="1371"/>
      <c r="AH41" s="1371"/>
      <c r="AI41" s="1371"/>
      <c r="AJ41" s="1371"/>
    </row>
    <row r="42" spans="1:37" s="1370" customFormat="1">
      <c r="A42" s="1371"/>
      <c r="B42" s="2874"/>
      <c r="Z42" s="1371"/>
      <c r="AA42" s="1371"/>
      <c r="AB42" s="1371"/>
      <c r="AC42" s="1371"/>
      <c r="AD42" s="1371"/>
      <c r="AE42" s="1371"/>
      <c r="AF42" s="1371"/>
      <c r="AG42" s="1371"/>
      <c r="AH42" s="1371"/>
      <c r="AI42" s="1371"/>
      <c r="AJ42" s="1371"/>
    </row>
    <row r="43" spans="1:37" s="1370" customFormat="1">
      <c r="A43" s="1371"/>
      <c r="B43" s="2874"/>
      <c r="Z43" s="1371"/>
      <c r="AA43" s="1371"/>
      <c r="AB43" s="1371"/>
      <c r="AC43" s="1371"/>
      <c r="AD43" s="1371"/>
      <c r="AE43" s="1371"/>
      <c r="AF43" s="1371"/>
      <c r="AG43" s="1371"/>
      <c r="AH43" s="1371"/>
      <c r="AI43" s="1371"/>
      <c r="AJ43" s="1371"/>
    </row>
    <row r="44" spans="1:37" s="1370" customFormat="1">
      <c r="A44" s="1371"/>
      <c r="B44" s="2874"/>
      <c r="Z44" s="1371"/>
      <c r="AA44" s="1371"/>
      <c r="AB44" s="1371"/>
      <c r="AC44" s="1371"/>
      <c r="AD44" s="1371"/>
      <c r="AE44" s="1371"/>
      <c r="AF44" s="1371"/>
      <c r="AG44" s="1371"/>
      <c r="AH44" s="1371"/>
      <c r="AI44" s="1371"/>
      <c r="AJ44" s="1371"/>
    </row>
    <row r="45" spans="1:37" s="1370" customFormat="1" ht="15.75" thickBot="1">
      <c r="A45" s="2875" t="s">
        <v>2938</v>
      </c>
      <c r="B45" s="2876"/>
      <c r="C45" s="7"/>
      <c r="D45" s="7"/>
      <c r="E45" s="7"/>
      <c r="F45" s="6"/>
      <c r="G45" s="6"/>
      <c r="H45" s="6"/>
      <c r="I45" s="7"/>
      <c r="J45" s="7"/>
      <c r="K45" s="7"/>
      <c r="L45" s="7"/>
      <c r="M45" s="7"/>
      <c r="N45" s="2791"/>
      <c r="Z45" s="1371"/>
      <c r="AA45" s="1371"/>
      <c r="AB45" s="1371"/>
      <c r="AC45" s="1371"/>
      <c r="AD45" s="1371"/>
      <c r="AE45" s="1371"/>
      <c r="AF45" s="1371"/>
      <c r="AG45" s="1371"/>
      <c r="AH45" s="1371"/>
      <c r="AI45" s="1371"/>
      <c r="AJ45" s="1371"/>
    </row>
    <row r="46" spans="1:37" s="1370" customFormat="1" ht="15">
      <c r="A46" s="2877" t="s">
        <v>2939</v>
      </c>
      <c r="B46" s="2878">
        <f>1+E48</f>
        <v>0.99880000000000002</v>
      </c>
      <c r="C46" s="2879"/>
      <c r="D46" s="811"/>
      <c r="E46" s="812"/>
      <c r="F46" s="2880"/>
      <c r="G46" s="6"/>
      <c r="H46" s="7"/>
      <c r="I46" s="7"/>
      <c r="J46" s="7"/>
      <c r="K46" s="7"/>
      <c r="L46" s="7"/>
      <c r="M46" s="7"/>
      <c r="N46" s="2791"/>
      <c r="Z46" s="1371"/>
      <c r="AA46" s="1371"/>
      <c r="AB46" s="1371"/>
      <c r="AC46" s="1371"/>
      <c r="AD46" s="1371"/>
      <c r="AE46" s="1371"/>
      <c r="AF46" s="1371"/>
      <c r="AG46" s="1371"/>
      <c r="AH46" s="1371"/>
      <c r="AI46" s="1371"/>
      <c r="AJ46" s="1371"/>
    </row>
    <row r="47" spans="1:37" s="1370" customFormat="1" ht="24.75">
      <c r="A47" s="2881" t="s">
        <v>2940</v>
      </c>
      <c r="B47" s="2949" t="s">
        <v>2941</v>
      </c>
      <c r="C47" s="2949" t="s">
        <v>2942</v>
      </c>
      <c r="D47" s="2949" t="s">
        <v>2943</v>
      </c>
      <c r="E47" s="816" t="s">
        <v>2944</v>
      </c>
      <c r="F47" s="2882" t="s">
        <v>2945</v>
      </c>
      <c r="G47" s="2949" t="s">
        <v>754</v>
      </c>
      <c r="H47" s="2883" t="s">
        <v>2946</v>
      </c>
      <c r="I47" s="2949" t="s">
        <v>2947</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38.25">
      <c r="A48" s="2881" t="s">
        <v>2948</v>
      </c>
      <c r="B48" s="2884" t="str">
        <f>估价对象房地状况!C4</f>
        <v>估价对象位于XX商圈，周边商业氛围成熟，人流量大，商业繁华度好</v>
      </c>
      <c r="C48" s="2773" t="s">
        <v>3096</v>
      </c>
      <c r="D48" s="1286">
        <f t="shared" ref="D48:D56" si="10">SUMIF($J$47:$N$47,C48,J48:N48)</f>
        <v>0</v>
      </c>
      <c r="E48" s="818">
        <f>ROUND(SUM(D48:D56),4)</f>
        <v>-1.1999999999999999E-3</v>
      </c>
      <c r="F48" s="2504">
        <f>IF(E2="商业",SUMIF(L1:L12,G2,N1:N12),"——")</f>
        <v>0.121</v>
      </c>
      <c r="G48" s="1284">
        <v>1.9900000000000001E-2</v>
      </c>
      <c r="H48" s="1288">
        <f t="shared" ref="H48:H56" si="11">IFERROR(ROUNDDOWN($F$48*I48/2,4),"——")</f>
        <v>1.9900000000000001E-2</v>
      </c>
      <c r="I48" s="817">
        <v>0.33</v>
      </c>
      <c r="J48" s="1285">
        <f t="shared" ref="J48:J56" si="12">K48+$G48</f>
        <v>3.9800000000000002E-2</v>
      </c>
      <c r="K48" s="1285">
        <f t="shared" ref="K48:K56" si="13">$L48+$G48</f>
        <v>1.9900000000000001E-2</v>
      </c>
      <c r="L48" s="1285">
        <v>0</v>
      </c>
      <c r="M48" s="1285">
        <f t="shared" ref="M48:N56" si="14">L48-$G48</f>
        <v>-1.9900000000000001E-2</v>
      </c>
      <c r="N48" s="1285">
        <f t="shared" si="14"/>
        <v>-3.9800000000000002E-2</v>
      </c>
      <c r="AA48" s="1371"/>
      <c r="AB48" s="1371"/>
      <c r="AC48" s="1371"/>
      <c r="AD48" s="1371"/>
      <c r="AE48" s="1371"/>
      <c r="AF48" s="1371"/>
      <c r="AG48" s="1371"/>
      <c r="AH48" s="1371"/>
      <c r="AI48" s="1371"/>
      <c r="AJ48" s="1371"/>
      <c r="AK48" s="1371"/>
    </row>
    <row r="49" spans="1:37" s="1370" customFormat="1" ht="51">
      <c r="A49" s="2881" t="s">
        <v>2949</v>
      </c>
      <c r="B49" s="2885" t="str">
        <f>估价对象房地状况!C18</f>
        <v>估价对象周边道路状况、公共交通通达情况、停车便捷程度，综合评价交通便捷度较好</v>
      </c>
      <c r="C49" s="2773" t="s">
        <v>3096</v>
      </c>
      <c r="D49" s="1286">
        <f t="shared" si="10"/>
        <v>0</v>
      </c>
      <c r="E49" s="819"/>
      <c r="F49" s="2504"/>
      <c r="G49" s="1284">
        <v>1.5100000000000001E-2</v>
      </c>
      <c r="H49" s="1288">
        <f t="shared" si="11"/>
        <v>1.5100000000000001E-2</v>
      </c>
      <c r="I49" s="817">
        <v>0.25</v>
      </c>
      <c r="J49" s="1285">
        <f t="shared" si="12"/>
        <v>3.0200000000000001E-2</v>
      </c>
      <c r="K49" s="1285">
        <f t="shared" si="13"/>
        <v>1.5100000000000001E-2</v>
      </c>
      <c r="L49" s="1285">
        <v>0</v>
      </c>
      <c r="M49" s="1285">
        <f t="shared" si="14"/>
        <v>-1.5100000000000001E-2</v>
      </c>
      <c r="N49" s="1285">
        <f t="shared" si="14"/>
        <v>-3.0200000000000001E-2</v>
      </c>
      <c r="AA49" s="1371"/>
      <c r="AB49" s="1371"/>
      <c r="AC49" s="1371"/>
      <c r="AD49" s="1371"/>
      <c r="AE49" s="1371"/>
      <c r="AF49" s="1371"/>
      <c r="AG49" s="1371"/>
      <c r="AH49" s="1371"/>
      <c r="AI49" s="1371"/>
      <c r="AJ49" s="1371"/>
      <c r="AK49" s="1371"/>
    </row>
    <row r="50" spans="1:37" s="1370" customFormat="1" ht="24">
      <c r="A50" s="2881" t="s">
        <v>2950</v>
      </c>
      <c r="B50" s="2885">
        <f>估价对象房地状况!C19</f>
        <v>0</v>
      </c>
      <c r="C50" s="2773" t="s">
        <v>3096</v>
      </c>
      <c r="D50" s="1286">
        <f t="shared" si="10"/>
        <v>0</v>
      </c>
      <c r="E50" s="819"/>
      <c r="F50" s="2504"/>
      <c r="G50" s="1284">
        <v>3.0000000000000001E-3</v>
      </c>
      <c r="H50" s="1288">
        <f t="shared" si="11"/>
        <v>3.0000000000000001E-3</v>
      </c>
      <c r="I50" s="817">
        <v>0.05</v>
      </c>
      <c r="J50" s="1285">
        <f t="shared" si="12"/>
        <v>6.0000000000000001E-3</v>
      </c>
      <c r="K50" s="1285">
        <f t="shared" si="13"/>
        <v>3.0000000000000001E-3</v>
      </c>
      <c r="L50" s="1285">
        <v>0</v>
      </c>
      <c r="M50" s="1285">
        <f t="shared" si="14"/>
        <v>-3.0000000000000001E-3</v>
      </c>
      <c r="N50" s="1285">
        <f t="shared" si="14"/>
        <v>-6.0000000000000001E-3</v>
      </c>
      <c r="AA50" s="1371"/>
      <c r="AB50" s="1371"/>
      <c r="AC50" s="1371"/>
      <c r="AD50" s="1371"/>
      <c r="AE50" s="1371"/>
      <c r="AF50" s="1371"/>
      <c r="AG50" s="1371"/>
      <c r="AH50" s="1371"/>
      <c r="AI50" s="1371"/>
      <c r="AJ50" s="1371"/>
      <c r="AK50" s="1371"/>
    </row>
    <row r="51" spans="1:37" s="1370" customFormat="1" ht="36.75">
      <c r="A51" s="2881" t="s">
        <v>2951</v>
      </c>
      <c r="B51" s="2886" t="s">
        <v>2952</v>
      </c>
      <c r="C51" s="2773" t="s">
        <v>3097</v>
      </c>
      <c r="D51" s="1286">
        <f t="shared" si="10"/>
        <v>-3.0000000000000001E-3</v>
      </c>
      <c r="E51" s="819"/>
      <c r="F51" s="2504"/>
      <c r="G51" s="1284">
        <v>3.0000000000000001E-3</v>
      </c>
      <c r="H51" s="1288">
        <f t="shared" si="11"/>
        <v>3.0000000000000001E-3</v>
      </c>
      <c r="I51" s="817">
        <v>0.05</v>
      </c>
      <c r="J51" s="1285">
        <f t="shared" si="12"/>
        <v>6.0000000000000001E-3</v>
      </c>
      <c r="K51" s="1285">
        <f t="shared" si="13"/>
        <v>3.0000000000000001E-3</v>
      </c>
      <c r="L51" s="1285">
        <v>0</v>
      </c>
      <c r="M51" s="1285">
        <f t="shared" si="14"/>
        <v>-3.0000000000000001E-3</v>
      </c>
      <c r="N51" s="1285">
        <f t="shared" si="14"/>
        <v>-6.0000000000000001E-3</v>
      </c>
      <c r="AA51" s="1371"/>
      <c r="AB51" s="1371"/>
      <c r="AC51" s="1371"/>
      <c r="AD51" s="1371"/>
      <c r="AE51" s="1371"/>
      <c r="AF51" s="1371"/>
      <c r="AG51" s="1371"/>
      <c r="AH51" s="1371"/>
      <c r="AI51" s="1371"/>
      <c r="AJ51" s="1371"/>
      <c r="AK51" s="1371"/>
    </row>
    <row r="52" spans="1:37" s="1370" customFormat="1" ht="24">
      <c r="A52" s="2881" t="s">
        <v>2953</v>
      </c>
      <c r="B52" s="2885">
        <f>估价对象房地状况!C24</f>
        <v>0</v>
      </c>
      <c r="C52" s="2773" t="s">
        <v>3097</v>
      </c>
      <c r="D52" s="1286">
        <f t="shared" si="10"/>
        <v>-4.7999999999999996E-3</v>
      </c>
      <c r="E52" s="819"/>
      <c r="F52" s="2504"/>
      <c r="G52" s="1284">
        <v>4.7999999999999996E-3</v>
      </c>
      <c r="H52" s="1288">
        <f t="shared" si="11"/>
        <v>4.7999999999999996E-3</v>
      </c>
      <c r="I52" s="817">
        <v>0.08</v>
      </c>
      <c r="J52" s="1285">
        <f t="shared" si="12"/>
        <v>9.5999999999999992E-3</v>
      </c>
      <c r="K52" s="1285">
        <f t="shared" si="13"/>
        <v>4.7999999999999996E-3</v>
      </c>
      <c r="L52" s="1285">
        <v>0</v>
      </c>
      <c r="M52" s="1285">
        <f t="shared" si="14"/>
        <v>-4.7999999999999996E-3</v>
      </c>
      <c r="N52" s="1285">
        <f t="shared" si="14"/>
        <v>-9.5999999999999992E-3</v>
      </c>
      <c r="AA52" s="1371"/>
      <c r="AB52" s="1371"/>
      <c r="AC52" s="1371"/>
      <c r="AD52" s="1371"/>
      <c r="AE52" s="1371"/>
      <c r="AF52" s="1371"/>
      <c r="AG52" s="1371"/>
      <c r="AH52" s="1371"/>
      <c r="AI52" s="1371"/>
      <c r="AJ52" s="1371"/>
      <c r="AK52" s="1371"/>
    </row>
    <row r="53" spans="1:37" s="1370" customFormat="1" ht="24">
      <c r="A53" s="2881" t="s">
        <v>2954</v>
      </c>
      <c r="B53" s="2887" t="s">
        <v>2955</v>
      </c>
      <c r="C53" s="2773" t="s">
        <v>3096</v>
      </c>
      <c r="D53" s="1286">
        <f t="shared" si="10"/>
        <v>0</v>
      </c>
      <c r="E53" s="819"/>
      <c r="F53" s="2504"/>
      <c r="G53" s="1284">
        <v>1.8E-3</v>
      </c>
      <c r="H53" s="1288">
        <f t="shared" si="11"/>
        <v>1.8E-3</v>
      </c>
      <c r="I53" s="817">
        <v>0.03</v>
      </c>
      <c r="J53" s="1285">
        <f t="shared" si="12"/>
        <v>3.5999999999999999E-3</v>
      </c>
      <c r="K53" s="1285">
        <f t="shared" si="13"/>
        <v>1.8E-3</v>
      </c>
      <c r="L53" s="1285">
        <v>0</v>
      </c>
      <c r="M53" s="1285">
        <f t="shared" si="14"/>
        <v>-1.8E-3</v>
      </c>
      <c r="N53" s="1285">
        <f t="shared" si="14"/>
        <v>-3.5999999999999999E-3</v>
      </c>
      <c r="AA53" s="1371"/>
      <c r="AB53" s="1371"/>
      <c r="AC53" s="1371"/>
      <c r="AD53" s="1371"/>
      <c r="AE53" s="1371"/>
      <c r="AF53" s="1371"/>
      <c r="AG53" s="1371"/>
      <c r="AH53" s="1371"/>
      <c r="AI53" s="1371"/>
      <c r="AJ53" s="1371"/>
      <c r="AK53" s="1371"/>
    </row>
    <row r="54" spans="1:37" s="1370" customFormat="1" ht="25.5">
      <c r="A54" s="2888" t="s">
        <v>2956</v>
      </c>
      <c r="B54" s="1725" t="str">
        <f>估价对象房地状况!C21</f>
        <v>估价对象所在区域公共配套设施齐备情况</v>
      </c>
      <c r="C54" s="2773" t="s">
        <v>3089</v>
      </c>
      <c r="D54" s="1286">
        <f t="shared" si="10"/>
        <v>3.0000000000000001E-3</v>
      </c>
      <c r="E54" s="819"/>
      <c r="F54" s="2504"/>
      <c r="G54" s="1284">
        <v>3.0000000000000001E-3</v>
      </c>
      <c r="H54" s="1288">
        <f t="shared" si="11"/>
        <v>3.0000000000000001E-3</v>
      </c>
      <c r="I54" s="817">
        <v>0.05</v>
      </c>
      <c r="J54" s="1285">
        <f t="shared" si="12"/>
        <v>6.0000000000000001E-3</v>
      </c>
      <c r="K54" s="1285">
        <f t="shared" si="13"/>
        <v>3.0000000000000001E-3</v>
      </c>
      <c r="L54" s="1285">
        <v>0</v>
      </c>
      <c r="M54" s="1285">
        <f t="shared" si="14"/>
        <v>-3.0000000000000001E-3</v>
      </c>
      <c r="N54" s="1285">
        <f t="shared" si="14"/>
        <v>-6.0000000000000001E-3</v>
      </c>
      <c r="AA54" s="1371"/>
      <c r="AB54" s="1371"/>
      <c r="AC54" s="1371"/>
      <c r="AD54" s="1371"/>
      <c r="AE54" s="1371"/>
      <c r="AF54" s="1371"/>
      <c r="AG54" s="1371"/>
      <c r="AH54" s="1371"/>
      <c r="AI54" s="1371"/>
      <c r="AJ54" s="1371"/>
      <c r="AK54" s="1371"/>
    </row>
    <row r="55" spans="1:37" s="1370" customFormat="1" ht="25.5">
      <c r="A55" s="2888" t="s">
        <v>2957</v>
      </c>
      <c r="B55" s="2885" t="str">
        <f>估价对象房地状况!C22</f>
        <v>估价对象所在区域基础设施水平</v>
      </c>
      <c r="C55" s="2773" t="s">
        <v>3096</v>
      </c>
      <c r="D55" s="1286">
        <f t="shared" si="10"/>
        <v>0</v>
      </c>
      <c r="E55" s="819"/>
      <c r="F55" s="2504"/>
      <c r="G55" s="1284">
        <v>6.0000000000000001E-3</v>
      </c>
      <c r="H55" s="1288">
        <f t="shared" si="11"/>
        <v>6.0000000000000001E-3</v>
      </c>
      <c r="I55" s="817">
        <v>0.1</v>
      </c>
      <c r="J55" s="1285">
        <f t="shared" si="12"/>
        <v>1.2E-2</v>
      </c>
      <c r="K55" s="1285">
        <f t="shared" si="13"/>
        <v>6.0000000000000001E-3</v>
      </c>
      <c r="L55" s="1285">
        <v>0</v>
      </c>
      <c r="M55" s="1285">
        <f t="shared" si="14"/>
        <v>-6.0000000000000001E-3</v>
      </c>
      <c r="N55" s="1285">
        <f t="shared" si="14"/>
        <v>-1.2E-2</v>
      </c>
      <c r="AA55" s="1371"/>
      <c r="AB55" s="1371"/>
      <c r="AC55" s="1371"/>
      <c r="AD55" s="1371"/>
      <c r="AE55" s="1371"/>
      <c r="AF55" s="1371"/>
      <c r="AG55" s="1371"/>
      <c r="AH55" s="1371"/>
      <c r="AI55" s="1371"/>
      <c r="AJ55" s="1371"/>
      <c r="AK55" s="1371"/>
    </row>
    <row r="56" spans="1:37" s="1370" customFormat="1" ht="39" thickBot="1">
      <c r="A56" s="2889" t="s">
        <v>2958</v>
      </c>
      <c r="B56" s="2890" t="str">
        <f>估价对象房地状况!C20</f>
        <v>区域自然环境：；人文环境；综合评价环境状况一般</v>
      </c>
      <c r="C56" s="2773" t="s">
        <v>3089</v>
      </c>
      <c r="D56" s="1286">
        <f t="shared" si="10"/>
        <v>3.5999999999999999E-3</v>
      </c>
      <c r="E56" s="822"/>
      <c r="F56" s="2504"/>
      <c r="G56" s="1284">
        <v>3.5999999999999999E-3</v>
      </c>
      <c r="H56" s="1288">
        <f t="shared" si="11"/>
        <v>3.5999999999999999E-3</v>
      </c>
      <c r="I56" s="821">
        <v>0.06</v>
      </c>
      <c r="J56" s="1285">
        <f t="shared" si="12"/>
        <v>7.1999999999999998E-3</v>
      </c>
      <c r="K56" s="1285">
        <f t="shared" si="13"/>
        <v>3.5999999999999999E-3</v>
      </c>
      <c r="L56" s="1285">
        <v>0</v>
      </c>
      <c r="M56" s="1285">
        <f t="shared" si="14"/>
        <v>-3.5999999999999999E-3</v>
      </c>
      <c r="N56" s="1285">
        <f t="shared" si="14"/>
        <v>-7.1999999999999998E-3</v>
      </c>
      <c r="AA56" s="1371"/>
      <c r="AB56" s="1371"/>
      <c r="AC56" s="1371"/>
      <c r="AD56" s="1371"/>
      <c r="AE56" s="1371"/>
      <c r="AF56" s="1371"/>
      <c r="AG56" s="1371"/>
      <c r="AH56" s="1371"/>
      <c r="AI56" s="1371"/>
      <c r="AJ56" s="1371"/>
      <c r="AK56" s="1371"/>
    </row>
    <row r="57" spans="1:37" s="1370" customFormat="1" ht="15" hidden="1">
      <c r="A57" s="2877" t="s">
        <v>2959</v>
      </c>
      <c r="B57" s="2878">
        <f>1+E59</f>
        <v>1</v>
      </c>
      <c r="C57" s="811"/>
      <c r="D57" s="811"/>
      <c r="E57" s="812"/>
      <c r="F57" s="2880"/>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hidden="1">
      <c r="A58" s="2881" t="s">
        <v>2940</v>
      </c>
      <c r="B58" s="2949"/>
      <c r="C58" s="2949" t="s">
        <v>2942</v>
      </c>
      <c r="D58" s="2949" t="s">
        <v>2943</v>
      </c>
      <c r="E58" s="816" t="s">
        <v>2944</v>
      </c>
      <c r="F58" s="2882" t="s">
        <v>2960</v>
      </c>
      <c r="G58" s="2949" t="s">
        <v>754</v>
      </c>
      <c r="H58" s="2883" t="s">
        <v>2946</v>
      </c>
      <c r="I58" s="2949" t="s">
        <v>2947</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38.25" hidden="1">
      <c r="A59" s="2881" t="s">
        <v>2961</v>
      </c>
      <c r="B59" s="2884" t="str">
        <f>估价对象房地状况!C17</f>
        <v>估价对象位于XX商圈，周边办公楼项目较多，入驻率高，办公集聚程度较好</v>
      </c>
      <c r="C59" s="2773"/>
      <c r="D59" s="1286">
        <f t="shared" ref="D59:D67" si="15">SUMIF($J$58:$N$58,C59,J59:N59)</f>
        <v>0</v>
      </c>
      <c r="E59" s="818">
        <f>ROUND(SUM(D59:D67),4)</f>
        <v>0</v>
      </c>
      <c r="F59" s="2504" t="str">
        <f>IF(E2="办公",SUMIF(L1:L12,G2,N1:N12),"——")</f>
        <v>——</v>
      </c>
      <c r="G59" s="1284"/>
      <c r="H59" s="1288" t="str">
        <f t="shared" ref="H59:H67" si="16">IFERROR(ROUNDDOWN($F$59*I59/2,4),"——")</f>
        <v>——</v>
      </c>
      <c r="I59" s="817">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hidden="1">
      <c r="A60" s="2881" t="s">
        <v>2949</v>
      </c>
      <c r="B60" s="2885" t="str">
        <f>估价对象房地状况!C18</f>
        <v>估价对象周边道路状况、公共交通通达情况、停车便捷程度，综合评价交通便捷度较好</v>
      </c>
      <c r="C60" s="2773"/>
      <c r="D60" s="1286">
        <f t="shared" si="15"/>
        <v>0</v>
      </c>
      <c r="E60" s="819"/>
      <c r="F60" s="2504"/>
      <c r="G60" s="1284"/>
      <c r="H60" s="1288" t="str">
        <f t="shared" si="16"/>
        <v>——</v>
      </c>
      <c r="I60" s="817">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hidden="1">
      <c r="A61" s="2881" t="s">
        <v>2950</v>
      </c>
      <c r="B61" s="2885">
        <f>估价对象房地状况!C19</f>
        <v>0</v>
      </c>
      <c r="C61" s="2773"/>
      <c r="D61" s="1286">
        <f t="shared" si="15"/>
        <v>0</v>
      </c>
      <c r="E61" s="819"/>
      <c r="F61" s="2504"/>
      <c r="G61" s="1284"/>
      <c r="H61" s="1288" t="str">
        <f t="shared" si="16"/>
        <v>——</v>
      </c>
      <c r="I61" s="817">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hidden="1">
      <c r="A62" s="2881" t="s">
        <v>2951</v>
      </c>
      <c r="B62" s="2886" t="s">
        <v>2952</v>
      </c>
      <c r="C62" s="2773"/>
      <c r="D62" s="1286">
        <f t="shared" si="15"/>
        <v>0</v>
      </c>
      <c r="E62" s="819"/>
      <c r="F62" s="2504"/>
      <c r="G62" s="1284"/>
      <c r="H62" s="1288" t="str">
        <f t="shared" si="16"/>
        <v>——</v>
      </c>
      <c r="I62" s="817">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hidden="1">
      <c r="A63" s="2881" t="s">
        <v>2953</v>
      </c>
      <c r="B63" s="2885">
        <f>估价对象房地状况!C24</f>
        <v>0</v>
      </c>
      <c r="C63" s="2773"/>
      <c r="D63" s="1286">
        <f t="shared" si="15"/>
        <v>0</v>
      </c>
      <c r="E63" s="819"/>
      <c r="F63" s="2504"/>
      <c r="G63" s="1284"/>
      <c r="H63" s="1288" t="str">
        <f t="shared" si="16"/>
        <v>——</v>
      </c>
      <c r="I63" s="817">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hidden="1">
      <c r="A64" s="2881" t="s">
        <v>2954</v>
      </c>
      <c r="B64" s="2887" t="s">
        <v>2955</v>
      </c>
      <c r="C64" s="2773"/>
      <c r="D64" s="1286">
        <f t="shared" si="15"/>
        <v>0</v>
      </c>
      <c r="E64" s="819"/>
      <c r="F64" s="2504"/>
      <c r="G64" s="1284"/>
      <c r="H64" s="1288" t="str">
        <f t="shared" si="16"/>
        <v>——</v>
      </c>
      <c r="I64" s="817">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hidden="1">
      <c r="A65" s="2881" t="s">
        <v>2956</v>
      </c>
      <c r="B65" s="1725" t="str">
        <f>估价对象房地状况!C21</f>
        <v>估价对象所在区域公共配套设施齐备情况</v>
      </c>
      <c r="C65" s="2773"/>
      <c r="D65" s="1286">
        <f t="shared" si="15"/>
        <v>0</v>
      </c>
      <c r="E65" s="819"/>
      <c r="F65" s="2504"/>
      <c r="G65" s="1284"/>
      <c r="H65" s="1288" t="str">
        <f t="shared" si="16"/>
        <v>——</v>
      </c>
      <c r="I65" s="817">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hidden="1">
      <c r="A66" s="2881" t="s">
        <v>2957</v>
      </c>
      <c r="B66" s="1725" t="str">
        <f>估价对象房地状况!C22</f>
        <v>估价对象所在区域基础设施水平</v>
      </c>
      <c r="C66" s="2773"/>
      <c r="D66" s="1286">
        <f t="shared" si="15"/>
        <v>0</v>
      </c>
      <c r="E66" s="819"/>
      <c r="F66" s="2504"/>
      <c r="G66" s="1284"/>
      <c r="H66" s="1288" t="str">
        <f t="shared" si="16"/>
        <v>——</v>
      </c>
      <c r="I66" s="817">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hidden="1" thickBot="1">
      <c r="A67" s="2889" t="s">
        <v>2958</v>
      </c>
      <c r="B67" s="2891" t="str">
        <f>估价对象房地状况!C20</f>
        <v>区域自然环境：；人文环境；综合评价环境状况一般</v>
      </c>
      <c r="C67" s="2773"/>
      <c r="D67" s="1286">
        <f t="shared" si="15"/>
        <v>0</v>
      </c>
      <c r="E67" s="822"/>
      <c r="F67" s="2504"/>
      <c r="G67" s="1284"/>
      <c r="H67" s="1288" t="str">
        <f t="shared" si="16"/>
        <v>——</v>
      </c>
      <c r="I67" s="821">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hidden="1">
      <c r="A68" s="2877" t="s">
        <v>2962</v>
      </c>
      <c r="B68" s="2878">
        <f>1+E70</f>
        <v>1</v>
      </c>
      <c r="C68" s="811"/>
      <c r="D68" s="811"/>
      <c r="E68" s="812"/>
      <c r="F68" s="2880"/>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hidden="1">
      <c r="A69" s="2881" t="s">
        <v>2940</v>
      </c>
      <c r="B69" s="2949"/>
      <c r="C69" s="2949" t="s">
        <v>2942</v>
      </c>
      <c r="D69" s="2949" t="s">
        <v>2943</v>
      </c>
      <c r="E69" s="816" t="s">
        <v>2944</v>
      </c>
      <c r="F69" s="2882" t="s">
        <v>2960</v>
      </c>
      <c r="G69" s="2949" t="s">
        <v>754</v>
      </c>
      <c r="H69" s="2883" t="s">
        <v>2946</v>
      </c>
      <c r="I69" s="2949" t="s">
        <v>2947</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51" hidden="1">
      <c r="A70" s="2881" t="s">
        <v>2963</v>
      </c>
      <c r="B70" s="2884" t="str">
        <f>估价对象房地状况!C15</f>
        <v>估价对象周边居住用地比例、居住小区规模和社区发展完善程度，综合评价居住社区成熟度一般</v>
      </c>
      <c r="C70" s="2773"/>
      <c r="D70" s="1286">
        <f t="shared" ref="D70:D78" si="20">SUMIF($J$69:$N$69,C70,J70:N70)</f>
        <v>0</v>
      </c>
      <c r="E70" s="818">
        <f>ROUND(SUM(D70:D78),4)</f>
        <v>0</v>
      </c>
      <c r="F70" s="2504" t="str">
        <f>IF(E2="住宅",SUMIF(L1:L12,G2,N1:N12),"——")</f>
        <v>——</v>
      </c>
      <c r="G70" s="1284"/>
      <c r="H70" s="1288" t="str">
        <f t="shared" ref="H70:H78" si="21">IFERROR(ROUNDDOWN($F$70*I70/2,4),"——")</f>
        <v>——</v>
      </c>
      <c r="I70" s="817">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hidden="1">
      <c r="A71" s="2881" t="s">
        <v>2949</v>
      </c>
      <c r="B71" s="2885" t="str">
        <f>估价对象房地状况!C18</f>
        <v>估价对象周边道路状况、公共交通通达情况、停车便捷程度，综合评价交通便捷度较好</v>
      </c>
      <c r="C71" s="2773"/>
      <c r="D71" s="1286">
        <f t="shared" si="20"/>
        <v>0</v>
      </c>
      <c r="E71" s="823"/>
      <c r="F71" s="2504"/>
      <c r="G71" s="1284"/>
      <c r="H71" s="1288" t="str">
        <f t="shared" si="21"/>
        <v>——</v>
      </c>
      <c r="I71" s="817">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hidden="1">
      <c r="A72" s="2881" t="s">
        <v>2950</v>
      </c>
      <c r="B72" s="2885">
        <f>估价对象房地状况!C19</f>
        <v>0</v>
      </c>
      <c r="C72" s="2773"/>
      <c r="D72" s="1286">
        <f t="shared" si="20"/>
        <v>0</v>
      </c>
      <c r="E72" s="823"/>
      <c r="F72" s="2504"/>
      <c r="G72" s="1284"/>
      <c r="H72" s="1288" t="str">
        <f t="shared" si="21"/>
        <v>——</v>
      </c>
      <c r="I72" s="817">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hidden="1">
      <c r="A73" s="2881" t="s">
        <v>2964</v>
      </c>
      <c r="B73" s="2885">
        <f>估价对象房地状况!C24</f>
        <v>0</v>
      </c>
      <c r="C73" s="2773"/>
      <c r="D73" s="1286">
        <f t="shared" si="20"/>
        <v>0</v>
      </c>
      <c r="E73" s="823"/>
      <c r="F73" s="2504"/>
      <c r="G73" s="1284"/>
      <c r="H73" s="1288" t="str">
        <f t="shared" si="21"/>
        <v>——</v>
      </c>
      <c r="I73" s="817">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hidden="1">
      <c r="A74" s="2881" t="s">
        <v>2956</v>
      </c>
      <c r="B74" s="1725" t="str">
        <f>估价对象房地状况!C21</f>
        <v>估价对象所在区域公共配套设施齐备情况</v>
      </c>
      <c r="C74" s="2773"/>
      <c r="D74" s="1286">
        <f t="shared" si="20"/>
        <v>0</v>
      </c>
      <c r="E74" s="823"/>
      <c r="F74" s="2504"/>
      <c r="G74" s="1284"/>
      <c r="H74" s="1288" t="str">
        <f t="shared" si="21"/>
        <v>——</v>
      </c>
      <c r="I74" s="817">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hidden="1">
      <c r="A75" s="2881" t="s">
        <v>2957</v>
      </c>
      <c r="B75" s="1725" t="str">
        <f>估价对象房地状况!C22</f>
        <v>估价对象所在区域基础设施水平</v>
      </c>
      <c r="C75" s="2773"/>
      <c r="D75" s="1286">
        <f t="shared" si="20"/>
        <v>0</v>
      </c>
      <c r="E75" s="823"/>
      <c r="F75" s="2504"/>
      <c r="G75" s="1284"/>
      <c r="H75" s="1288" t="str">
        <f t="shared" si="21"/>
        <v>——</v>
      </c>
      <c r="I75" s="817">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2" customFormat="1" ht="24" hidden="1">
      <c r="A76" s="2881" t="s">
        <v>2954</v>
      </c>
      <c r="B76" s="2887" t="s">
        <v>2955</v>
      </c>
      <c r="C76" s="2773"/>
      <c r="D76" s="1286">
        <f t="shared" si="20"/>
        <v>0</v>
      </c>
      <c r="E76" s="823"/>
      <c r="F76" s="2504"/>
      <c r="G76" s="1284"/>
      <c r="H76" s="1288" t="str">
        <f t="shared" si="21"/>
        <v>——</v>
      </c>
      <c r="I76" s="817">
        <v>0.05</v>
      </c>
      <c r="J76" s="1285">
        <f t="shared" si="22"/>
        <v>0</v>
      </c>
      <c r="K76" s="1285">
        <f t="shared" si="23"/>
        <v>0</v>
      </c>
      <c r="L76" s="1285">
        <v>0</v>
      </c>
      <c r="M76" s="1285">
        <f t="shared" si="24"/>
        <v>0</v>
      </c>
      <c r="N76" s="1285">
        <f t="shared" si="24"/>
        <v>0</v>
      </c>
      <c r="AA76" s="2892"/>
      <c r="AB76" s="1371"/>
      <c r="AC76" s="1371"/>
      <c r="AD76" s="1371"/>
      <c r="AE76" s="1371"/>
      <c r="AF76" s="1371"/>
      <c r="AG76" s="1371"/>
      <c r="AH76" s="2892"/>
      <c r="AI76" s="2892"/>
      <c r="AJ76" s="2892"/>
      <c r="AK76" s="2892"/>
    </row>
    <row r="77" spans="1:37" ht="38.25" hidden="1">
      <c r="A77" s="2881" t="s">
        <v>2958</v>
      </c>
      <c r="B77" s="2884" t="str">
        <f>估价对象房地状况!C20</f>
        <v>区域自然环境：；人文环境；综合评价环境状况一般</v>
      </c>
      <c r="C77" s="2773"/>
      <c r="D77" s="1286">
        <f t="shared" si="20"/>
        <v>0</v>
      </c>
      <c r="E77" s="823"/>
      <c r="F77" s="2504"/>
      <c r="G77" s="1284"/>
      <c r="H77" s="1288" t="str">
        <f t="shared" si="21"/>
        <v>——</v>
      </c>
      <c r="I77" s="817">
        <v>0.15</v>
      </c>
      <c r="J77" s="1285">
        <f t="shared" si="22"/>
        <v>0</v>
      </c>
      <c r="K77" s="1285">
        <f t="shared" si="23"/>
        <v>0</v>
      </c>
      <c r="L77" s="1285">
        <v>0</v>
      </c>
      <c r="M77" s="1285">
        <f t="shared" si="24"/>
        <v>0</v>
      </c>
      <c r="N77" s="1285">
        <f t="shared" si="24"/>
        <v>0</v>
      </c>
      <c r="Z77" s="2723"/>
      <c r="AA77" s="2799"/>
      <c r="AG77" s="1372"/>
      <c r="AK77" s="2799"/>
    </row>
    <row r="78" spans="1:37" ht="24.75" hidden="1" thickBot="1">
      <c r="A78" s="2889" t="s">
        <v>2965</v>
      </c>
      <c r="B78" s="2893"/>
      <c r="C78" s="2773"/>
      <c r="D78" s="1286">
        <f t="shared" si="20"/>
        <v>0</v>
      </c>
      <c r="E78" s="824"/>
      <c r="F78" s="2504"/>
      <c r="G78" s="1284"/>
      <c r="H78" s="1288" t="str">
        <f t="shared" si="21"/>
        <v>——</v>
      </c>
      <c r="I78" s="821">
        <v>0.04</v>
      </c>
      <c r="J78" s="1285">
        <f t="shared" si="22"/>
        <v>0</v>
      </c>
      <c r="K78" s="1285">
        <f t="shared" si="23"/>
        <v>0</v>
      </c>
      <c r="L78" s="1285">
        <v>0</v>
      </c>
      <c r="M78" s="1285">
        <f t="shared" si="24"/>
        <v>0</v>
      </c>
      <c r="N78" s="1285">
        <f t="shared" si="24"/>
        <v>0</v>
      </c>
      <c r="Z78" s="2723"/>
      <c r="AA78" s="2799"/>
      <c r="AG78" s="1372"/>
      <c r="AK78" s="2799"/>
    </row>
    <row r="79" spans="1:37" ht="15" hidden="1">
      <c r="A79" s="2877" t="s">
        <v>2966</v>
      </c>
      <c r="B79" s="2878">
        <f>1+E81</f>
        <v>1</v>
      </c>
      <c r="C79" s="811"/>
      <c r="D79" s="811"/>
      <c r="E79" s="812"/>
      <c r="F79" s="2880"/>
      <c r="G79" s="6"/>
      <c r="H79" s="6"/>
      <c r="I79" s="6"/>
      <c r="J79" s="7"/>
      <c r="K79" s="7"/>
      <c r="L79" s="7"/>
      <c r="M79" s="7"/>
      <c r="N79" s="7"/>
      <c r="Z79" s="2723"/>
      <c r="AA79" s="2799"/>
      <c r="AG79" s="1372"/>
      <c r="AK79" s="2799"/>
    </row>
    <row r="80" spans="1:37" ht="24.75" hidden="1">
      <c r="A80" s="2881" t="s">
        <v>2940</v>
      </c>
      <c r="B80" s="2949"/>
      <c r="C80" s="2949" t="s">
        <v>2942</v>
      </c>
      <c r="D80" s="2949" t="s">
        <v>2943</v>
      </c>
      <c r="E80" s="816" t="s">
        <v>2944</v>
      </c>
      <c r="F80" s="2882" t="s">
        <v>2960</v>
      </c>
      <c r="G80" s="2949" t="s">
        <v>754</v>
      </c>
      <c r="H80" s="2883" t="s">
        <v>2946</v>
      </c>
      <c r="I80" s="2949" t="s">
        <v>2947</v>
      </c>
      <c r="J80" s="603" t="s">
        <v>2595</v>
      </c>
      <c r="K80" s="603" t="s">
        <v>2596</v>
      </c>
      <c r="L80" s="603" t="s">
        <v>2597</v>
      </c>
      <c r="M80" s="603" t="s">
        <v>2598</v>
      </c>
      <c r="N80" s="603" t="s">
        <v>2599</v>
      </c>
      <c r="Z80" s="2723"/>
      <c r="AA80" s="2799"/>
      <c r="AG80" s="1372"/>
      <c r="AK80" s="2799"/>
    </row>
    <row r="81" spans="1:37" ht="38.25" hidden="1">
      <c r="A81" s="2881" t="s">
        <v>2967</v>
      </c>
      <c r="B81" s="2885" t="str">
        <f>估价对象房地状况!G15</f>
        <v>估价对象位于XX开发区，园区建设成熟度XX，产业集聚程度XX</v>
      </c>
      <c r="C81" s="2773"/>
      <c r="D81" s="1286">
        <f t="shared" ref="D81:D88" si="25">SUMIF($J$80:$N$80,C81,J81:N81)</f>
        <v>0</v>
      </c>
      <c r="E81" s="818">
        <f>ROUND(SUM(D81:D88),4)</f>
        <v>0</v>
      </c>
      <c r="F81" s="2504" t="str">
        <f>IF(E2="工业",SUMIF(L1:L12,G2,N1:N12),"——")</f>
        <v>——</v>
      </c>
      <c r="G81" s="1284"/>
      <c r="H81" s="1288" t="str">
        <f t="shared" ref="H81:H88" si="26">IFERROR(ROUNDDOWN($F$81*I81/2,4),"——")</f>
        <v>——</v>
      </c>
      <c r="I81" s="817">
        <v>0.26</v>
      </c>
      <c r="J81" s="1285">
        <f t="shared" ref="J81:J88" si="27">K81+$G81</f>
        <v>0</v>
      </c>
      <c r="K81" s="1285">
        <f t="shared" ref="K81:K88" si="28">$L81+$G81</f>
        <v>0</v>
      </c>
      <c r="L81" s="1285">
        <v>0</v>
      </c>
      <c r="M81" s="1285">
        <f t="shared" ref="M81:N88" si="29">L81-$G81</f>
        <v>0</v>
      </c>
      <c r="N81" s="1285">
        <f t="shared" si="29"/>
        <v>0</v>
      </c>
      <c r="Z81" s="2723"/>
      <c r="AA81" s="2799"/>
      <c r="AG81" s="1372"/>
      <c r="AK81" s="2799"/>
    </row>
    <row r="82" spans="1:37" ht="51" hidden="1">
      <c r="A82" s="2881" t="s">
        <v>2949</v>
      </c>
      <c r="B82" s="2885" t="str">
        <f>估价对象房地状况!G16</f>
        <v>估价对象周边道路状况、公共交通通达情况、停车便捷程度，综合评价交通便捷度较好</v>
      </c>
      <c r="C82" s="2773"/>
      <c r="D82" s="1286">
        <f t="shared" si="25"/>
        <v>0</v>
      </c>
      <c r="E82" s="823"/>
      <c r="F82" s="2504"/>
      <c r="G82" s="1284"/>
      <c r="H82" s="1288" t="str">
        <f t="shared" si="26"/>
        <v>——</v>
      </c>
      <c r="I82" s="817">
        <v>0.33</v>
      </c>
      <c r="J82" s="1285">
        <f t="shared" si="27"/>
        <v>0</v>
      </c>
      <c r="K82" s="1285">
        <f t="shared" si="28"/>
        <v>0</v>
      </c>
      <c r="L82" s="1285">
        <v>0</v>
      </c>
      <c r="M82" s="1285">
        <f t="shared" si="29"/>
        <v>0</v>
      </c>
      <c r="N82" s="1285">
        <f t="shared" si="29"/>
        <v>0</v>
      </c>
      <c r="Z82" s="2723"/>
      <c r="AA82" s="2799"/>
      <c r="AG82" s="1372"/>
      <c r="AK82" s="2799"/>
    </row>
    <row r="83" spans="1:37" ht="24" hidden="1">
      <c r="A83" s="2881" t="s">
        <v>2950</v>
      </c>
      <c r="B83" s="2885">
        <f>估价对象房地状况!G17</f>
        <v>0</v>
      </c>
      <c r="C83" s="2773"/>
      <c r="D83" s="1286">
        <f t="shared" si="25"/>
        <v>0</v>
      </c>
      <c r="E83" s="823"/>
      <c r="F83" s="2504"/>
      <c r="G83" s="1284"/>
      <c r="H83" s="1288" t="str">
        <f t="shared" si="26"/>
        <v>——</v>
      </c>
      <c r="I83" s="817">
        <v>0.05</v>
      </c>
      <c r="J83" s="1285">
        <f t="shared" si="27"/>
        <v>0</v>
      </c>
      <c r="K83" s="1285">
        <f t="shared" si="28"/>
        <v>0</v>
      </c>
      <c r="L83" s="1285">
        <v>0</v>
      </c>
      <c r="M83" s="1285">
        <f t="shared" si="29"/>
        <v>0</v>
      </c>
      <c r="N83" s="1285">
        <f t="shared" si="29"/>
        <v>0</v>
      </c>
      <c r="Z83" s="2723"/>
      <c r="AA83" s="2799"/>
      <c r="AG83" s="1372"/>
      <c r="AK83" s="2799"/>
    </row>
    <row r="84" spans="1:37" ht="14.25" hidden="1">
      <c r="A84" s="2881" t="s">
        <v>2964</v>
      </c>
      <c r="B84" s="2885">
        <f>估价对象房地状况!G22</f>
        <v>0</v>
      </c>
      <c r="C84" s="2773"/>
      <c r="D84" s="1286">
        <f t="shared" si="25"/>
        <v>0</v>
      </c>
      <c r="E84" s="823"/>
      <c r="F84" s="2504"/>
      <c r="G84" s="1284"/>
      <c r="H84" s="1288" t="str">
        <f t="shared" si="26"/>
        <v>——</v>
      </c>
      <c r="I84" s="817">
        <v>0.04</v>
      </c>
      <c r="J84" s="1285">
        <f t="shared" si="27"/>
        <v>0</v>
      </c>
      <c r="K84" s="1285">
        <f t="shared" si="28"/>
        <v>0</v>
      </c>
      <c r="L84" s="1285">
        <v>0</v>
      </c>
      <c r="M84" s="1285">
        <f t="shared" si="29"/>
        <v>0</v>
      </c>
      <c r="N84" s="1285">
        <f t="shared" si="29"/>
        <v>0</v>
      </c>
      <c r="Z84" s="2723"/>
      <c r="AA84" s="2799"/>
      <c r="AG84" s="1372"/>
      <c r="AK84" s="2799"/>
    </row>
    <row r="85" spans="1:37" ht="25.5" hidden="1">
      <c r="A85" s="2881" t="s">
        <v>2956</v>
      </c>
      <c r="B85" s="1725" t="str">
        <f>估价对象房地状况!G19</f>
        <v>估价对象所在区域公共配套设施齐备情况</v>
      </c>
      <c r="C85" s="2773"/>
      <c r="D85" s="1286">
        <f t="shared" si="25"/>
        <v>0</v>
      </c>
      <c r="E85" s="823"/>
      <c r="F85" s="2504"/>
      <c r="G85" s="1284"/>
      <c r="H85" s="1288" t="str">
        <f t="shared" si="26"/>
        <v>——</v>
      </c>
      <c r="I85" s="817">
        <v>0.06</v>
      </c>
      <c r="J85" s="1285">
        <f t="shared" si="27"/>
        <v>0</v>
      </c>
      <c r="K85" s="1285">
        <f t="shared" si="28"/>
        <v>0</v>
      </c>
      <c r="L85" s="1285">
        <v>0</v>
      </c>
      <c r="M85" s="1285">
        <f t="shared" si="29"/>
        <v>0</v>
      </c>
      <c r="N85" s="1285">
        <f t="shared" si="29"/>
        <v>0</v>
      </c>
      <c r="Z85" s="2723"/>
      <c r="AA85" s="2799"/>
      <c r="AG85" s="1372"/>
      <c r="AK85" s="2799"/>
    </row>
    <row r="86" spans="1:37" ht="25.5" hidden="1">
      <c r="A86" s="2881" t="s">
        <v>2957</v>
      </c>
      <c r="B86" s="1725" t="str">
        <f>估价对象房地状况!G20</f>
        <v>估价对象所在区域基础设施水平</v>
      </c>
      <c r="C86" s="2773"/>
      <c r="D86" s="1286">
        <f t="shared" si="25"/>
        <v>0</v>
      </c>
      <c r="E86" s="823"/>
      <c r="F86" s="2504"/>
      <c r="G86" s="1284"/>
      <c r="H86" s="1288" t="str">
        <f t="shared" si="26"/>
        <v>——</v>
      </c>
      <c r="I86" s="817">
        <v>0.15</v>
      </c>
      <c r="J86" s="1285">
        <f t="shared" si="27"/>
        <v>0</v>
      </c>
      <c r="K86" s="1285">
        <f t="shared" si="28"/>
        <v>0</v>
      </c>
      <c r="L86" s="1285">
        <v>0</v>
      </c>
      <c r="M86" s="1285">
        <f t="shared" si="29"/>
        <v>0</v>
      </c>
      <c r="N86" s="1285">
        <f t="shared" si="29"/>
        <v>0</v>
      </c>
      <c r="Z86" s="2723"/>
      <c r="AA86" s="2799"/>
      <c r="AG86" s="1372"/>
      <c r="AK86" s="2799"/>
    </row>
    <row r="87" spans="1:37" ht="24" hidden="1">
      <c r="A87" s="2881" t="s">
        <v>2954</v>
      </c>
      <c r="B87" s="2887" t="s">
        <v>2968</v>
      </c>
      <c r="C87" s="2773"/>
      <c r="D87" s="1286">
        <f t="shared" si="25"/>
        <v>0</v>
      </c>
      <c r="E87" s="823"/>
      <c r="F87" s="2504"/>
      <c r="G87" s="1284"/>
      <c r="H87" s="1288" t="str">
        <f t="shared" si="26"/>
        <v>——</v>
      </c>
      <c r="I87" s="817">
        <v>0.05</v>
      </c>
      <c r="J87" s="1285">
        <f t="shared" si="27"/>
        <v>0</v>
      </c>
      <c r="K87" s="1285">
        <f t="shared" si="28"/>
        <v>0</v>
      </c>
      <c r="L87" s="1285">
        <v>0</v>
      </c>
      <c r="M87" s="1285">
        <f t="shared" si="29"/>
        <v>0</v>
      </c>
      <c r="N87" s="1285">
        <f t="shared" si="29"/>
        <v>0</v>
      </c>
      <c r="Z87" s="2723"/>
      <c r="AA87" s="2799"/>
      <c r="AG87" s="1372"/>
      <c r="AK87" s="2799"/>
    </row>
    <row r="88" spans="1:37" ht="39" hidden="1" thickBot="1">
      <c r="A88" s="2889" t="s">
        <v>2969</v>
      </c>
      <c r="B88" s="2894" t="str">
        <f>估价对象房地状况!G18</f>
        <v>该园区内是否有污染型企业，绿化情况，卫生条件，整体环境状况判断</v>
      </c>
      <c r="C88" s="2773"/>
      <c r="D88" s="1286">
        <f t="shared" si="25"/>
        <v>0</v>
      </c>
      <c r="E88" s="824"/>
      <c r="F88" s="2504"/>
      <c r="G88" s="1284"/>
      <c r="H88" s="1288" t="str">
        <f t="shared" si="26"/>
        <v>——</v>
      </c>
      <c r="I88" s="821">
        <v>0.06</v>
      </c>
      <c r="J88" s="1285">
        <f t="shared" si="27"/>
        <v>0</v>
      </c>
      <c r="K88" s="1285">
        <f t="shared" si="28"/>
        <v>0</v>
      </c>
      <c r="L88" s="1285">
        <v>0</v>
      </c>
      <c r="M88" s="1285">
        <f t="shared" si="29"/>
        <v>0</v>
      </c>
      <c r="N88" s="1285">
        <f t="shared" si="29"/>
        <v>0</v>
      </c>
      <c r="Z88" s="2723"/>
      <c r="AA88" s="2799"/>
      <c r="AG88" s="1372"/>
      <c r="AK88" s="2799"/>
    </row>
    <row r="90" spans="1:37">
      <c r="A90" s="3264" t="s">
        <v>2970</v>
      </c>
      <c r="B90" s="3264"/>
      <c r="C90" s="3264"/>
      <c r="D90" s="3264"/>
      <c r="E90" s="3264"/>
      <c r="F90" s="3264"/>
      <c r="G90" s="3264"/>
      <c r="H90" s="3264"/>
      <c r="I90" s="3264"/>
      <c r="J90" s="3264"/>
      <c r="K90" s="2958"/>
      <c r="L90" s="2958"/>
      <c r="M90" s="2958"/>
      <c r="N90" s="2958"/>
    </row>
    <row r="91" spans="1:37">
      <c r="A91" s="3266" t="s">
        <v>2971</v>
      </c>
      <c r="B91" s="3266" t="s">
        <v>2972</v>
      </c>
      <c r="C91" s="2849" t="s">
        <v>2973</v>
      </c>
      <c r="D91" s="2850"/>
      <c r="E91" s="2850"/>
      <c r="F91" s="2850"/>
      <c r="G91" s="2850"/>
      <c r="H91" s="2850"/>
      <c r="I91" s="2850"/>
      <c r="J91" s="2896"/>
      <c r="K91" s="2897"/>
      <c r="L91" s="2897"/>
      <c r="M91" s="2897"/>
      <c r="N91" s="2897"/>
    </row>
    <row r="92" spans="1:37">
      <c r="A92" s="3266"/>
      <c r="B92" s="3266"/>
      <c r="C92" s="2960" t="s">
        <v>2839</v>
      </c>
      <c r="D92" s="2960" t="s">
        <v>2840</v>
      </c>
      <c r="E92" s="2960" t="s">
        <v>2841</v>
      </c>
      <c r="F92" s="2960" t="s">
        <v>2842</v>
      </c>
      <c r="G92" s="2960" t="s">
        <v>2843</v>
      </c>
      <c r="H92" s="2960" t="s">
        <v>2844</v>
      </c>
      <c r="I92" s="2960" t="s">
        <v>2845</v>
      </c>
      <c r="J92" s="2960" t="s">
        <v>2846</v>
      </c>
      <c r="K92" s="2960" t="s">
        <v>2847</v>
      </c>
      <c r="L92" s="2960" t="s">
        <v>2848</v>
      </c>
      <c r="M92" s="2960" t="s">
        <v>2849</v>
      </c>
      <c r="N92" s="2960" t="s">
        <v>2850</v>
      </c>
    </row>
    <row r="93" spans="1:37">
      <c r="A93" s="3267" t="s">
        <v>2974</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68"/>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68"/>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68"/>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68"/>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68"/>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68"/>
      <c r="B99" s="2898" t="s">
        <v>2855</v>
      </c>
      <c r="C99" s="2900">
        <f>$I$3</f>
        <v>1</v>
      </c>
      <c r="D99" s="2900">
        <f t="shared" ref="D99:M99" si="30">$I$3</f>
        <v>1</v>
      </c>
      <c r="E99" s="2900">
        <f t="shared" si="30"/>
        <v>1</v>
      </c>
      <c r="F99" s="2900">
        <f t="shared" si="30"/>
        <v>1</v>
      </c>
      <c r="G99" s="2900">
        <f t="shared" si="30"/>
        <v>1</v>
      </c>
      <c r="H99" s="2900">
        <f t="shared" si="30"/>
        <v>1</v>
      </c>
      <c r="I99" s="2900">
        <f t="shared" si="30"/>
        <v>1</v>
      </c>
      <c r="J99" s="2900">
        <f t="shared" si="30"/>
        <v>1</v>
      </c>
      <c r="K99" s="2900">
        <f t="shared" si="30"/>
        <v>1</v>
      </c>
      <c r="L99" s="2900">
        <f t="shared" si="30"/>
        <v>1</v>
      </c>
      <c r="M99" s="2900">
        <f t="shared" si="30"/>
        <v>1</v>
      </c>
      <c r="N99" s="2900">
        <f>$I$3</f>
        <v>1</v>
      </c>
    </row>
    <row r="100" spans="1:14">
      <c r="A100" s="3269"/>
      <c r="B100" s="2898">
        <v>7</v>
      </c>
      <c r="C100" s="2901">
        <f>(-0.163*(C99^2)-0.59*C99+7617)*(10^(-4))</f>
        <v>0.76162470000000004</v>
      </c>
      <c r="D100" s="2901">
        <f>(-0.163*(D99^2)-0.59*D99+7617)*(10^(-4))</f>
        <v>0.76162470000000004</v>
      </c>
      <c r="E100" s="2901">
        <f>(-0.161*(E99^2)-7.509*E99+6533)*(10^(-4))</f>
        <v>0.65253300000000003</v>
      </c>
      <c r="F100" s="2901">
        <f>(-0.161*(F99^2)-7.509*F99+6533)*(10^(-4))</f>
        <v>0.65253300000000003</v>
      </c>
      <c r="G100" s="2901">
        <f>(-0.161*(G99^2)-7.509*G99+6533)*(10^(-4))</f>
        <v>0.65253300000000003</v>
      </c>
      <c r="H100" s="2901">
        <f>(-0.161*(H99^2)-7.509*H99+6533)*(10^(-4))</f>
        <v>0.65253300000000003</v>
      </c>
      <c r="I100" s="2901">
        <f>(-0.161*(I99^2)-7.509*I99+6533)*(10^(-4))</f>
        <v>0.65253300000000003</v>
      </c>
      <c r="J100" s="2901">
        <f>(-0.214*(J99^2)-21.991*J99+4665)*(10^(-4))</f>
        <v>0.46427950000000001</v>
      </c>
      <c r="K100" s="2901">
        <f>(-0.214*(K99^2)-21.991*K99+4665)*(10^(-4))</f>
        <v>0.46427950000000001</v>
      </c>
      <c r="L100" s="2901">
        <f>(-0.214*(L99^2)-21.991*L99+4665)*(10^(-4))</f>
        <v>0.46427950000000001</v>
      </c>
      <c r="M100" s="2901">
        <f>(-0.214*(M99^2)-21.991*M99+4665)*(10^(-4))</f>
        <v>0.46427950000000001</v>
      </c>
      <c r="N100" s="2901">
        <f>(-0.214*(N99^2)-21.991*N99+4665)*(10^(-4))</f>
        <v>0.46427950000000001</v>
      </c>
    </row>
    <row r="101" spans="1:14">
      <c r="A101" s="3267" t="s">
        <v>2975</v>
      </c>
      <c r="B101" s="2902" t="s">
        <v>2976</v>
      </c>
      <c r="C101" s="2903">
        <f>$G$3</f>
        <v>3.63</v>
      </c>
      <c r="D101" s="2903">
        <f t="shared" ref="D101:N101" si="31">$G$3</f>
        <v>3.63</v>
      </c>
      <c r="E101" s="2903">
        <f t="shared" si="31"/>
        <v>3.63</v>
      </c>
      <c r="F101" s="2903">
        <f t="shared" si="31"/>
        <v>3.63</v>
      </c>
      <c r="G101" s="2903">
        <f t="shared" si="31"/>
        <v>3.63</v>
      </c>
      <c r="H101" s="2903">
        <f t="shared" si="31"/>
        <v>3.63</v>
      </c>
      <c r="I101" s="2903">
        <f t="shared" si="31"/>
        <v>3.63</v>
      </c>
      <c r="J101" s="2903">
        <f t="shared" si="31"/>
        <v>3.63</v>
      </c>
      <c r="K101" s="2903">
        <f t="shared" si="31"/>
        <v>3.63</v>
      </c>
      <c r="L101" s="2903">
        <f t="shared" si="31"/>
        <v>3.63</v>
      </c>
      <c r="M101" s="2903">
        <f t="shared" si="31"/>
        <v>3.63</v>
      </c>
      <c r="N101" s="2903">
        <f t="shared" si="31"/>
        <v>3.63</v>
      </c>
    </row>
    <row r="102" spans="1:14">
      <c r="A102" s="3268"/>
      <c r="B102" s="2898">
        <v>1</v>
      </c>
      <c r="C102" s="2899">
        <f>1.9362/C101</f>
        <v>0.53338842975206613</v>
      </c>
      <c r="D102" s="2899">
        <f>1.9362/D101</f>
        <v>0.53338842975206613</v>
      </c>
      <c r="E102" s="2899">
        <f>1.8629/E101</f>
        <v>0.51319559228650136</v>
      </c>
      <c r="F102" s="2899">
        <f>1.8629/F101</f>
        <v>0.51319559228650136</v>
      </c>
      <c r="G102" s="2899">
        <f>1.8629/G101</f>
        <v>0.51319559228650136</v>
      </c>
      <c r="H102" s="2899">
        <f>1.8629/H101</f>
        <v>0.51319559228650136</v>
      </c>
      <c r="I102" s="2899">
        <f>1.8629/I101</f>
        <v>0.51319559228650136</v>
      </c>
      <c r="J102" s="2899">
        <f>1.942/J101</f>
        <v>0.53498622589531686</v>
      </c>
      <c r="K102" s="2899">
        <f>1.942/K101</f>
        <v>0.53498622589531686</v>
      </c>
      <c r="L102" s="2899">
        <f>1.942/L101</f>
        <v>0.53498622589531686</v>
      </c>
      <c r="M102" s="2899">
        <f>1.942/M101</f>
        <v>0.53498622589531686</v>
      </c>
      <c r="N102" s="2899">
        <f>1.942/N101</f>
        <v>0.53498622589531686</v>
      </c>
    </row>
    <row r="103" spans="1:14">
      <c r="A103" s="3268"/>
      <c r="B103" s="2898">
        <v>2</v>
      </c>
      <c r="C103" s="2899">
        <f>1.4198/C101</f>
        <v>0.39112947658402203</v>
      </c>
      <c r="D103" s="2899">
        <f>1.4198/D101</f>
        <v>0.39112947658402203</v>
      </c>
      <c r="E103" s="2899">
        <f>1.3372/E101</f>
        <v>0.36837465564738292</v>
      </c>
      <c r="F103" s="2899">
        <f>1.3372/F101</f>
        <v>0.36837465564738292</v>
      </c>
      <c r="G103" s="2899">
        <f>1.3372/G101</f>
        <v>0.36837465564738292</v>
      </c>
      <c r="H103" s="2899">
        <f>1.3372/H101</f>
        <v>0.36837465564738292</v>
      </c>
      <c r="I103" s="2899">
        <f>1.3372/I101</f>
        <v>0.36837465564738292</v>
      </c>
      <c r="J103" s="2899">
        <f>1.2799/J101</f>
        <v>0.35258953168044077</v>
      </c>
      <c r="K103" s="2899">
        <f>1.2799/K101</f>
        <v>0.35258953168044077</v>
      </c>
      <c r="L103" s="2899">
        <f>1.2799/L101</f>
        <v>0.35258953168044077</v>
      </c>
      <c r="M103" s="2899">
        <f>1.2799/M101</f>
        <v>0.35258953168044077</v>
      </c>
      <c r="N103" s="2899">
        <f>1.2799/N101</f>
        <v>0.35258953168044077</v>
      </c>
    </row>
    <row r="104" spans="1:14">
      <c r="A104" s="3268"/>
      <c r="B104" s="2898">
        <v>3</v>
      </c>
      <c r="C104" s="2899">
        <f>1.1594/C101</f>
        <v>0.3193939393939394</v>
      </c>
      <c r="D104" s="2899">
        <f>1.1594/D101</f>
        <v>0.3193939393939394</v>
      </c>
      <c r="E104" s="2899">
        <f>1.0788/E101</f>
        <v>0.2971900826446281</v>
      </c>
      <c r="F104" s="2899">
        <f>1.0788/F101</f>
        <v>0.2971900826446281</v>
      </c>
      <c r="G104" s="2899">
        <f>1.0788/G101</f>
        <v>0.2971900826446281</v>
      </c>
      <c r="H104" s="2899">
        <f>1.0788/H101</f>
        <v>0.2971900826446281</v>
      </c>
      <c r="I104" s="2899">
        <f>1.0788/I101</f>
        <v>0.2971900826446281</v>
      </c>
      <c r="J104" s="2899">
        <f>1.0072/J101</f>
        <v>0.27746556473829204</v>
      </c>
      <c r="K104" s="2899">
        <f>1.0072/K101</f>
        <v>0.27746556473829204</v>
      </c>
      <c r="L104" s="2899">
        <f>1.0072/L101</f>
        <v>0.27746556473829204</v>
      </c>
      <c r="M104" s="2899">
        <f>1.0072/M101</f>
        <v>0.27746556473829204</v>
      </c>
      <c r="N104" s="2899">
        <f>1.0072/N101</f>
        <v>0.27746556473829204</v>
      </c>
    </row>
    <row r="105" spans="1:14">
      <c r="A105" s="3268"/>
      <c r="B105" s="2898">
        <v>4</v>
      </c>
      <c r="C105" s="2899">
        <f>0.9622/C101</f>
        <v>0.26506887052341599</v>
      </c>
      <c r="D105" s="2899">
        <f>0.9622/D101</f>
        <v>0.26506887052341599</v>
      </c>
      <c r="E105" s="2899">
        <f>0.8656/E101</f>
        <v>0.23845730027548212</v>
      </c>
      <c r="F105" s="2899">
        <f>0.8656/F101</f>
        <v>0.23845730027548212</v>
      </c>
      <c r="G105" s="2899">
        <f>0.8656/G101</f>
        <v>0.23845730027548212</v>
      </c>
      <c r="H105" s="2899">
        <f>0.8656/H101</f>
        <v>0.23845730027548212</v>
      </c>
      <c r="I105" s="2899">
        <f>0.8656/I101</f>
        <v>0.23845730027548212</v>
      </c>
      <c r="J105" s="2899">
        <f>0.7525/J101</f>
        <v>0.20730027548209365</v>
      </c>
      <c r="K105" s="2899">
        <f>0.7525/K101</f>
        <v>0.20730027548209365</v>
      </c>
      <c r="L105" s="2899">
        <f>0.7525/L101</f>
        <v>0.20730027548209365</v>
      </c>
      <c r="M105" s="2899">
        <f>0.7525/M101</f>
        <v>0.20730027548209365</v>
      </c>
      <c r="N105" s="2899">
        <f>0.7525/N101</f>
        <v>0.20730027548209365</v>
      </c>
    </row>
    <row r="106" spans="1:14">
      <c r="A106" s="3268"/>
      <c r="B106" s="2898">
        <v>5</v>
      </c>
      <c r="C106" s="2899">
        <f>0.8417/C101</f>
        <v>0.23187327823691462</v>
      </c>
      <c r="D106" s="2899">
        <f>0.8417/D101</f>
        <v>0.23187327823691462</v>
      </c>
      <c r="E106" s="2899">
        <f>0.7371/E101</f>
        <v>0.20305785123966943</v>
      </c>
      <c r="F106" s="2899">
        <f>0.7371/F101</f>
        <v>0.20305785123966943</v>
      </c>
      <c r="G106" s="2899">
        <f>0.7371/G101</f>
        <v>0.20305785123966943</v>
      </c>
      <c r="H106" s="2899">
        <f>0.7371/H101</f>
        <v>0.20305785123966943</v>
      </c>
      <c r="I106" s="2899">
        <f>0.7371/I101</f>
        <v>0.20305785123966943</v>
      </c>
      <c r="J106" s="2899">
        <f>0.5659/J101</f>
        <v>0.15589531680440771</v>
      </c>
      <c r="K106" s="2899">
        <f>0.5659/K101</f>
        <v>0.15589531680440771</v>
      </c>
      <c r="L106" s="2899">
        <f>0.5659/L101</f>
        <v>0.15589531680440771</v>
      </c>
      <c r="M106" s="2899">
        <f>0.5659/M101</f>
        <v>0.15589531680440771</v>
      </c>
      <c r="N106" s="2899">
        <f>0.5659/N101</f>
        <v>0.15589531680440771</v>
      </c>
    </row>
    <row r="107" spans="1:14">
      <c r="A107" s="3268"/>
      <c r="B107" s="2898">
        <v>6</v>
      </c>
      <c r="C107" s="2899">
        <f>0.7608/C101</f>
        <v>0.20958677685950414</v>
      </c>
      <c r="D107" s="2899">
        <f>0.7608/D101</f>
        <v>0.20958677685950414</v>
      </c>
      <c r="E107" s="2899">
        <f>0.6482/E101</f>
        <v>0.17856749311294767</v>
      </c>
      <c r="F107" s="2899">
        <f>0.6482/F101</f>
        <v>0.17856749311294767</v>
      </c>
      <c r="G107" s="2899">
        <f>0.6482/G101</f>
        <v>0.17856749311294767</v>
      </c>
      <c r="H107" s="2899">
        <f>0.6482/H101</f>
        <v>0.17856749311294767</v>
      </c>
      <c r="I107" s="2899">
        <f>0.6482/I101</f>
        <v>0.17856749311294767</v>
      </c>
      <c r="J107" s="2899">
        <f>0.4525/J101</f>
        <v>0.12465564738292012</v>
      </c>
      <c r="K107" s="2899">
        <f>0.4525/K101</f>
        <v>0.12465564738292012</v>
      </c>
      <c r="L107" s="2899">
        <f>0.4525/L101</f>
        <v>0.12465564738292012</v>
      </c>
      <c r="M107" s="2899">
        <f>0.4525/M101</f>
        <v>0.12465564738292012</v>
      </c>
      <c r="N107" s="2899">
        <f>0.4525/N101</f>
        <v>0.12465564738292012</v>
      </c>
    </row>
    <row r="108" spans="1:14">
      <c r="A108" s="3268"/>
      <c r="B108" s="3126" t="s">
        <v>2977</v>
      </c>
      <c r="C108" s="2900">
        <f>C99</f>
        <v>1</v>
      </c>
      <c r="D108" s="2900">
        <f t="shared" ref="D108:N108" si="32">D99</f>
        <v>1</v>
      </c>
      <c r="E108" s="2900">
        <f t="shared" si="32"/>
        <v>1</v>
      </c>
      <c r="F108" s="2900">
        <f t="shared" si="32"/>
        <v>1</v>
      </c>
      <c r="G108" s="2900">
        <f t="shared" si="32"/>
        <v>1</v>
      </c>
      <c r="H108" s="2900">
        <f t="shared" si="32"/>
        <v>1</v>
      </c>
      <c r="I108" s="2900">
        <f t="shared" si="32"/>
        <v>1</v>
      </c>
      <c r="J108" s="2900">
        <f t="shared" si="32"/>
        <v>1</v>
      </c>
      <c r="K108" s="2900">
        <f t="shared" si="32"/>
        <v>1</v>
      </c>
      <c r="L108" s="2900">
        <f t="shared" si="32"/>
        <v>1</v>
      </c>
      <c r="M108" s="2900">
        <f t="shared" si="32"/>
        <v>1</v>
      </c>
      <c r="N108" s="2900">
        <f t="shared" si="32"/>
        <v>1</v>
      </c>
    </row>
    <row r="109" spans="1:14">
      <c r="A109" s="3269"/>
      <c r="B109" s="3127"/>
      <c r="C109" s="2901">
        <f>(-0.163*(C108^2)-0.59*C108+7617)*(10^(-4))/C101</f>
        <v>0.20981396694214877</v>
      </c>
      <c r="D109" s="2901">
        <f>(-0.163*(D108^2)-0.59*D108+7617)*(10^(-4))/D101</f>
        <v>0.20981396694214877</v>
      </c>
      <c r="E109" s="2901">
        <f>(-0.161*(E108^2)-7.509*E108+6533)*(10^(-4))/E101</f>
        <v>0.17976115702479339</v>
      </c>
      <c r="F109" s="2901">
        <f>(-0.161*(F108^2)-7.509*F108+6533)*(10^(-4))/F101</f>
        <v>0.17976115702479339</v>
      </c>
      <c r="G109" s="2901">
        <f>(-0.161*(G108^2)-7.509*G108+6533)*(10^(-4))/G101</f>
        <v>0.17976115702479339</v>
      </c>
      <c r="H109" s="2901">
        <f>(-0.161*(H108^2)-7.509*H108+6533)*(10^(-4))/H101</f>
        <v>0.17976115702479339</v>
      </c>
      <c r="I109" s="2901">
        <f>(-0.161*(I108^2)-7.509*I108+6533)*(10^(-4))/I101</f>
        <v>0.17976115702479339</v>
      </c>
      <c r="J109" s="2901">
        <f>(-0.214*(J108^2)-21.991*J108+4665)*(10^(-4))/J101</f>
        <v>0.12790068870523416</v>
      </c>
      <c r="K109" s="2901">
        <f>(-0.214*(K108^2)-21.991*K108+4665)*(10^(-4))/K101</f>
        <v>0.12790068870523416</v>
      </c>
      <c r="L109" s="2901">
        <f>(-0.214*(L108^2)-21.991*L108+4665)*(10^(-4))/L101</f>
        <v>0.12790068870523416</v>
      </c>
      <c r="M109" s="2901">
        <f>(-0.214*(M108^2)-21.991*M108+4665)*(10^(-4))/M101</f>
        <v>0.12790068870523416</v>
      </c>
      <c r="N109" s="2901">
        <f>(-0.214*(N108^2)-21.991*N108+4665)*(10^(-4))/N101</f>
        <v>0.12790068870523416</v>
      </c>
    </row>
    <row r="110" spans="1:14">
      <c r="A110" s="3265" t="s">
        <v>2978</v>
      </c>
      <c r="B110" s="3265"/>
      <c r="C110" s="3265"/>
      <c r="D110" s="3265"/>
      <c r="E110" s="3265"/>
      <c r="F110" s="3265"/>
      <c r="G110" s="3265"/>
      <c r="H110" s="3265"/>
      <c r="I110" s="3265"/>
      <c r="J110" s="3265"/>
      <c r="K110" s="2959"/>
      <c r="L110" s="2959"/>
      <c r="M110" s="2959"/>
      <c r="N110" s="2959"/>
    </row>
    <row r="112" spans="1:14" ht="13.5" thickBot="1"/>
    <row r="113" spans="1:13" ht="25.5" thickBot="1">
      <c r="A113" s="900" t="s">
        <v>2979</v>
      </c>
      <c r="B113" s="1287">
        <f>G3</f>
        <v>3.63</v>
      </c>
      <c r="C113" s="901" t="s">
        <v>2980</v>
      </c>
      <c r="D113" s="902">
        <f>SUMPRODUCT((A115:A118=F113)*(B114:M114=H113)*B115:M118)</f>
        <v>0.79349999999999998</v>
      </c>
      <c r="E113" s="2727" t="s">
        <v>2812</v>
      </c>
      <c r="F113" s="2906" t="str">
        <f>E2</f>
        <v>商业</v>
      </c>
      <c r="G113" s="2727" t="s">
        <v>2813</v>
      </c>
      <c r="H113" s="2906" t="str">
        <f>G2</f>
        <v>六级</v>
      </c>
      <c r="I113" s="2727"/>
      <c r="J113" s="2907"/>
      <c r="K113" s="2907"/>
      <c r="L113" s="2907"/>
      <c r="M113" s="2907"/>
    </row>
    <row r="114" spans="1:13">
      <c r="A114" s="905"/>
      <c r="B114" s="2908" t="s">
        <v>2981</v>
      </c>
      <c r="C114" s="2908" t="s">
        <v>2982</v>
      </c>
      <c r="D114" s="2908" t="s">
        <v>2983</v>
      </c>
      <c r="E114" s="2909" t="s">
        <v>2984</v>
      </c>
      <c r="F114" s="2909" t="s">
        <v>2985</v>
      </c>
      <c r="G114" s="2909" t="s">
        <v>2986</v>
      </c>
      <c r="H114" s="2910" t="s">
        <v>2987</v>
      </c>
      <c r="I114" s="2910" t="s">
        <v>2988</v>
      </c>
      <c r="J114" s="2911" t="s">
        <v>2989</v>
      </c>
      <c r="K114" s="2911" t="s">
        <v>2990</v>
      </c>
      <c r="L114" s="2911" t="s">
        <v>2991</v>
      </c>
      <c r="M114" s="2912" t="s">
        <v>2992</v>
      </c>
    </row>
    <row r="115" spans="1:13">
      <c r="A115" s="906" t="s">
        <v>2877</v>
      </c>
      <c r="B115" s="907">
        <f>ROUND(0.9335-0.0094*B113,4)</f>
        <v>0.89939999999999998</v>
      </c>
      <c r="C115" s="907">
        <f>B115</f>
        <v>0.89939999999999998</v>
      </c>
      <c r="D115" s="907">
        <f>ROUND(0.8331-0.0109*B113,4)</f>
        <v>0.79349999999999998</v>
      </c>
      <c r="E115" s="907">
        <f>D115</f>
        <v>0.79349999999999998</v>
      </c>
      <c r="F115" s="907">
        <f>E115</f>
        <v>0.79349999999999998</v>
      </c>
      <c r="G115" s="907">
        <f>F115</f>
        <v>0.79349999999999998</v>
      </c>
      <c r="H115" s="907">
        <f>G115</f>
        <v>0.79349999999999998</v>
      </c>
      <c r="I115" s="907">
        <f>ROUND(0.689-0.0155*B113,4)</f>
        <v>0.63270000000000004</v>
      </c>
      <c r="J115" s="907">
        <f t="shared" ref="J115:M118" si="33">I115</f>
        <v>0.63270000000000004</v>
      </c>
      <c r="K115" s="907">
        <f t="shared" si="33"/>
        <v>0.63270000000000004</v>
      </c>
      <c r="L115" s="907">
        <f t="shared" si="33"/>
        <v>0.63270000000000004</v>
      </c>
      <c r="M115" s="908">
        <f t="shared" si="33"/>
        <v>0.63270000000000004</v>
      </c>
    </row>
    <row r="116" spans="1:13">
      <c r="A116" s="906" t="s">
        <v>2878</v>
      </c>
      <c r="B116" s="907">
        <f>ROUND(0.949-0.012*B113,4)</f>
        <v>0.90539999999999998</v>
      </c>
      <c r="C116" s="907">
        <f>B116</f>
        <v>0.90539999999999998</v>
      </c>
      <c r="D116" s="907">
        <f>ROUND(0.8567-0.013*B113,4)</f>
        <v>0.8095</v>
      </c>
      <c r="E116" s="907">
        <f t="shared" ref="E116:H117" si="34">D116</f>
        <v>0.8095</v>
      </c>
      <c r="F116" s="907">
        <f t="shared" si="34"/>
        <v>0.8095</v>
      </c>
      <c r="G116" s="907">
        <f t="shared" si="34"/>
        <v>0.8095</v>
      </c>
      <c r="H116" s="907">
        <f t="shared" si="34"/>
        <v>0.8095</v>
      </c>
      <c r="I116" s="907">
        <f>ROUND(0.7694-0.014*B113,4)</f>
        <v>0.71860000000000002</v>
      </c>
      <c r="J116" s="907">
        <f t="shared" si="33"/>
        <v>0.71860000000000002</v>
      </c>
      <c r="K116" s="907">
        <f t="shared" si="33"/>
        <v>0.71860000000000002</v>
      </c>
      <c r="L116" s="907">
        <f t="shared" si="33"/>
        <v>0.71860000000000002</v>
      </c>
      <c r="M116" s="908">
        <f t="shared" si="33"/>
        <v>0.71860000000000002</v>
      </c>
    </row>
    <row r="117" spans="1:13">
      <c r="A117" s="906" t="s">
        <v>2879</v>
      </c>
      <c r="B117" s="907">
        <f>ROUND(0.8808-0.006*B113,4)</f>
        <v>0.85899999999999999</v>
      </c>
      <c r="C117" s="907">
        <f>B117</f>
        <v>0.85899999999999999</v>
      </c>
      <c r="D117" s="907">
        <f>ROUND(0.8748-0.008*B113,4)</f>
        <v>0.8458</v>
      </c>
      <c r="E117" s="907">
        <f t="shared" si="34"/>
        <v>0.8458</v>
      </c>
      <c r="F117" s="907">
        <f t="shared" si="34"/>
        <v>0.8458</v>
      </c>
      <c r="G117" s="907">
        <f t="shared" si="34"/>
        <v>0.8458</v>
      </c>
      <c r="H117" s="907">
        <f t="shared" si="34"/>
        <v>0.8458</v>
      </c>
      <c r="I117" s="907">
        <f>ROUND(0.7412-0.0095*B113,4)</f>
        <v>0.70669999999999999</v>
      </c>
      <c r="J117" s="907">
        <f t="shared" si="33"/>
        <v>0.70669999999999999</v>
      </c>
      <c r="K117" s="907">
        <f t="shared" si="33"/>
        <v>0.70669999999999999</v>
      </c>
      <c r="L117" s="907">
        <f t="shared" si="33"/>
        <v>0.70669999999999999</v>
      </c>
      <c r="M117" s="908">
        <f t="shared" si="33"/>
        <v>0.70669999999999999</v>
      </c>
    </row>
    <row r="118" spans="1:13" ht="13.5" thickBot="1">
      <c r="A118" s="714" t="s">
        <v>2880</v>
      </c>
      <c r="B118" s="909">
        <f>ROUND(0.7275-0.01*B113,4)</f>
        <v>0.69120000000000004</v>
      </c>
      <c r="C118" s="909">
        <f>B118</f>
        <v>0.69120000000000004</v>
      </c>
      <c r="D118" s="909">
        <f>ROUND(0.7043-0.012*B113,4)</f>
        <v>0.66069999999999995</v>
      </c>
      <c r="E118" s="909">
        <f>D118</f>
        <v>0.66069999999999995</v>
      </c>
      <c r="F118" s="909">
        <f>E118</f>
        <v>0.66069999999999995</v>
      </c>
      <c r="G118" s="909">
        <f>ROUND(0.6299-0.0122*B113,4)</f>
        <v>0.58560000000000001</v>
      </c>
      <c r="H118" s="909">
        <f>G118</f>
        <v>0.58560000000000001</v>
      </c>
      <c r="I118" s="909">
        <f>ROUND(0.5667-0.0136*B113,4)</f>
        <v>0.51729999999999998</v>
      </c>
      <c r="J118" s="909">
        <f t="shared" si="33"/>
        <v>0.51729999999999998</v>
      </c>
      <c r="K118" s="909">
        <f t="shared" si="33"/>
        <v>0.51729999999999998</v>
      </c>
      <c r="L118" s="909">
        <f t="shared" si="33"/>
        <v>0.51729999999999998</v>
      </c>
      <c r="M118" s="910">
        <f t="shared" si="33"/>
        <v>0.51729999999999998</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273" t="s">
        <v>183</v>
      </c>
      <c r="B18" s="879" t="s">
        <v>560</v>
      </c>
      <c r="C18" s="880" t="s">
        <v>561</v>
      </c>
      <c r="D18" s="881"/>
      <c r="E18" s="879">
        <v>1</v>
      </c>
      <c r="F18" s="882" t="s">
        <v>562</v>
      </c>
      <c r="G18" s="883"/>
      <c r="H18" s="875"/>
      <c r="I18" s="875"/>
    </row>
    <row r="19" spans="1:9" s="884" customFormat="1" ht="19.5" customHeight="1">
      <c r="A19" s="3273"/>
      <c r="B19" s="3273" t="s">
        <v>563</v>
      </c>
      <c r="C19" s="880" t="s">
        <v>564</v>
      </c>
      <c r="D19" s="881"/>
      <c r="E19" s="879">
        <v>0.9</v>
      </c>
      <c r="F19" s="882" t="s">
        <v>565</v>
      </c>
      <c r="G19" s="883"/>
      <c r="H19" s="875"/>
      <c r="I19" s="875"/>
    </row>
    <row r="20" spans="1:9" s="884" customFormat="1" ht="19.5" customHeight="1">
      <c r="A20" s="3273"/>
      <c r="B20" s="3273"/>
      <c r="C20" s="880" t="s">
        <v>566</v>
      </c>
      <c r="D20" s="881"/>
      <c r="E20" s="879">
        <v>1.1000000000000001</v>
      </c>
      <c r="F20" s="882" t="s">
        <v>567</v>
      </c>
      <c r="G20" s="883"/>
      <c r="H20" s="875"/>
      <c r="I20" s="875"/>
    </row>
    <row r="21" spans="1:9" s="884" customFormat="1" ht="19.5" customHeight="1">
      <c r="A21" s="3273"/>
      <c r="B21" s="3273"/>
      <c r="C21" s="880" t="s">
        <v>568</v>
      </c>
      <c r="D21" s="881"/>
      <c r="E21" s="879">
        <v>0.8</v>
      </c>
      <c r="F21" s="882" t="s">
        <v>569</v>
      </c>
      <c r="G21" s="883"/>
      <c r="H21" s="875"/>
      <c r="I21" s="875"/>
    </row>
    <row r="22" spans="1:9" s="884" customFormat="1" ht="19.5" customHeight="1">
      <c r="A22" s="3273"/>
      <c r="B22" s="3273"/>
      <c r="C22" s="880" t="s">
        <v>570</v>
      </c>
      <c r="D22" s="881"/>
      <c r="E22" s="879">
        <v>0.5</v>
      </c>
      <c r="F22" s="882"/>
      <c r="G22" s="883"/>
      <c r="H22" s="875"/>
      <c r="I22" s="875"/>
    </row>
    <row r="23" spans="1:9" s="884" customFormat="1" ht="19.5" customHeight="1">
      <c r="A23" s="3273" t="s">
        <v>184</v>
      </c>
      <c r="B23" s="879" t="s">
        <v>560</v>
      </c>
      <c r="C23" s="880" t="s">
        <v>571</v>
      </c>
      <c r="D23" s="881"/>
      <c r="E23" s="879">
        <v>1</v>
      </c>
      <c r="F23" s="882" t="s">
        <v>572</v>
      </c>
      <c r="G23" s="883"/>
      <c r="H23" s="875"/>
      <c r="I23" s="875"/>
    </row>
    <row r="24" spans="1:9" s="884" customFormat="1" ht="19.5" customHeight="1">
      <c r="A24" s="3273"/>
      <c r="B24" s="3273" t="s">
        <v>563</v>
      </c>
      <c r="C24" s="880" t="s">
        <v>573</v>
      </c>
      <c r="D24" s="881"/>
      <c r="E24" s="879">
        <v>0.5</v>
      </c>
      <c r="F24" s="882"/>
      <c r="G24" s="883"/>
      <c r="H24" s="875"/>
      <c r="I24" s="875"/>
    </row>
    <row r="25" spans="1:9" s="884" customFormat="1" ht="19.5" customHeight="1">
      <c r="A25" s="3273"/>
      <c r="B25" s="3273"/>
      <c r="C25" s="880" t="s">
        <v>574</v>
      </c>
      <c r="D25" s="881"/>
      <c r="E25" s="879">
        <v>1.1000000000000001</v>
      </c>
      <c r="F25" s="882"/>
      <c r="G25" s="883"/>
      <c r="H25" s="875"/>
      <c r="I25" s="875"/>
    </row>
    <row r="26" spans="1:9" s="884" customFormat="1" ht="19.5" customHeight="1">
      <c r="A26" s="3273"/>
      <c r="B26" s="3273"/>
      <c r="C26" s="880" t="s">
        <v>575</v>
      </c>
      <c r="D26" s="881"/>
      <c r="E26" s="879">
        <v>1.1000000000000001</v>
      </c>
      <c r="F26" s="882"/>
      <c r="G26" s="883"/>
      <c r="H26" s="875"/>
      <c r="I26" s="875"/>
    </row>
    <row r="27" spans="1:9" s="884" customFormat="1" ht="19.5" customHeight="1">
      <c r="A27" s="3273"/>
      <c r="B27" s="3273"/>
      <c r="C27" s="880" t="s">
        <v>576</v>
      </c>
      <c r="D27" s="881"/>
      <c r="E27" s="879">
        <v>0.9</v>
      </c>
      <c r="F27" s="882" t="s">
        <v>577</v>
      </c>
      <c r="G27" s="883"/>
      <c r="H27" s="875"/>
      <c r="I27" s="875"/>
    </row>
    <row r="28" spans="1:9" s="884" customFormat="1" ht="19.5" customHeight="1">
      <c r="A28" s="3273"/>
      <c r="B28" s="3273"/>
      <c r="C28" s="880" t="s">
        <v>578</v>
      </c>
      <c r="D28" s="881"/>
      <c r="E28" s="879">
        <v>0.9</v>
      </c>
      <c r="F28" s="882" t="s">
        <v>579</v>
      </c>
      <c r="G28" s="883"/>
      <c r="H28" s="875"/>
      <c r="I28" s="875"/>
    </row>
    <row r="29" spans="1:9" s="884" customFormat="1" ht="19.5" customHeight="1">
      <c r="A29" s="3273"/>
      <c r="B29" s="3273"/>
      <c r="C29" s="880" t="s">
        <v>580</v>
      </c>
      <c r="D29" s="881"/>
      <c r="E29" s="879">
        <v>0.9</v>
      </c>
      <c r="F29" s="882" t="s">
        <v>581</v>
      </c>
      <c r="G29" s="883"/>
      <c r="H29" s="875"/>
      <c r="I29" s="875"/>
    </row>
    <row r="30" spans="1:9" s="884" customFormat="1" ht="19.5" customHeight="1">
      <c r="A30" s="3273"/>
      <c r="B30" s="3273"/>
      <c r="C30" s="880" t="s">
        <v>582</v>
      </c>
      <c r="D30" s="881"/>
      <c r="E30" s="879">
        <v>0.9</v>
      </c>
      <c r="F30" s="882" t="s">
        <v>583</v>
      </c>
      <c r="G30" s="883"/>
      <c r="H30" s="875"/>
      <c r="I30" s="875"/>
    </row>
    <row r="31" spans="1:9" s="884" customFormat="1" ht="19.5" customHeight="1">
      <c r="A31" s="3273"/>
      <c r="B31" s="3273"/>
      <c r="C31" s="880" t="s">
        <v>584</v>
      </c>
      <c r="D31" s="881"/>
      <c r="E31" s="879">
        <v>0.8</v>
      </c>
      <c r="F31" s="882" t="s">
        <v>585</v>
      </c>
      <c r="G31" s="883"/>
      <c r="H31" s="875"/>
      <c r="I31" s="875"/>
    </row>
    <row r="32" spans="1:9" s="884" customFormat="1" ht="19.5" customHeight="1">
      <c r="A32" s="3273"/>
      <c r="B32" s="3273"/>
      <c r="C32" s="880" t="s">
        <v>586</v>
      </c>
      <c r="D32" s="881"/>
      <c r="E32" s="879">
        <v>0.8</v>
      </c>
      <c r="F32" s="882" t="s">
        <v>587</v>
      </c>
      <c r="G32" s="883"/>
      <c r="H32" s="875"/>
      <c r="I32" s="875"/>
    </row>
    <row r="33" spans="1:9" s="884" customFormat="1" ht="19.5" customHeight="1">
      <c r="A33" s="3273" t="s">
        <v>185</v>
      </c>
      <c r="B33" s="879" t="s">
        <v>560</v>
      </c>
      <c r="C33" s="880" t="s">
        <v>588</v>
      </c>
      <c r="D33" s="881"/>
      <c r="E33" s="879">
        <v>1</v>
      </c>
      <c r="F33" s="882" t="s">
        <v>589</v>
      </c>
      <c r="G33" s="883"/>
      <c r="H33" s="875"/>
      <c r="I33" s="875"/>
    </row>
    <row r="34" spans="1:9" s="884" customFormat="1" ht="19.5" customHeight="1">
      <c r="A34" s="3273"/>
      <c r="B34" s="879" t="s">
        <v>563</v>
      </c>
      <c r="C34" s="880" t="s">
        <v>590</v>
      </c>
      <c r="D34" s="881"/>
      <c r="E34" s="879">
        <v>1.5</v>
      </c>
      <c r="F34" s="882" t="s">
        <v>591</v>
      </c>
      <c r="G34" s="883"/>
      <c r="H34" s="875"/>
      <c r="I34" s="875"/>
    </row>
    <row r="35" spans="1:9" s="884" customFormat="1" ht="19.5" customHeight="1">
      <c r="A35" s="3273" t="s">
        <v>186</v>
      </c>
      <c r="B35" s="879" t="s">
        <v>560</v>
      </c>
      <c r="C35" s="880" t="s">
        <v>592</v>
      </c>
      <c r="D35" s="881"/>
      <c r="E35" s="879">
        <v>1</v>
      </c>
      <c r="F35" s="882" t="s">
        <v>593</v>
      </c>
      <c r="G35" s="883"/>
      <c r="H35" s="875"/>
      <c r="I35" s="875"/>
    </row>
    <row r="36" spans="1:9" s="884" customFormat="1" ht="19.5" customHeight="1">
      <c r="A36" s="3273"/>
      <c r="B36" s="3273" t="s">
        <v>563</v>
      </c>
      <c r="C36" s="880" t="s">
        <v>594</v>
      </c>
      <c r="D36" s="881"/>
      <c r="E36" s="879">
        <v>1</v>
      </c>
      <c r="F36" s="882" t="s">
        <v>595</v>
      </c>
      <c r="G36" s="883"/>
      <c r="H36" s="875"/>
      <c r="I36" s="875"/>
    </row>
    <row r="37" spans="1:9" s="884" customFormat="1" ht="19.5" customHeight="1">
      <c r="A37" s="3273"/>
      <c r="B37" s="3273"/>
      <c r="C37" s="880" t="s">
        <v>596</v>
      </c>
      <c r="D37" s="881"/>
      <c r="E37" s="879">
        <v>1.5</v>
      </c>
      <c r="F37" s="882" t="s">
        <v>597</v>
      </c>
      <c r="G37" s="883"/>
      <c r="H37" s="875"/>
      <c r="I37" s="875"/>
    </row>
    <row r="38" spans="1:9" s="884" customFormat="1" ht="19.5" customHeight="1">
      <c r="A38" s="3273"/>
      <c r="B38" s="3273"/>
      <c r="C38" s="880" t="s">
        <v>598</v>
      </c>
      <c r="D38" s="881"/>
      <c r="E38" s="879">
        <v>1</v>
      </c>
      <c r="F38" s="882" t="s">
        <v>599</v>
      </c>
      <c r="G38" s="883"/>
      <c r="H38" s="875"/>
      <c r="I38" s="875"/>
    </row>
    <row r="39" spans="1:9" s="884" customFormat="1" ht="19.5" customHeight="1">
      <c r="A39" s="3273"/>
      <c r="B39" s="3273"/>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273" t="s">
        <v>614</v>
      </c>
      <c r="C61" s="815" t="s">
        <v>615</v>
      </c>
      <c r="D61" s="815" t="s">
        <v>616</v>
      </c>
      <c r="E61" s="892">
        <v>0.5</v>
      </c>
      <c r="F61" s="879">
        <v>80</v>
      </c>
    </row>
    <row r="62" spans="1:8" s="875" customFormat="1" ht="24">
      <c r="A62" s="879">
        <v>2</v>
      </c>
      <c r="B62" s="3273"/>
      <c r="C62" s="815" t="s">
        <v>617</v>
      </c>
      <c r="D62" s="815" t="s">
        <v>618</v>
      </c>
      <c r="E62" s="892">
        <v>0.5</v>
      </c>
      <c r="F62" s="879">
        <v>80</v>
      </c>
    </row>
    <row r="63" spans="1:8" s="875" customFormat="1" ht="36">
      <c r="A63" s="879">
        <v>3</v>
      </c>
      <c r="B63" s="3273"/>
      <c r="C63" s="815" t="s">
        <v>619</v>
      </c>
      <c r="D63" s="815" t="s">
        <v>620</v>
      </c>
      <c r="E63" s="892">
        <v>0.5</v>
      </c>
      <c r="F63" s="879">
        <v>80</v>
      </c>
    </row>
    <row r="64" spans="1:8" s="875" customFormat="1" ht="36">
      <c r="A64" s="879">
        <v>4</v>
      </c>
      <c r="B64" s="3273"/>
      <c r="C64" s="815" t="s">
        <v>621</v>
      </c>
      <c r="D64" s="815" t="s">
        <v>622</v>
      </c>
      <c r="E64" s="892">
        <v>0.4</v>
      </c>
      <c r="F64" s="879">
        <v>60</v>
      </c>
    </row>
    <row r="65" spans="1:6" s="875" customFormat="1" ht="36">
      <c r="A65" s="879">
        <v>5</v>
      </c>
      <c r="B65" s="3273"/>
      <c r="C65" s="815" t="s">
        <v>623</v>
      </c>
      <c r="D65" s="815" t="s">
        <v>624</v>
      </c>
      <c r="E65" s="892">
        <v>0.2</v>
      </c>
      <c r="F65" s="879">
        <v>30</v>
      </c>
    </row>
    <row r="66" spans="1:6" s="875" customFormat="1" ht="36">
      <c r="A66" s="879">
        <v>6</v>
      </c>
      <c r="B66" s="3273"/>
      <c r="C66" s="815" t="s">
        <v>625</v>
      </c>
      <c r="D66" s="815" t="s">
        <v>626</v>
      </c>
      <c r="E66" s="892">
        <v>0.3</v>
      </c>
      <c r="F66" s="879">
        <v>50</v>
      </c>
    </row>
    <row r="67" spans="1:6" s="875" customFormat="1" ht="36">
      <c r="A67" s="879">
        <v>7</v>
      </c>
      <c r="B67" s="3273"/>
      <c r="C67" s="815" t="s">
        <v>627</v>
      </c>
      <c r="D67" s="815" t="s">
        <v>628</v>
      </c>
      <c r="E67" s="892">
        <v>0.2</v>
      </c>
      <c r="F67" s="879">
        <v>30</v>
      </c>
    </row>
    <row r="68" spans="1:6" s="875" customFormat="1" ht="36">
      <c r="A68" s="879">
        <v>8</v>
      </c>
      <c r="B68" s="3273"/>
      <c r="C68" s="815" t="s">
        <v>629</v>
      </c>
      <c r="D68" s="815" t="s">
        <v>630</v>
      </c>
      <c r="E68" s="892">
        <v>0.2</v>
      </c>
      <c r="F68" s="879">
        <v>30</v>
      </c>
    </row>
    <row r="69" spans="1:6" s="875" customFormat="1" ht="36">
      <c r="A69" s="879">
        <v>9</v>
      </c>
      <c r="B69" s="3273"/>
      <c r="C69" s="815" t="s">
        <v>631</v>
      </c>
      <c r="D69" s="815" t="s">
        <v>632</v>
      </c>
      <c r="E69" s="892">
        <v>0.2</v>
      </c>
      <c r="F69" s="879">
        <v>30</v>
      </c>
    </row>
    <row r="70" spans="1:6" s="875" customFormat="1" ht="48">
      <c r="A70" s="879">
        <v>10</v>
      </c>
      <c r="B70" s="3273"/>
      <c r="C70" s="815" t="s">
        <v>633</v>
      </c>
      <c r="D70" s="815" t="s">
        <v>634</v>
      </c>
      <c r="E70" s="892">
        <v>0.2</v>
      </c>
      <c r="F70" s="879">
        <v>30</v>
      </c>
    </row>
    <row r="71" spans="1:6" s="875" customFormat="1" ht="48">
      <c r="A71" s="879">
        <v>11</v>
      </c>
      <c r="B71" s="3273"/>
      <c r="C71" s="815" t="s">
        <v>635</v>
      </c>
      <c r="D71" s="815" t="s">
        <v>636</v>
      </c>
      <c r="E71" s="892">
        <v>0.2</v>
      </c>
      <c r="F71" s="879">
        <v>30</v>
      </c>
    </row>
    <row r="72" spans="1:6" s="875" customFormat="1" ht="36">
      <c r="A72" s="879">
        <v>12</v>
      </c>
      <c r="B72" s="3273"/>
      <c r="C72" s="815" t="s">
        <v>637</v>
      </c>
      <c r="D72" s="815" t="s">
        <v>638</v>
      </c>
      <c r="E72" s="892">
        <v>0.5</v>
      </c>
      <c r="F72" s="879">
        <v>80</v>
      </c>
    </row>
    <row r="73" spans="1:6" s="875" customFormat="1" ht="24">
      <c r="A73" s="879">
        <v>13</v>
      </c>
      <c r="B73" s="3273"/>
      <c r="C73" s="815" t="s">
        <v>639</v>
      </c>
      <c r="D73" s="815" t="s">
        <v>640</v>
      </c>
      <c r="E73" s="892">
        <v>0.4</v>
      </c>
      <c r="F73" s="879">
        <v>60</v>
      </c>
    </row>
    <row r="74" spans="1:6" s="875" customFormat="1" ht="24">
      <c r="A74" s="879">
        <v>14</v>
      </c>
      <c r="B74" s="3273"/>
      <c r="C74" s="815" t="s">
        <v>641</v>
      </c>
      <c r="D74" s="815" t="s">
        <v>642</v>
      </c>
      <c r="E74" s="892">
        <v>0.2</v>
      </c>
      <c r="F74" s="879">
        <v>30</v>
      </c>
    </row>
    <row r="75" spans="1:6" s="875" customFormat="1" ht="24">
      <c r="A75" s="879">
        <v>15</v>
      </c>
      <c r="B75" s="3273"/>
      <c r="C75" s="815" t="s">
        <v>643</v>
      </c>
      <c r="D75" s="815" t="s">
        <v>644</v>
      </c>
      <c r="E75" s="892">
        <v>0.2</v>
      </c>
      <c r="F75" s="879">
        <v>30</v>
      </c>
    </row>
    <row r="76" spans="1:6" s="875" customFormat="1" ht="24">
      <c r="A76" s="879">
        <v>16</v>
      </c>
      <c r="B76" s="3273" t="s">
        <v>645</v>
      </c>
      <c r="C76" s="815" t="s">
        <v>646</v>
      </c>
      <c r="D76" s="815" t="s">
        <v>647</v>
      </c>
      <c r="E76" s="892">
        <v>0.5</v>
      </c>
      <c r="F76" s="879">
        <v>80</v>
      </c>
    </row>
    <row r="77" spans="1:6" s="875" customFormat="1" ht="24">
      <c r="A77" s="879">
        <v>17</v>
      </c>
      <c r="B77" s="3273"/>
      <c r="C77" s="815" t="s">
        <v>648</v>
      </c>
      <c r="D77" s="815" t="s">
        <v>649</v>
      </c>
      <c r="E77" s="892">
        <v>0.5</v>
      </c>
      <c r="F77" s="879">
        <v>80</v>
      </c>
    </row>
    <row r="78" spans="1:6" s="875" customFormat="1" ht="24">
      <c r="A78" s="879">
        <v>18</v>
      </c>
      <c r="B78" s="3273"/>
      <c r="C78" s="815" t="s">
        <v>650</v>
      </c>
      <c r="D78" s="815" t="s">
        <v>651</v>
      </c>
      <c r="E78" s="892">
        <v>0.2</v>
      </c>
      <c r="F78" s="879">
        <v>30</v>
      </c>
    </row>
    <row r="79" spans="1:6" s="875" customFormat="1" ht="24">
      <c r="A79" s="879">
        <v>19</v>
      </c>
      <c r="B79" s="3273"/>
      <c r="C79" s="815" t="s">
        <v>652</v>
      </c>
      <c r="D79" s="815" t="s">
        <v>653</v>
      </c>
      <c r="E79" s="892">
        <v>0.5</v>
      </c>
      <c r="F79" s="879">
        <v>80</v>
      </c>
    </row>
    <row r="80" spans="1:6" s="875" customFormat="1" ht="36">
      <c r="A80" s="879">
        <v>20</v>
      </c>
      <c r="B80" s="3273"/>
      <c r="C80" s="815" t="s">
        <v>654</v>
      </c>
      <c r="D80" s="815" t="s">
        <v>655</v>
      </c>
      <c r="E80" s="892">
        <v>0.2</v>
      </c>
      <c r="F80" s="879">
        <v>30</v>
      </c>
    </row>
    <row r="81" spans="1:6" s="875" customFormat="1" ht="36">
      <c r="A81" s="879">
        <v>21</v>
      </c>
      <c r="B81" s="3273"/>
      <c r="C81" s="815" t="s">
        <v>656</v>
      </c>
      <c r="D81" s="815" t="s">
        <v>657</v>
      </c>
      <c r="E81" s="892">
        <v>0.2</v>
      </c>
      <c r="F81" s="879">
        <v>30</v>
      </c>
    </row>
    <row r="82" spans="1:6" s="875" customFormat="1" ht="48">
      <c r="A82" s="879">
        <v>22</v>
      </c>
      <c r="B82" s="3273"/>
      <c r="C82" s="815" t="s">
        <v>658</v>
      </c>
      <c r="D82" s="815" t="s">
        <v>659</v>
      </c>
      <c r="E82" s="892">
        <v>0.2</v>
      </c>
      <c r="F82" s="879">
        <v>30</v>
      </c>
    </row>
    <row r="83" spans="1:6" s="875" customFormat="1" ht="48">
      <c r="A83" s="879">
        <v>23</v>
      </c>
      <c r="B83" s="3273"/>
      <c r="C83" s="815" t="s">
        <v>660</v>
      </c>
      <c r="D83" s="815" t="s">
        <v>661</v>
      </c>
      <c r="E83" s="892">
        <v>0.2</v>
      </c>
      <c r="F83" s="879">
        <v>30</v>
      </c>
    </row>
    <row r="84" spans="1:6" s="875" customFormat="1" ht="36">
      <c r="A84" s="879">
        <v>24</v>
      </c>
      <c r="B84" s="3273"/>
      <c r="C84" s="815" t="s">
        <v>662</v>
      </c>
      <c r="D84" s="815" t="s">
        <v>663</v>
      </c>
      <c r="E84" s="892">
        <v>0.2</v>
      </c>
      <c r="F84" s="879">
        <v>30</v>
      </c>
    </row>
    <row r="85" spans="1:6" s="875" customFormat="1" ht="36">
      <c r="A85" s="879">
        <v>25</v>
      </c>
      <c r="B85" s="3273"/>
      <c r="C85" s="815" t="s">
        <v>664</v>
      </c>
      <c r="D85" s="815" t="s">
        <v>665</v>
      </c>
      <c r="E85" s="892">
        <v>0.5</v>
      </c>
      <c r="F85" s="879">
        <v>80</v>
      </c>
    </row>
    <row r="86" spans="1:6" s="875" customFormat="1" ht="36">
      <c r="A86" s="879">
        <v>26</v>
      </c>
      <c r="B86" s="3273"/>
      <c r="C86" s="815" t="s">
        <v>666</v>
      </c>
      <c r="D86" s="815" t="s">
        <v>667</v>
      </c>
      <c r="E86" s="892">
        <v>0.2</v>
      </c>
      <c r="F86" s="879">
        <v>30</v>
      </c>
    </row>
    <row r="87" spans="1:6" s="875" customFormat="1" ht="36">
      <c r="A87" s="879">
        <v>27</v>
      </c>
      <c r="B87" s="3273"/>
      <c r="C87" s="815" t="s">
        <v>668</v>
      </c>
      <c r="D87" s="815" t="s">
        <v>669</v>
      </c>
      <c r="E87" s="892">
        <v>0.2</v>
      </c>
      <c r="F87" s="879">
        <v>30</v>
      </c>
    </row>
    <row r="88" spans="1:6" s="875" customFormat="1" ht="36">
      <c r="A88" s="879">
        <v>28</v>
      </c>
      <c r="B88" s="3273"/>
      <c r="C88" s="815" t="s">
        <v>670</v>
      </c>
      <c r="D88" s="815" t="s">
        <v>671</v>
      </c>
      <c r="E88" s="892">
        <v>0.2</v>
      </c>
      <c r="F88" s="879">
        <v>30</v>
      </c>
    </row>
    <row r="89" spans="1:6" s="875" customFormat="1" ht="24">
      <c r="A89" s="879">
        <v>29</v>
      </c>
      <c r="B89" s="3273"/>
      <c r="C89" s="815" t="s">
        <v>672</v>
      </c>
      <c r="D89" s="815" t="s">
        <v>673</v>
      </c>
      <c r="E89" s="892">
        <v>0.2</v>
      </c>
      <c r="F89" s="879">
        <v>30</v>
      </c>
    </row>
    <row r="90" spans="1:6" s="875" customFormat="1" ht="24">
      <c r="A90" s="879">
        <v>30</v>
      </c>
      <c r="B90" s="3273"/>
      <c r="C90" s="815" t="s">
        <v>674</v>
      </c>
      <c r="D90" s="815" t="s">
        <v>675</v>
      </c>
      <c r="E90" s="892">
        <v>0.2</v>
      </c>
      <c r="F90" s="879">
        <v>30</v>
      </c>
    </row>
    <row r="91" spans="1:6" s="875" customFormat="1" ht="36">
      <c r="A91" s="879">
        <v>31</v>
      </c>
      <c r="B91" s="3273"/>
      <c r="C91" s="815" t="s">
        <v>676</v>
      </c>
      <c r="D91" s="815" t="s">
        <v>677</v>
      </c>
      <c r="E91" s="892">
        <v>0.2</v>
      </c>
      <c r="F91" s="879">
        <v>30</v>
      </c>
    </row>
    <row r="92" spans="1:6" s="875" customFormat="1" ht="24">
      <c r="A92" s="879">
        <v>32</v>
      </c>
      <c r="B92" s="3273" t="s">
        <v>678</v>
      </c>
      <c r="C92" s="879" t="s">
        <v>679</v>
      </c>
      <c r="D92" s="815" t="s">
        <v>680</v>
      </c>
      <c r="E92" s="892">
        <v>0.2</v>
      </c>
      <c r="F92" s="879">
        <v>30</v>
      </c>
    </row>
    <row r="93" spans="1:6" s="875" customFormat="1" ht="36">
      <c r="A93" s="879">
        <v>33</v>
      </c>
      <c r="B93" s="3273"/>
      <c r="C93" s="879" t="s">
        <v>681</v>
      </c>
      <c r="D93" s="815" t="s">
        <v>682</v>
      </c>
      <c r="E93" s="892">
        <v>0.2</v>
      </c>
      <c r="F93" s="879">
        <v>30</v>
      </c>
    </row>
    <row r="94" spans="1:6" s="875" customFormat="1" ht="48">
      <c r="A94" s="879">
        <v>34</v>
      </c>
      <c r="B94" s="3273"/>
      <c r="C94" s="879" t="s">
        <v>683</v>
      </c>
      <c r="D94" s="815" t="s">
        <v>684</v>
      </c>
      <c r="E94" s="892">
        <v>0.2</v>
      </c>
      <c r="F94" s="879">
        <v>30</v>
      </c>
    </row>
    <row r="95" spans="1:6" s="875" customFormat="1" ht="36">
      <c r="A95" s="879">
        <v>35</v>
      </c>
      <c r="B95" s="3273"/>
      <c r="C95" s="879" t="s">
        <v>685</v>
      </c>
      <c r="D95" s="815" t="s">
        <v>686</v>
      </c>
      <c r="E95" s="892">
        <v>0.2</v>
      </c>
      <c r="F95" s="879">
        <v>30</v>
      </c>
    </row>
    <row r="96" spans="1:6" s="875" customFormat="1" ht="48">
      <c r="A96" s="879">
        <v>36</v>
      </c>
      <c r="B96" s="3273"/>
      <c r="C96" s="815" t="s">
        <v>687</v>
      </c>
      <c r="D96" s="815" t="s">
        <v>688</v>
      </c>
      <c r="E96" s="892">
        <v>0.2</v>
      </c>
      <c r="F96" s="879">
        <v>30</v>
      </c>
    </row>
    <row r="97" spans="1:6" s="875" customFormat="1" ht="36">
      <c r="A97" s="879">
        <v>37</v>
      </c>
      <c r="B97" s="3273"/>
      <c r="C97" s="879" t="s">
        <v>689</v>
      </c>
      <c r="D97" s="815" t="s">
        <v>690</v>
      </c>
      <c r="E97" s="892">
        <v>0.2</v>
      </c>
      <c r="F97" s="879">
        <v>30</v>
      </c>
    </row>
    <row r="98" spans="1:6" s="875" customFormat="1" ht="36">
      <c r="A98" s="879">
        <v>38</v>
      </c>
      <c r="B98" s="3273"/>
      <c r="C98" s="879" t="s">
        <v>691</v>
      </c>
      <c r="D98" s="815" t="s">
        <v>692</v>
      </c>
      <c r="E98" s="892">
        <v>0.2</v>
      </c>
      <c r="F98" s="879">
        <v>30</v>
      </c>
    </row>
    <row r="99" spans="1:6" s="875" customFormat="1" ht="36">
      <c r="A99" s="879">
        <v>39</v>
      </c>
      <c r="B99" s="3273" t="s">
        <v>693</v>
      </c>
      <c r="C99" s="879" t="s">
        <v>694</v>
      </c>
      <c r="D99" s="815" t="s">
        <v>695</v>
      </c>
      <c r="E99" s="892">
        <v>0.3</v>
      </c>
      <c r="F99" s="879">
        <v>50</v>
      </c>
    </row>
    <row r="100" spans="1:6" s="875" customFormat="1" ht="24">
      <c r="A100" s="879">
        <v>40</v>
      </c>
      <c r="B100" s="3273"/>
      <c r="C100" s="879" t="s">
        <v>696</v>
      </c>
      <c r="D100" s="815" t="s">
        <v>697</v>
      </c>
      <c r="E100" s="892">
        <v>0.2</v>
      </c>
      <c r="F100" s="879">
        <v>30</v>
      </c>
    </row>
    <row r="101" spans="1:6" s="875" customFormat="1" ht="36">
      <c r="A101" s="879">
        <v>41</v>
      </c>
      <c r="B101" s="3273"/>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273" t="s">
        <v>708</v>
      </c>
      <c r="C105" s="879" t="s">
        <v>709</v>
      </c>
      <c r="D105" s="815" t="s">
        <v>710</v>
      </c>
      <c r="E105" s="892">
        <v>0.2</v>
      </c>
      <c r="F105" s="879">
        <v>30</v>
      </c>
    </row>
    <row r="106" spans="1:6" s="875" customFormat="1" ht="36">
      <c r="A106" s="879">
        <v>46</v>
      </c>
      <c r="B106" s="3273"/>
      <c r="C106" s="879" t="s">
        <v>711</v>
      </c>
      <c r="D106" s="815" t="s">
        <v>712</v>
      </c>
      <c r="E106" s="892">
        <v>0.2</v>
      </c>
      <c r="F106" s="879">
        <v>30</v>
      </c>
    </row>
    <row r="107" spans="1:6" s="875" customFormat="1" ht="36">
      <c r="A107" s="879">
        <v>47</v>
      </c>
      <c r="B107" s="3273" t="s">
        <v>713</v>
      </c>
      <c r="C107" s="879" t="s">
        <v>714</v>
      </c>
      <c r="D107" s="815" t="s">
        <v>715</v>
      </c>
      <c r="E107" s="892">
        <v>0.3</v>
      </c>
      <c r="F107" s="879">
        <v>50</v>
      </c>
    </row>
    <row r="108" spans="1:6" s="875" customFormat="1" ht="36">
      <c r="A108" s="879">
        <v>48</v>
      </c>
      <c r="B108" s="3273"/>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273" t="s">
        <v>724</v>
      </c>
      <c r="C111" s="879" t="s">
        <v>725</v>
      </c>
      <c r="D111" s="815" t="s">
        <v>726</v>
      </c>
      <c r="E111" s="892">
        <v>0.2</v>
      </c>
      <c r="F111" s="879">
        <v>30</v>
      </c>
    </row>
    <row r="112" spans="1:6" s="875" customFormat="1" ht="24">
      <c r="A112" s="879">
        <v>52</v>
      </c>
      <c r="B112" s="3273"/>
      <c r="C112" s="879" t="s">
        <v>727</v>
      </c>
      <c r="D112" s="815" t="s">
        <v>728</v>
      </c>
      <c r="E112" s="892">
        <v>0.2</v>
      </c>
      <c r="F112" s="879">
        <v>30</v>
      </c>
    </row>
    <row r="113" spans="1:6" s="875" customFormat="1" ht="24">
      <c r="A113" s="879">
        <v>53</v>
      </c>
      <c r="B113" s="3273"/>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273" t="s">
        <v>737</v>
      </c>
      <c r="C116" s="879" t="s">
        <v>738</v>
      </c>
      <c r="D116" s="815" t="s">
        <v>739</v>
      </c>
      <c r="E116" s="892">
        <v>0.2</v>
      </c>
      <c r="F116" s="879">
        <v>30</v>
      </c>
    </row>
    <row r="117" spans="1:6" ht="36">
      <c r="A117" s="879">
        <v>57</v>
      </c>
      <c r="B117" s="3273"/>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SUMPRODUCT((A105:A204=ROUNDDOWN('基准地价修正-办公'!G3,1))*(B104:M104='基准地价修正-办公'!G2)*(B105:M204))</f>
        <v>0.89190000000000003</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K22" sqref="K22"/>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9" t="s">
        <v>1146</v>
      </c>
      <c r="C1" s="3279"/>
      <c r="D1" s="3279"/>
      <c r="E1" s="3279"/>
      <c r="F1" s="3279"/>
      <c r="G1" s="3278" t="s">
        <v>1147</v>
      </c>
      <c r="H1" s="3278"/>
      <c r="I1" s="3278"/>
      <c r="J1" s="3278"/>
      <c r="K1" s="3278"/>
      <c r="L1" s="3278"/>
      <c r="N1" s="3278" t="s">
        <v>1148</v>
      </c>
      <c r="O1" s="3278"/>
      <c r="P1" s="3278"/>
      <c r="Q1" s="3278"/>
      <c r="R1" s="1446"/>
      <c r="S1" s="3278" t="s">
        <v>1149</v>
      </c>
      <c r="T1" s="3278"/>
      <c r="U1" s="3278"/>
      <c r="V1" s="3278"/>
      <c r="X1" s="3277" t="s">
        <v>1150</v>
      </c>
      <c r="Y1" s="3278"/>
      <c r="Z1" s="3278"/>
      <c r="AA1" s="3278"/>
      <c r="AB1" s="3278"/>
      <c r="AD1" s="3277" t="s">
        <v>1151</v>
      </c>
      <c r="AE1" s="3278"/>
      <c r="AF1" s="3278"/>
      <c r="AG1" s="3278"/>
      <c r="AH1" s="3278"/>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9" customFormat="1" ht="14.25">
      <c r="A3" s="2938" t="s">
        <v>3035</v>
      </c>
      <c r="B3" s="2930"/>
      <c r="C3" s="2930"/>
      <c r="D3" s="2931"/>
      <c r="E3" s="2931"/>
      <c r="F3" s="2930"/>
      <c r="G3" s="2932"/>
      <c r="H3" s="2933"/>
      <c r="I3" s="2934">
        <f>ROUND(AVERAGE($I4:$I25),2)</f>
        <v>2.13</v>
      </c>
      <c r="J3" s="2934">
        <f>ROUND(AVERAGE($J4:$J25),2)</f>
        <v>1.51</v>
      </c>
      <c r="K3" s="2934">
        <f>ROUND(AVERAGE($K4:$K25),2)</f>
        <v>2.34</v>
      </c>
      <c r="L3" s="2934">
        <f>ROUND(AVERAGE($L4:$L25),2)</f>
        <v>1.42</v>
      </c>
      <c r="N3" s="2932"/>
      <c r="O3" s="2935"/>
      <c r="P3" s="2935"/>
      <c r="Q3" s="2935"/>
      <c r="R3" s="2935"/>
      <c r="S3" s="2932"/>
      <c r="T3" s="2935"/>
      <c r="U3" s="2935"/>
      <c r="V3" s="2935"/>
      <c r="W3" s="2927"/>
      <c r="X3" s="2936">
        <f>ROUND(SUMPRODUCT(PRODUCT(1+N3:N$24)),4)</f>
        <v>1.5099</v>
      </c>
      <c r="Y3" s="2936">
        <f>ROUND(SUMPRODUCT(PRODUCT(1+O3:O$24)),4)</f>
        <v>1.3372999999999999</v>
      </c>
      <c r="Z3" s="2936">
        <f t="shared" ref="Z3:Z22" si="0">Y3</f>
        <v>1.3372999999999999</v>
      </c>
      <c r="AA3" s="2936">
        <f>ROUND(SUMPRODUCT(PRODUCT(1+P3:P$24)),4)</f>
        <v>1.5683</v>
      </c>
      <c r="AB3" s="2936">
        <f>ROUND(SUMPRODUCT(PRODUCT(1+Q3:Q$24)),4)</f>
        <v>1.3255999999999999</v>
      </c>
      <c r="AD3" s="2937">
        <f>ROUND(AVERAGE(I3:I$25)/100,4)</f>
        <v>2.1299999999999999E-2</v>
      </c>
      <c r="AE3" s="2937">
        <f>ROUND(AVERAGE(J3:J$25)/100,4)</f>
        <v>1.5100000000000001E-2</v>
      </c>
      <c r="AF3" s="2937">
        <f t="shared" ref="AF3:AF23" si="1">AE3</f>
        <v>1.5100000000000001E-2</v>
      </c>
      <c r="AG3" s="2937">
        <f>ROUND(AVERAGE(K3:K$25)/100,4)</f>
        <v>2.3400000000000001E-2</v>
      </c>
      <c r="AH3" s="2937">
        <f>ROUND(AVERAGE(L3:L$25)/100,4)</f>
        <v>1.4200000000000001E-2</v>
      </c>
    </row>
    <row r="4" spans="1:34" s="1453" customFormat="1" ht="14.25">
      <c r="B4" s="1454"/>
      <c r="C4" s="1454"/>
      <c r="D4" s="1455"/>
      <c r="E4" s="1455"/>
      <c r="F4" s="1454"/>
      <c r="G4" s="1456"/>
      <c r="H4" s="1457"/>
      <c r="I4" s="2924"/>
      <c r="J4" s="2924"/>
      <c r="K4" s="2924"/>
      <c r="L4" s="2924"/>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3048</v>
      </c>
      <c r="B5" s="1791">
        <f t="shared" ref="B5" si="2">B6*(1+N5)</f>
        <v>464.37293017158942</v>
      </c>
      <c r="C5" s="1791">
        <f t="shared" ref="C5" si="3">C6*(1+O5)</f>
        <v>344.73679941385956</v>
      </c>
      <c r="D5" s="1791">
        <f t="shared" ref="D5" si="4">C5</f>
        <v>344.73679941385956</v>
      </c>
      <c r="E5" s="1791">
        <f t="shared" ref="E5" si="5">E6*(1+P5)</f>
        <v>663.2377795103107</v>
      </c>
      <c r="F5" s="1791">
        <f t="shared" ref="F5" si="6">F6*(1+Q5)</f>
        <v>304.75936311478398</v>
      </c>
      <c r="G5" s="2942">
        <v>2019</v>
      </c>
      <c r="H5" s="1730">
        <v>1</v>
      </c>
      <c r="I5" s="2925">
        <v>0</v>
      </c>
      <c r="J5" s="2925">
        <v>0</v>
      </c>
      <c r="K5" s="2925">
        <v>0</v>
      </c>
      <c r="L5" s="2925">
        <v>0</v>
      </c>
      <c r="N5" s="1467">
        <f>I5/100</f>
        <v>0</v>
      </c>
      <c r="O5" s="1467">
        <f t="shared" ref="O5" si="7">J5/100</f>
        <v>0</v>
      </c>
      <c r="P5" s="1467">
        <f t="shared" ref="P5" si="8">K5/100</f>
        <v>0</v>
      </c>
      <c r="Q5" s="1467">
        <f t="shared" ref="Q5" si="9">L5/100</f>
        <v>0</v>
      </c>
      <c r="R5" s="1732"/>
      <c r="S5" s="1733"/>
      <c r="T5" s="1732"/>
      <c r="U5" s="1732"/>
      <c r="V5" s="1732"/>
      <c r="W5" s="2928" t="s">
        <v>3036</v>
      </c>
      <c r="X5" s="1726">
        <f>ROUND(IF(项目基本情况!B8="出让",SUMPRODUCT(PRODUCT(1+N5:N$25)),SUMPRODUCT(PRODUCT(1+N5:N$24))),4)</f>
        <v>1.5099</v>
      </c>
      <c r="Y5" s="1726">
        <f>ROUND(IF(项目基本情况!B8="出让",SUMPRODUCT(PRODUCT(1+O5:O$25)),SUMPRODUCT(PRODUCT(1+O5:O$24))),4)</f>
        <v>1.3372999999999999</v>
      </c>
      <c r="Z5" s="1726">
        <f t="shared" ref="Z5" si="10">Y5</f>
        <v>1.3372999999999999</v>
      </c>
      <c r="AA5" s="1726">
        <f>ROUND(IF(项目基本情况!B8="出让",SUMPRODUCT(PRODUCT(1+P5:P$25)),SUMPRODUCT(PRODUCT(1+P5:P$24))),4)</f>
        <v>1.5683</v>
      </c>
      <c r="AB5" s="1726">
        <f>ROUND(IF(项目基本情况!B8="出让",SUMPRODUCT(PRODUCT(1+Q5:Q$25)),SUMPRODUCT(PRODUCT(1+Q5:Q$24))),4)</f>
        <v>1.3255999999999999</v>
      </c>
      <c r="AD5" s="1468">
        <f>ROUND(AVERAGE(I5:I$25)/100,4)</f>
        <v>2.1299999999999999E-2</v>
      </c>
      <c r="AE5" s="1468">
        <f>ROUND(AVERAGE(J5:J$25)/100,4)</f>
        <v>1.5100000000000001E-2</v>
      </c>
      <c r="AF5" s="1468">
        <f t="shared" ref="AF5" si="11">AE5</f>
        <v>1.5100000000000001E-2</v>
      </c>
      <c r="AG5" s="1468">
        <f>ROUND(AVERAGE(K5:K$25)/100,4)</f>
        <v>2.3400000000000001E-2</v>
      </c>
      <c r="AH5" s="1468">
        <f>ROUND(AVERAGE(L5:L$25)/100,4)</f>
        <v>1.4200000000000001E-2</v>
      </c>
    </row>
    <row r="6" spans="1:34" s="1466" customFormat="1">
      <c r="A6" s="1461" t="s">
        <v>3049</v>
      </c>
      <c r="B6" s="1477">
        <f t="shared" ref="B6" si="12">B7*(1+N6)</f>
        <v>464.37293017158942</v>
      </c>
      <c r="C6" s="1477">
        <f t="shared" ref="C6" si="13">C7*(1+O6)</f>
        <v>344.73679941385956</v>
      </c>
      <c r="D6" s="1477">
        <f t="shared" ref="D6" si="14">C6</f>
        <v>344.73679941385956</v>
      </c>
      <c r="E6" s="1477">
        <f t="shared" ref="E6" si="15">E7*(1+P6)</f>
        <v>663.2377795103107</v>
      </c>
      <c r="F6" s="1477">
        <f t="shared" ref="F6" si="16">F7*(1+Q6)</f>
        <v>304.75936311478398</v>
      </c>
      <c r="G6" s="3275">
        <v>2018</v>
      </c>
      <c r="H6" s="1464">
        <v>4</v>
      </c>
      <c r="I6" s="2962">
        <v>0.96</v>
      </c>
      <c r="J6" s="2962">
        <v>1.03</v>
      </c>
      <c r="K6" s="2962">
        <v>0.92</v>
      </c>
      <c r="L6" s="2963">
        <v>1.29</v>
      </c>
      <c r="M6" s="1471"/>
      <c r="N6" s="1472">
        <f>I6/100</f>
        <v>9.5999999999999992E-3</v>
      </c>
      <c r="O6" s="1473">
        <f t="shared" ref="O6" si="17">J6/100</f>
        <v>1.03E-2</v>
      </c>
      <c r="P6" s="1473">
        <f t="shared" ref="P6" si="18">K6/100</f>
        <v>9.1999999999999998E-3</v>
      </c>
      <c r="Q6" s="1473">
        <f t="shared" ref="Q6" si="19">L6/100</f>
        <v>1.29E-2</v>
      </c>
      <c r="R6" s="1474"/>
      <c r="S6" s="1472"/>
      <c r="T6" s="1473"/>
      <c r="U6" s="1473"/>
      <c r="V6" s="1473"/>
      <c r="W6" s="1790"/>
      <c r="X6" s="1788">
        <f>ROUND(SUMPRODUCT(PRODUCT(1+N6:N$24)),4)</f>
        <v>1.5099</v>
      </c>
      <c r="Y6" s="1788">
        <f>ROUND(SUMPRODUCT(PRODUCT(1+O6:O$24)),4)</f>
        <v>1.3372999999999999</v>
      </c>
      <c r="Z6" s="1788">
        <f t="shared" ref="Z6" si="20">Y6</f>
        <v>1.3372999999999999</v>
      </c>
      <c r="AA6" s="1788">
        <f>ROUND(SUMPRODUCT(PRODUCT(1+P6:P$24)),4)</f>
        <v>1.5683</v>
      </c>
      <c r="AB6" s="1788">
        <f>ROUND(SUMPRODUCT(PRODUCT(1+Q6:Q$24)),4)</f>
        <v>1.3255999999999999</v>
      </c>
      <c r="AC6" s="1790"/>
      <c r="AD6" s="1789">
        <f>ROUND(AVERAGE(I6:I$25)/100,4)</f>
        <v>2.24E-2</v>
      </c>
      <c r="AE6" s="1789">
        <f>ROUND(AVERAGE(J6:J$25)/100,4)</f>
        <v>1.5800000000000002E-2</v>
      </c>
      <c r="AF6" s="1789">
        <f t="shared" ref="AF6" si="21">AE6</f>
        <v>1.5800000000000002E-2</v>
      </c>
      <c r="AG6" s="1789">
        <f>ROUND(AVERAGE(K6:K$25)/100,4)</f>
        <v>2.4500000000000001E-2</v>
      </c>
      <c r="AH6" s="1789">
        <f>ROUND(AVERAGE(L6:L$25)/100,4)</f>
        <v>1.49E-2</v>
      </c>
    </row>
    <row r="7" spans="1:34" s="1466" customFormat="1" ht="14.45" customHeight="1">
      <c r="A7" s="1461" t="s">
        <v>3042</v>
      </c>
      <c r="B7" s="1477">
        <f t="shared" ref="B7" si="22">B8*(1+N7)</f>
        <v>459.95733971036987</v>
      </c>
      <c r="C7" s="1477">
        <f t="shared" ref="C7" si="23">C8*(1+O7)</f>
        <v>341.22221064422405</v>
      </c>
      <c r="D7" s="1477">
        <f t="shared" ref="D7" si="24">C7</f>
        <v>341.22221064422405</v>
      </c>
      <c r="E7" s="1477">
        <f t="shared" ref="E7" si="25">E8*(1+P7)</f>
        <v>657.19161663724799</v>
      </c>
      <c r="F7" s="1477">
        <f t="shared" ref="F7" si="26">F8*(1+Q7)</f>
        <v>300.87803644464805</v>
      </c>
      <c r="G7" s="3275"/>
      <c r="H7" s="1464">
        <v>3</v>
      </c>
      <c r="I7" s="1464">
        <v>1.51</v>
      </c>
      <c r="J7" s="1464">
        <v>1.41</v>
      </c>
      <c r="K7" s="1464">
        <v>1.52</v>
      </c>
      <c r="L7" s="1478">
        <v>1.74</v>
      </c>
      <c r="M7" s="1471"/>
      <c r="N7" s="1472">
        <f>I7/100</f>
        <v>1.5100000000000001E-2</v>
      </c>
      <c r="O7" s="1473">
        <f t="shared" ref="O7" si="27">J7/100</f>
        <v>1.41E-2</v>
      </c>
      <c r="P7" s="1473">
        <f t="shared" ref="P7" si="28">K7/100</f>
        <v>1.52E-2</v>
      </c>
      <c r="Q7" s="1473">
        <f t="shared" ref="Q7" si="29">L7/100</f>
        <v>1.7399999999999999E-2</v>
      </c>
      <c r="R7" s="1474"/>
      <c r="S7" s="1472"/>
      <c r="T7" s="1473"/>
      <c r="U7" s="1473"/>
      <c r="V7" s="1473"/>
      <c r="W7" s="1790"/>
      <c r="X7" s="1788">
        <f>ROUND(SUMPRODUCT(PRODUCT(1+N7:N$24)),4)</f>
        <v>1.4956</v>
      </c>
      <c r="Y7" s="1788">
        <f>ROUND(SUMPRODUCT(PRODUCT(1+O7:O$24)),4)</f>
        <v>1.3237000000000001</v>
      </c>
      <c r="Z7" s="1788">
        <f t="shared" ref="Z7" si="30">Y7</f>
        <v>1.3237000000000001</v>
      </c>
      <c r="AA7" s="1788">
        <f>ROUND(SUMPRODUCT(PRODUCT(1+P7:P$24)),4)</f>
        <v>1.554</v>
      </c>
      <c r="AB7" s="1788">
        <f>ROUND(SUMPRODUCT(PRODUCT(1+Q7:Q$24)),4)</f>
        <v>1.3087</v>
      </c>
      <c r="AC7" s="1790"/>
      <c r="AD7" s="1789">
        <f>ROUND(AVERAGE(I7:I$25)/100,4)</f>
        <v>2.3099999999999999E-2</v>
      </c>
      <c r="AE7" s="1789">
        <f>ROUND(AVERAGE(J7:J$25)/100,4)</f>
        <v>1.61E-2</v>
      </c>
      <c r="AF7" s="1789">
        <f t="shared" ref="AF7" si="31">AE7</f>
        <v>1.61E-2</v>
      </c>
      <c r="AG7" s="1789">
        <f>ROUND(AVERAGE(K7:K$25)/100,4)</f>
        <v>2.53E-2</v>
      </c>
      <c r="AH7" s="1789">
        <f>ROUND(AVERAGE(L7:L$25)/100,4)</f>
        <v>1.4999999999999999E-2</v>
      </c>
    </row>
    <row r="8" spans="1:34" s="1466" customFormat="1" ht="14.45" customHeight="1">
      <c r="A8" s="1461" t="s">
        <v>3041</v>
      </c>
      <c r="B8" s="1477">
        <f t="shared" ref="B8" si="32">B9*(1+N8)</f>
        <v>453.11529869999993</v>
      </c>
      <c r="C8" s="1477">
        <f t="shared" ref="C8" si="33">C9*(1+O8)</f>
        <v>336.47787264000004</v>
      </c>
      <c r="D8" s="1477">
        <f t="shared" ref="D8" si="34">C8</f>
        <v>336.47787264000004</v>
      </c>
      <c r="E8" s="1477">
        <f t="shared" ref="E8" si="35">E9*(1+P8)</f>
        <v>647.35186823999993</v>
      </c>
      <c r="F8" s="1477">
        <f t="shared" ref="F8" si="36">F9*(1+Q8)</f>
        <v>295.73229452000004</v>
      </c>
      <c r="G8" s="3275"/>
      <c r="H8" s="1464">
        <v>2</v>
      </c>
      <c r="I8" s="1464">
        <v>1.49</v>
      </c>
      <c r="J8" s="1464">
        <v>0.96</v>
      </c>
      <c r="K8" s="1464">
        <v>1.58</v>
      </c>
      <c r="L8" s="1478">
        <v>2.44</v>
      </c>
      <c r="M8" s="1471"/>
      <c r="N8" s="1472">
        <f t="shared" ref="N8" si="37">I8/100</f>
        <v>1.49E-2</v>
      </c>
      <c r="O8" s="1473">
        <f t="shared" ref="O8" si="38">J8/100</f>
        <v>9.5999999999999992E-3</v>
      </c>
      <c r="P8" s="1473">
        <f t="shared" ref="P8" si="39">K8/100</f>
        <v>1.5800000000000002E-2</v>
      </c>
      <c r="Q8" s="1473">
        <f t="shared" ref="Q8" si="40">L8/100</f>
        <v>2.4399999999999998E-2</v>
      </c>
      <c r="R8" s="1474"/>
      <c r="S8" s="1472"/>
      <c r="T8" s="1473"/>
      <c r="U8" s="1473"/>
      <c r="V8" s="1473"/>
      <c r="W8" s="1790"/>
      <c r="X8" s="1788">
        <f>ROUND(SUMPRODUCT(PRODUCT(1+N8:N$24)),4)</f>
        <v>1.4733000000000001</v>
      </c>
      <c r="Y8" s="1788">
        <f>ROUND(SUMPRODUCT(PRODUCT(1+O8:O$24)),4)</f>
        <v>1.3052999999999999</v>
      </c>
      <c r="Z8" s="1788">
        <f t="shared" ref="Z8" si="41">Y8</f>
        <v>1.3052999999999999</v>
      </c>
      <c r="AA8" s="1788">
        <f>ROUND(SUMPRODUCT(PRODUCT(1+P8:P$24)),4)</f>
        <v>1.5306999999999999</v>
      </c>
      <c r="AB8" s="1788">
        <f>ROUND(SUMPRODUCT(PRODUCT(1+Q8:Q$24)),4)</f>
        <v>1.2863</v>
      </c>
      <c r="AC8" s="1790"/>
      <c r="AD8" s="1789">
        <f>ROUND(AVERAGE(I8:I$25)/100,4)</f>
        <v>2.35E-2</v>
      </c>
      <c r="AE8" s="1789">
        <f>ROUND(AVERAGE(J8:J$25)/100,4)</f>
        <v>1.6199999999999999E-2</v>
      </c>
      <c r="AF8" s="1789">
        <f t="shared" ref="AF8" si="42">AE8</f>
        <v>1.6199999999999999E-2</v>
      </c>
      <c r="AG8" s="1789">
        <f>ROUND(AVERAGE(K8:K$25)/100,4)</f>
        <v>2.5899999999999999E-2</v>
      </c>
      <c r="AH8" s="1789">
        <f>ROUND(AVERAGE(L8:L$25)/100,4)</f>
        <v>1.49E-2</v>
      </c>
    </row>
    <row r="9" spans="1:34" s="1466" customFormat="1" ht="15" customHeight="1" thickBot="1">
      <c r="A9" s="1461" t="s">
        <v>3034</v>
      </c>
      <c r="B9" s="1477">
        <f t="shared" ref="B9" si="43">B10*(1+N9)</f>
        <v>446.46299999999997</v>
      </c>
      <c r="C9" s="1477">
        <f t="shared" ref="C9" si="44">C10*(1+O9)</f>
        <v>333.27840000000003</v>
      </c>
      <c r="D9" s="1477">
        <f t="shared" ref="D9" si="45">C9</f>
        <v>333.27840000000003</v>
      </c>
      <c r="E9" s="1477">
        <f t="shared" ref="E9" si="46">E10*(1+P9)</f>
        <v>637.28279999999995</v>
      </c>
      <c r="F9" s="1477">
        <f t="shared" ref="F9" si="47">F10*(1+Q9)</f>
        <v>288.68830000000003</v>
      </c>
      <c r="G9" s="3284"/>
      <c r="H9" s="1464">
        <v>1</v>
      </c>
      <c r="I9" s="1464">
        <v>1.7</v>
      </c>
      <c r="J9" s="1464">
        <v>1.92</v>
      </c>
      <c r="K9" s="1464">
        <v>1.64</v>
      </c>
      <c r="L9" s="1478">
        <v>2.0099999999999998</v>
      </c>
      <c r="M9" s="1471"/>
      <c r="N9" s="1472">
        <f t="shared" ref="N9:N14" si="48">I9/100</f>
        <v>1.7000000000000001E-2</v>
      </c>
      <c r="O9" s="1473">
        <f t="shared" ref="O9" si="49">J9/100</f>
        <v>1.9199999999999998E-2</v>
      </c>
      <c r="P9" s="1473">
        <f t="shared" ref="P9" si="50">K9/100</f>
        <v>1.6399999999999998E-2</v>
      </c>
      <c r="Q9" s="1473">
        <f t="shared" ref="Q9" si="51">L9/100</f>
        <v>2.0099999999999996E-2</v>
      </c>
      <c r="R9" s="1474"/>
      <c r="S9" s="1472">
        <f>B9/B10-1</f>
        <v>1.6999999999999904E-2</v>
      </c>
      <c r="T9" s="1473">
        <f t="shared" ref="T9" si="52">C9/C10-1</f>
        <v>1.9200000000000106E-2</v>
      </c>
      <c r="U9" s="1473">
        <f t="shared" ref="U9" si="53">D9/D10-1</f>
        <v>1.9200000000000106E-2</v>
      </c>
      <c r="V9" s="1473">
        <f t="shared" ref="V9" si="54">E9/E10-1</f>
        <v>1.639999999999997E-2</v>
      </c>
      <c r="W9" s="1790"/>
      <c r="X9" s="1788">
        <f>ROUND(SUMPRODUCT(PRODUCT(1+N9:N$24)),4)</f>
        <v>1.4517</v>
      </c>
      <c r="Y9" s="1788">
        <f>ROUND(SUMPRODUCT(PRODUCT(1+O9:O$24)),4)</f>
        <v>1.2928999999999999</v>
      </c>
      <c r="Z9" s="1788">
        <f t="shared" ref="Z9" si="55">Y9</f>
        <v>1.2928999999999999</v>
      </c>
      <c r="AA9" s="1788">
        <f>ROUND(SUMPRODUCT(PRODUCT(1+P9:P$24)),4)</f>
        <v>1.5068999999999999</v>
      </c>
      <c r="AB9" s="1788">
        <f>ROUND(SUMPRODUCT(PRODUCT(1+Q9:Q$24)),4)</f>
        <v>1.2557</v>
      </c>
      <c r="AC9" s="1790"/>
      <c r="AD9" s="1789">
        <f>ROUND(AVERAGE(I9:I$25)/100,4)</f>
        <v>2.4E-2</v>
      </c>
      <c r="AE9" s="1789">
        <f>ROUND(AVERAGE(J9:J$25)/100,4)</f>
        <v>1.66E-2</v>
      </c>
      <c r="AF9" s="1789">
        <f t="shared" ref="AF9" si="56">AE9</f>
        <v>1.66E-2</v>
      </c>
      <c r="AG9" s="1789">
        <f>ROUND(AVERAGE(K9:K$25)/100,4)</f>
        <v>2.6499999999999999E-2</v>
      </c>
      <c r="AH9" s="1789">
        <f>ROUND(AVERAGE(L9:L$25)/100,4)</f>
        <v>1.43E-2</v>
      </c>
    </row>
    <row r="10" spans="1:34">
      <c r="A10" s="1461" t="s">
        <v>3031</v>
      </c>
      <c r="B10" s="1469">
        <v>439</v>
      </c>
      <c r="C10" s="1469">
        <v>327</v>
      </c>
      <c r="D10" s="1469">
        <f>C10</f>
        <v>327</v>
      </c>
      <c r="E10" s="1469">
        <v>627</v>
      </c>
      <c r="F10" s="1470">
        <v>283</v>
      </c>
      <c r="G10" s="3280">
        <v>2017</v>
      </c>
      <c r="H10" s="1462">
        <v>4</v>
      </c>
      <c r="I10" s="1462">
        <v>1.71</v>
      </c>
      <c r="J10" s="1462">
        <v>1.78</v>
      </c>
      <c r="K10" s="1462">
        <v>1.71</v>
      </c>
      <c r="L10" s="1463">
        <v>1.43</v>
      </c>
      <c r="N10" s="1472">
        <f t="shared" si="48"/>
        <v>1.7100000000000001E-2</v>
      </c>
      <c r="O10" s="1473">
        <f t="shared" ref="O10" si="57">J10/100</f>
        <v>1.78E-2</v>
      </c>
      <c r="P10" s="1473">
        <f t="shared" ref="P10" si="58">K10/100</f>
        <v>1.7100000000000001E-2</v>
      </c>
      <c r="Q10" s="1473">
        <f t="shared" ref="Q10" si="59">L10/100</f>
        <v>1.43E-2</v>
      </c>
      <c r="R10" s="1474"/>
      <c r="S10" s="1475"/>
      <c r="T10" s="1476"/>
      <c r="U10" s="1476"/>
      <c r="V10" s="1476"/>
      <c r="X10" s="1459">
        <f>ROUND(SUMPRODUCT(PRODUCT(1+N10:N$24)),4)</f>
        <v>1.4274</v>
      </c>
      <c r="Y10" s="1459">
        <f>ROUND(SUMPRODUCT(PRODUCT(1+O10:O$24)),4)</f>
        <v>1.2685</v>
      </c>
      <c r="Z10" s="1459">
        <f t="shared" si="0"/>
        <v>1.2685</v>
      </c>
      <c r="AA10" s="1459">
        <f>ROUND(SUMPRODUCT(PRODUCT(1+P10:P$24)),4)</f>
        <v>1.4825999999999999</v>
      </c>
      <c r="AB10" s="1459">
        <f>ROUND(SUMPRODUCT(PRODUCT(1+Q10:Q$24)),4)</f>
        <v>1.2309000000000001</v>
      </c>
      <c r="AD10" s="1460">
        <f>ROUND(AVERAGE(I10:I$25)/100,4)</f>
        <v>2.4500000000000001E-2</v>
      </c>
      <c r="AE10" s="1460">
        <f>ROUND(AVERAGE(J10:J$25)/100,4)</f>
        <v>1.6500000000000001E-2</v>
      </c>
      <c r="AF10" s="1460">
        <f t="shared" si="1"/>
        <v>1.6500000000000001E-2</v>
      </c>
      <c r="AG10" s="1460">
        <f>ROUND(AVERAGE(K10:K$25)/100,4)</f>
        <v>2.7099999999999999E-2</v>
      </c>
      <c r="AH10" s="1460">
        <f>ROUND(AVERAGE(L10:L$25)/100,4)</f>
        <v>1.3899999999999999E-2</v>
      </c>
    </row>
    <row r="11" spans="1:34" s="1466" customFormat="1" ht="14.45" customHeight="1">
      <c r="A11" s="1461" t="s">
        <v>3032</v>
      </c>
      <c r="B11" s="1477">
        <f t="shared" ref="B11:B12" si="60">B12*(1+N11)</f>
        <v>431.80730811680002</v>
      </c>
      <c r="C11" s="1477">
        <f t="shared" ref="C11:C12" si="61">C12*(1+O11)</f>
        <v>320.57880516480003</v>
      </c>
      <c r="D11" s="1477">
        <f t="shared" ref="D11:D12" si="62">C11</f>
        <v>320.57880516480003</v>
      </c>
      <c r="E11" s="1477">
        <f t="shared" ref="E11:E12" si="63">E12*(1+P11)</f>
        <v>615.96110553196797</v>
      </c>
      <c r="F11" s="1477">
        <f t="shared" ref="F11:F12" si="64">F12*(1+Q11)</f>
        <v>279.46777300108801</v>
      </c>
      <c r="G11" s="3275"/>
      <c r="H11" s="1464">
        <v>3</v>
      </c>
      <c r="I11" s="1464">
        <v>2.98</v>
      </c>
      <c r="J11" s="1464">
        <v>2.11</v>
      </c>
      <c r="K11" s="1464">
        <v>3.24</v>
      </c>
      <c r="L11" s="1478">
        <v>1.72</v>
      </c>
      <c r="M11" s="1471"/>
      <c r="N11" s="1472">
        <f t="shared" si="48"/>
        <v>2.98E-2</v>
      </c>
      <c r="O11" s="1473">
        <f t="shared" ref="O11" si="65">J11/100</f>
        <v>2.1099999999999997E-2</v>
      </c>
      <c r="P11" s="1473">
        <f t="shared" ref="P11" si="66">K11/100</f>
        <v>3.2400000000000005E-2</v>
      </c>
      <c r="Q11" s="1473">
        <f t="shared" ref="Q11" si="67">L11/100</f>
        <v>1.72E-2</v>
      </c>
      <c r="R11" s="1474"/>
      <c r="S11" s="1472"/>
      <c r="T11" s="1473"/>
      <c r="U11" s="1473"/>
      <c r="V11" s="1473"/>
      <c r="W11" s="1790"/>
      <c r="X11" s="1788">
        <f>ROUND(SUMPRODUCT(PRODUCT(1+N11:N$24)),4)</f>
        <v>1.4034</v>
      </c>
      <c r="Y11" s="1788">
        <f>ROUND(SUMPRODUCT(PRODUCT(1+O11:O$24)),4)</f>
        <v>1.2463</v>
      </c>
      <c r="Z11" s="1788">
        <f t="shared" si="0"/>
        <v>1.2463</v>
      </c>
      <c r="AA11" s="1788">
        <f>ROUND(SUMPRODUCT(PRODUCT(1+P11:P$24)),4)</f>
        <v>1.4577</v>
      </c>
      <c r="AB11" s="1788">
        <f>ROUND(SUMPRODUCT(PRODUCT(1+Q11:Q$24)),4)</f>
        <v>1.2136</v>
      </c>
      <c r="AC11" s="1790"/>
      <c r="AD11" s="1789">
        <f>ROUND(AVERAGE(I11:I$25)/100,4)</f>
        <v>2.4899999999999999E-2</v>
      </c>
      <c r="AE11" s="1789">
        <f>ROUND(AVERAGE(J11:J$25)/100,4)</f>
        <v>1.6400000000000001E-2</v>
      </c>
      <c r="AF11" s="1789">
        <f t="shared" si="1"/>
        <v>1.6400000000000001E-2</v>
      </c>
      <c r="AG11" s="1789">
        <f>ROUND(AVERAGE(K11:K$25)/100,4)</f>
        <v>2.7799999999999998E-2</v>
      </c>
      <c r="AH11" s="1789">
        <f>ROUND(AVERAGE(L11:L$25)/100,4)</f>
        <v>1.3899999999999999E-2</v>
      </c>
    </row>
    <row r="12" spans="1:34" s="1731" customFormat="1" ht="14.45" customHeight="1">
      <c r="A12" s="1461" t="s">
        <v>1382</v>
      </c>
      <c r="B12" s="1477">
        <f t="shared" si="60"/>
        <v>419.31181600000002</v>
      </c>
      <c r="C12" s="1477">
        <f t="shared" si="61"/>
        <v>313.95436800000004</v>
      </c>
      <c r="D12" s="1477">
        <f t="shared" si="62"/>
        <v>313.95436800000004</v>
      </c>
      <c r="E12" s="1477">
        <f t="shared" si="63"/>
        <v>596.63028431999999</v>
      </c>
      <c r="F12" s="1477">
        <f t="shared" si="64"/>
        <v>274.74220703999998</v>
      </c>
      <c r="G12" s="3275"/>
      <c r="H12" s="1465">
        <v>2</v>
      </c>
      <c r="I12" s="1465">
        <v>3.4</v>
      </c>
      <c r="J12" s="1465">
        <v>2</v>
      </c>
      <c r="K12" s="1465">
        <v>3.82</v>
      </c>
      <c r="L12" s="1479">
        <v>1.68</v>
      </c>
      <c r="M12" s="1471"/>
      <c r="N12" s="1472">
        <f t="shared" si="48"/>
        <v>3.4000000000000002E-2</v>
      </c>
      <c r="O12" s="1473">
        <f t="shared" ref="O12" si="68">J12/100</f>
        <v>0.02</v>
      </c>
      <c r="P12" s="1473">
        <f t="shared" ref="P12" si="69">K12/100</f>
        <v>3.8199999999999998E-2</v>
      </c>
      <c r="Q12" s="1473">
        <f t="shared" ref="Q12" si="70">L12/100</f>
        <v>1.6799999999999999E-2</v>
      </c>
      <c r="R12" s="1474"/>
      <c r="S12" s="1475"/>
      <c r="T12" s="1476"/>
      <c r="U12" s="1476"/>
      <c r="V12" s="1476"/>
      <c r="W12" s="1453"/>
      <c r="X12" s="1788">
        <f>ROUND(SUMPRODUCT(PRODUCT(1+N12:N$24)),4)</f>
        <v>1.3628</v>
      </c>
      <c r="Y12" s="1788">
        <f>ROUND(SUMPRODUCT(PRODUCT(1+O12:O$24)),4)</f>
        <v>1.2205999999999999</v>
      </c>
      <c r="Z12" s="1788">
        <f t="shared" si="0"/>
        <v>1.2205999999999999</v>
      </c>
      <c r="AA12" s="1788">
        <f>ROUND(SUMPRODUCT(PRODUCT(1+P12:P$24)),4)</f>
        <v>1.4118999999999999</v>
      </c>
      <c r="AB12" s="1788">
        <f>ROUND(SUMPRODUCT(PRODUCT(1+Q12:Q$24)),4)</f>
        <v>1.1930000000000001</v>
      </c>
      <c r="AC12" s="1453"/>
      <c r="AD12" s="1789">
        <f>ROUND(AVERAGE(I12:I$25)/100,4)</f>
        <v>2.46E-2</v>
      </c>
      <c r="AE12" s="1789">
        <f>ROUND(AVERAGE(J12:J$25)/100,4)</f>
        <v>1.6E-2</v>
      </c>
      <c r="AF12" s="1789">
        <f t="shared" si="1"/>
        <v>1.6E-2</v>
      </c>
      <c r="AG12" s="1789">
        <f>ROUND(AVERAGE(K12:K$25)/100,4)</f>
        <v>2.75E-2</v>
      </c>
      <c r="AH12" s="1789">
        <f>ROUND(AVERAGE(L12:L$25)/100,4)</f>
        <v>1.37E-2</v>
      </c>
    </row>
    <row r="13" spans="1:34" s="1466" customFormat="1" ht="15" customHeight="1" thickBot="1">
      <c r="A13" s="1461" t="s">
        <v>1157</v>
      </c>
      <c r="B13" s="1477">
        <f>B14*(1+N13)</f>
        <v>405.524</v>
      </c>
      <c r="C13" s="1477">
        <f>C14*(1+O13)</f>
        <v>307.79840000000002</v>
      </c>
      <c r="D13" s="1477">
        <f>C13</f>
        <v>307.79840000000002</v>
      </c>
      <c r="E13" s="1477">
        <f>E14*(1+P13)</f>
        <v>574.67759999999998</v>
      </c>
      <c r="F13" s="1477">
        <f>F14*(1+Q13)</f>
        <v>270.20280000000002</v>
      </c>
      <c r="G13" s="3284"/>
      <c r="H13" s="1464">
        <v>1</v>
      </c>
      <c r="I13" s="1464">
        <v>3.45</v>
      </c>
      <c r="J13" s="1464">
        <v>1.92</v>
      </c>
      <c r="K13" s="1464">
        <v>3.92</v>
      </c>
      <c r="L13" s="1478">
        <v>1.58</v>
      </c>
      <c r="M13" s="1471"/>
      <c r="N13" s="1472">
        <f t="shared" si="48"/>
        <v>3.4500000000000003E-2</v>
      </c>
      <c r="O13" s="1473">
        <f t="shared" ref="O13:Q28" si="71">J13/100</f>
        <v>1.9199999999999998E-2</v>
      </c>
      <c r="P13" s="1473">
        <f t="shared" si="71"/>
        <v>3.9199999999999999E-2</v>
      </c>
      <c r="Q13" s="1473">
        <f t="shared" si="71"/>
        <v>1.5800000000000002E-2</v>
      </c>
      <c r="R13" s="1474"/>
      <c r="S13" s="1472">
        <f>B13/B14-1</f>
        <v>3.4499999999999975E-2</v>
      </c>
      <c r="T13" s="1473">
        <f t="shared" ref="T13:V13" si="72">C13/C14-1</f>
        <v>1.9200000000000106E-2</v>
      </c>
      <c r="U13" s="1473">
        <f t="shared" si="72"/>
        <v>1.9200000000000106E-2</v>
      </c>
      <c r="V13" s="1473">
        <f t="shared" si="72"/>
        <v>3.9199999999999902E-2</v>
      </c>
      <c r="W13" s="1790"/>
      <c r="X13" s="1788">
        <f>ROUND(SUMPRODUCT(PRODUCT(1+N13:N$24)),4)</f>
        <v>1.3180000000000001</v>
      </c>
      <c r="Y13" s="1788">
        <f>ROUND(SUMPRODUCT(PRODUCT(1+O13:O$24)),4)</f>
        <v>1.1966000000000001</v>
      </c>
      <c r="Z13" s="1788">
        <f t="shared" si="0"/>
        <v>1.1966000000000001</v>
      </c>
      <c r="AA13" s="1788">
        <f>ROUND(SUMPRODUCT(PRODUCT(1+P13:P$24)),4)</f>
        <v>1.36</v>
      </c>
      <c r="AB13" s="1788">
        <f>ROUND(SUMPRODUCT(PRODUCT(1+Q13:Q$24)),4)</f>
        <v>1.1733</v>
      </c>
      <c r="AC13" s="1790"/>
      <c r="AD13" s="1789">
        <f>ROUND(AVERAGE(I13:I$25)/100,4)</f>
        <v>2.3900000000000001E-2</v>
      </c>
      <c r="AE13" s="1789">
        <f>ROUND(AVERAGE(J13:J$25)/100,4)</f>
        <v>1.5699999999999999E-2</v>
      </c>
      <c r="AF13" s="1789">
        <f t="shared" si="1"/>
        <v>1.5699999999999999E-2</v>
      </c>
      <c r="AG13" s="1789">
        <f>ROUND(AVERAGE(K13:K$25)/100,4)</f>
        <v>2.6599999999999999E-2</v>
      </c>
      <c r="AH13" s="1789">
        <f>ROUND(AVERAGE(L13:L$25)/100,4)</f>
        <v>1.34E-2</v>
      </c>
    </row>
    <row r="14" spans="1:34">
      <c r="A14" s="1461" t="s">
        <v>154</v>
      </c>
      <c r="B14" s="1469">
        <v>392</v>
      </c>
      <c r="C14" s="1469">
        <v>302</v>
      </c>
      <c r="D14" s="1469">
        <f>C14</f>
        <v>302</v>
      </c>
      <c r="E14" s="1469">
        <v>553</v>
      </c>
      <c r="F14" s="1470">
        <v>266</v>
      </c>
      <c r="G14" s="3280">
        <v>2016</v>
      </c>
      <c r="H14" s="1462">
        <v>4</v>
      </c>
      <c r="I14" s="1462">
        <v>4.5599999999999996</v>
      </c>
      <c r="J14" s="1462">
        <v>2.15</v>
      </c>
      <c r="K14" s="1462">
        <v>5.32</v>
      </c>
      <c r="L14" s="1463">
        <v>1.57</v>
      </c>
      <c r="N14" s="1472">
        <f t="shared" si="48"/>
        <v>4.5599999999999995E-2</v>
      </c>
      <c r="O14" s="1473">
        <f t="shared" si="71"/>
        <v>2.1499999999999998E-2</v>
      </c>
      <c r="P14" s="1473">
        <f t="shared" si="71"/>
        <v>5.3200000000000004E-2</v>
      </c>
      <c r="Q14" s="1473">
        <f t="shared" si="71"/>
        <v>1.5700000000000002E-2</v>
      </c>
      <c r="R14" s="1474"/>
      <c r="S14" s="1475"/>
      <c r="T14" s="1476"/>
      <c r="U14" s="1476"/>
      <c r="V14" s="1476"/>
      <c r="X14" s="1459">
        <f>ROUND(SUMPRODUCT(PRODUCT(1+N14:N$24)),4)</f>
        <v>1.274</v>
      </c>
      <c r="Y14" s="1459">
        <f>ROUND(SUMPRODUCT(PRODUCT(1+O14:O$24)),4)</f>
        <v>1.1740999999999999</v>
      </c>
      <c r="Z14" s="1459">
        <f t="shared" si="0"/>
        <v>1.1740999999999999</v>
      </c>
      <c r="AA14" s="1459">
        <f>ROUND(SUMPRODUCT(PRODUCT(1+P14:P$24)),4)</f>
        <v>1.3087</v>
      </c>
      <c r="AB14" s="1459">
        <f>ROUND(SUMPRODUCT(PRODUCT(1+Q14:Q$24)),4)</f>
        <v>1.1551</v>
      </c>
      <c r="AD14" s="1460">
        <f>ROUND(AVERAGE(I14:I$25)/100,4)</f>
        <v>2.3E-2</v>
      </c>
      <c r="AE14" s="1460">
        <f>ROUND(AVERAGE(J14:J$25)/100,4)</f>
        <v>1.55E-2</v>
      </c>
      <c r="AF14" s="1460">
        <f t="shared" si="1"/>
        <v>1.55E-2</v>
      </c>
      <c r="AG14" s="1460">
        <f>ROUND(AVERAGE(K14:K$25)/100,4)</f>
        <v>2.5600000000000001E-2</v>
      </c>
      <c r="AH14" s="1460">
        <f>ROUND(AVERAGE(L14:L$25)/100,4)</f>
        <v>1.32E-2</v>
      </c>
    </row>
    <row r="15" spans="1:34">
      <c r="A15" s="1461" t="s">
        <v>153</v>
      </c>
      <c r="B15" s="1477">
        <f t="shared" ref="B15:C17" si="73">B14/(1+N14)</f>
        <v>374.90436113236416</v>
      </c>
      <c r="C15" s="1477">
        <f t="shared" si="73"/>
        <v>295.64366128242779</v>
      </c>
      <c r="D15" s="1477">
        <f t="shared" ref="D15:D74" si="74">C15</f>
        <v>295.64366128242779</v>
      </c>
      <c r="E15" s="1477">
        <f t="shared" ref="E15:F17" si="75">E14/(1+P14)</f>
        <v>525.06646410938095</v>
      </c>
      <c r="F15" s="1477">
        <f t="shared" si="75"/>
        <v>261.88835286009646</v>
      </c>
      <c r="G15" s="3275"/>
      <c r="H15" s="1464">
        <v>3</v>
      </c>
      <c r="I15" s="1464">
        <v>4.12</v>
      </c>
      <c r="J15" s="1464">
        <v>2</v>
      </c>
      <c r="K15" s="1464">
        <v>4.79</v>
      </c>
      <c r="L15" s="1478">
        <v>1.97</v>
      </c>
      <c r="N15" s="1472">
        <f t="shared" ref="N15:Q49" si="76">I15/100</f>
        <v>4.1200000000000001E-2</v>
      </c>
      <c r="O15" s="1473">
        <f t="shared" si="71"/>
        <v>0.02</v>
      </c>
      <c r="P15" s="1473">
        <f t="shared" si="71"/>
        <v>4.7899999999999998E-2</v>
      </c>
      <c r="Q15" s="1473">
        <f t="shared" si="71"/>
        <v>1.9699999999999999E-2</v>
      </c>
      <c r="R15" s="1474"/>
      <c r="S15" s="1472"/>
      <c r="T15" s="1473"/>
      <c r="U15" s="1473"/>
      <c r="V15" s="1473"/>
      <c r="X15" s="1459">
        <f>ROUND(SUMPRODUCT(PRODUCT(1+N15:N$24)),4)</f>
        <v>1.2184999999999999</v>
      </c>
      <c r="Y15" s="1459">
        <f>ROUND(SUMPRODUCT(PRODUCT(1+O15:O$24)),4)</f>
        <v>1.1494</v>
      </c>
      <c r="Z15" s="1459">
        <f t="shared" si="0"/>
        <v>1.1494</v>
      </c>
      <c r="AA15" s="1459">
        <f>ROUND(SUMPRODUCT(PRODUCT(1+P15:P$24)),4)</f>
        <v>1.2425999999999999</v>
      </c>
      <c r="AB15" s="1459">
        <f>ROUND(SUMPRODUCT(PRODUCT(1+Q15:Q$24)),4)</f>
        <v>1.1372</v>
      </c>
      <c r="AD15" s="1460">
        <f>ROUND(AVERAGE(I15:I$25)/100,4)</f>
        <v>2.0899999999999998E-2</v>
      </c>
      <c r="AE15" s="1460">
        <f>ROUND(AVERAGE(J15:J$25)/100,4)</f>
        <v>1.49E-2</v>
      </c>
      <c r="AF15" s="1460">
        <f t="shared" si="1"/>
        <v>1.49E-2</v>
      </c>
      <c r="AG15" s="1460">
        <f>ROUND(AVERAGE(K15:K$25)/100,4)</f>
        <v>2.3099999999999999E-2</v>
      </c>
      <c r="AH15" s="1460">
        <f>ROUND(AVERAGE(L15:L$25)/100,4)</f>
        <v>1.2999999999999999E-2</v>
      </c>
    </row>
    <row r="16" spans="1:34">
      <c r="A16" s="1461" t="s">
        <v>143</v>
      </c>
      <c r="B16" s="1477">
        <f t="shared" si="73"/>
        <v>360.06949782209392</v>
      </c>
      <c r="C16" s="1477">
        <f t="shared" si="73"/>
        <v>289.84672674747821</v>
      </c>
      <c r="D16" s="1477">
        <f t="shared" si="74"/>
        <v>289.84672674747821</v>
      </c>
      <c r="E16" s="1477">
        <f t="shared" si="75"/>
        <v>501.06543001181495</v>
      </c>
      <c r="F16" s="1477">
        <f t="shared" si="75"/>
        <v>256.82882500744967</v>
      </c>
      <c r="G16" s="3275"/>
      <c r="H16" s="1465">
        <v>2</v>
      </c>
      <c r="I16" s="1465">
        <v>3.85</v>
      </c>
      <c r="J16" s="1465">
        <v>1.95</v>
      </c>
      <c r="K16" s="1465">
        <v>4.4800000000000004</v>
      </c>
      <c r="L16" s="1479">
        <v>1.41</v>
      </c>
      <c r="N16" s="1472">
        <f t="shared" si="76"/>
        <v>3.85E-2</v>
      </c>
      <c r="O16" s="1473">
        <f t="shared" si="71"/>
        <v>1.95E-2</v>
      </c>
      <c r="P16" s="1473">
        <f t="shared" si="71"/>
        <v>4.4800000000000006E-2</v>
      </c>
      <c r="Q16" s="1473">
        <f t="shared" si="71"/>
        <v>1.41E-2</v>
      </c>
      <c r="R16" s="1474"/>
      <c r="S16" s="1472"/>
      <c r="T16" s="1473"/>
      <c r="U16" s="1473"/>
      <c r="V16" s="1473"/>
      <c r="X16" s="1459">
        <f>ROUND(SUMPRODUCT(PRODUCT(1+N16:N$24)),4)</f>
        <v>1.1702999999999999</v>
      </c>
      <c r="Y16" s="1459">
        <f>ROUND(SUMPRODUCT(PRODUCT(1+O16:O$24)),4)</f>
        <v>1.1269</v>
      </c>
      <c r="Z16" s="1459">
        <f t="shared" si="0"/>
        <v>1.1269</v>
      </c>
      <c r="AA16" s="1459">
        <f>ROUND(SUMPRODUCT(PRODUCT(1+P16:P$24)),4)</f>
        <v>1.1858</v>
      </c>
      <c r="AB16" s="1459">
        <f>ROUND(SUMPRODUCT(PRODUCT(1+Q16:Q$24)),4)</f>
        <v>1.1152</v>
      </c>
      <c r="AD16" s="1460">
        <f>ROUND(AVERAGE(I16:I$25)/100,4)</f>
        <v>1.89E-2</v>
      </c>
      <c r="AE16" s="1460">
        <f>ROUND(AVERAGE(J16:J$25)/100,4)</f>
        <v>1.44E-2</v>
      </c>
      <c r="AF16" s="1460">
        <f t="shared" si="1"/>
        <v>1.44E-2</v>
      </c>
      <c r="AG16" s="1460">
        <f>ROUND(AVERAGE(K16:K$25)/100,4)</f>
        <v>2.06E-2</v>
      </c>
      <c r="AH16" s="1460">
        <f>ROUND(AVERAGE(L16:L$25)/100,4)</f>
        <v>1.23E-2</v>
      </c>
    </row>
    <row r="17" spans="1:34" ht="13.5" thickBot="1">
      <c r="A17" s="1461" t="s">
        <v>152</v>
      </c>
      <c r="B17" s="1477">
        <f t="shared" si="73"/>
        <v>346.720748986128</v>
      </c>
      <c r="C17" s="1477">
        <f t="shared" si="73"/>
        <v>284.30282172386285</v>
      </c>
      <c r="D17" s="1477">
        <f t="shared" si="74"/>
        <v>284.30282172386285</v>
      </c>
      <c r="E17" s="1477">
        <f t="shared" si="75"/>
        <v>479.58023546306947</v>
      </c>
      <c r="F17" s="1477">
        <f t="shared" si="75"/>
        <v>253.25788877571213</v>
      </c>
      <c r="G17" s="3276"/>
      <c r="H17" s="1464">
        <v>1</v>
      </c>
      <c r="I17" s="1464">
        <v>4.09</v>
      </c>
      <c r="J17" s="1464">
        <v>2.93</v>
      </c>
      <c r="K17" s="1464">
        <v>4.54</v>
      </c>
      <c r="L17" s="1478">
        <v>1.48</v>
      </c>
      <c r="N17" s="1472">
        <f t="shared" si="76"/>
        <v>4.0899999999999999E-2</v>
      </c>
      <c r="O17" s="1473">
        <f t="shared" si="71"/>
        <v>2.9300000000000003E-2</v>
      </c>
      <c r="P17" s="1473">
        <f t="shared" si="71"/>
        <v>4.5400000000000003E-2</v>
      </c>
      <c r="Q17" s="1473">
        <f t="shared" si="71"/>
        <v>1.4800000000000001E-2</v>
      </c>
      <c r="R17" s="1474"/>
      <c r="S17" s="1480">
        <f>B17/B18-1</f>
        <v>4.1203450408792808E-2</v>
      </c>
      <c r="T17" s="1481">
        <f>C17/C18-1</f>
        <v>2.6363977342465095E-2</v>
      </c>
      <c r="U17" s="1481">
        <f>E17/E18-1</f>
        <v>4.4837114298626357E-2</v>
      </c>
      <c r="V17" s="1481">
        <f>F17/F18-1</f>
        <v>1.7099954922538574E-2</v>
      </c>
      <c r="X17" s="1459">
        <f>ROUND(SUMPRODUCT(PRODUCT(1+N17:N$24)),4)</f>
        <v>1.1269</v>
      </c>
      <c r="Y17" s="1459">
        <f>ROUND(SUMPRODUCT(PRODUCT(1+O17:O$24)),4)</f>
        <v>1.1052999999999999</v>
      </c>
      <c r="Z17" s="1459">
        <f t="shared" si="0"/>
        <v>1.1052999999999999</v>
      </c>
      <c r="AA17" s="1459">
        <f>ROUND(SUMPRODUCT(PRODUCT(1+P17:P$24)),4)</f>
        <v>1.1349</v>
      </c>
      <c r="AB17" s="1459">
        <f>ROUND(SUMPRODUCT(PRODUCT(1+Q17:Q$24)),4)</f>
        <v>1.0996999999999999</v>
      </c>
      <c r="AD17" s="1460">
        <f>ROUND(AVERAGE(I17:I$25)/100,4)</f>
        <v>1.67E-2</v>
      </c>
      <c r="AE17" s="1460">
        <f>ROUND(AVERAGE(J17:J$25)/100,4)</f>
        <v>1.38E-2</v>
      </c>
      <c r="AF17" s="1460">
        <f t="shared" si="1"/>
        <v>1.38E-2</v>
      </c>
      <c r="AG17" s="1460">
        <f>ROUND(AVERAGE(K17:K$25)/100,4)</f>
        <v>1.7899999999999999E-2</v>
      </c>
      <c r="AH17" s="1460">
        <f>ROUND(AVERAGE(L17:L$25)/100,4)</f>
        <v>1.21E-2</v>
      </c>
    </row>
    <row r="18" spans="1:34" ht="13.5" thickBot="1">
      <c r="A18" s="1461" t="s">
        <v>151</v>
      </c>
      <c r="B18" s="1469">
        <v>333</v>
      </c>
      <c r="C18" s="1469">
        <v>277</v>
      </c>
      <c r="D18" s="1469">
        <f t="shared" si="74"/>
        <v>277</v>
      </c>
      <c r="E18" s="1469">
        <v>459</v>
      </c>
      <c r="F18" s="1470">
        <v>249</v>
      </c>
      <c r="G18" s="3274">
        <v>2015</v>
      </c>
      <c r="H18" s="1482">
        <v>4</v>
      </c>
      <c r="I18" s="1482">
        <v>1.63</v>
      </c>
      <c r="J18" s="1482">
        <v>1.1100000000000001</v>
      </c>
      <c r="K18" s="1482">
        <v>1.77</v>
      </c>
      <c r="L18" s="1483">
        <v>1.89</v>
      </c>
      <c r="N18" s="1484">
        <f t="shared" si="76"/>
        <v>1.6299999999999999E-2</v>
      </c>
      <c r="O18" s="1485">
        <f t="shared" si="71"/>
        <v>1.11E-2</v>
      </c>
      <c r="P18" s="1485">
        <f t="shared" si="71"/>
        <v>1.77E-2</v>
      </c>
      <c r="Q18" s="1485">
        <f t="shared" si="71"/>
        <v>1.89E-2</v>
      </c>
      <c r="R18" s="1474"/>
      <c r="X18" s="1459">
        <f>ROUND(SUMPRODUCT(PRODUCT(1+N18:N$24)),4)</f>
        <v>1.0826</v>
      </c>
      <c r="Y18" s="1459">
        <f>ROUND(SUMPRODUCT(PRODUCT(1+O18:O$24)),4)</f>
        <v>1.0738000000000001</v>
      </c>
      <c r="Z18" s="1459">
        <f t="shared" si="0"/>
        <v>1.0738000000000001</v>
      </c>
      <c r="AA18" s="1459">
        <f>ROUND(SUMPRODUCT(PRODUCT(1+P18:P$24)),4)</f>
        <v>1.0855999999999999</v>
      </c>
      <c r="AB18" s="1459">
        <f>ROUND(SUMPRODUCT(PRODUCT(1+Q18:Q$24)),4)</f>
        <v>1.0837000000000001</v>
      </c>
      <c r="AD18" s="1460">
        <f>ROUND(AVERAGE(I18:I$25)/100,4)</f>
        <v>1.37E-2</v>
      </c>
      <c r="AE18" s="1460">
        <f>ROUND(AVERAGE(J18:J$25)/100,4)</f>
        <v>1.1900000000000001E-2</v>
      </c>
      <c r="AF18" s="1460">
        <f t="shared" si="1"/>
        <v>1.1900000000000001E-2</v>
      </c>
      <c r="AG18" s="1460">
        <f>ROUND(AVERAGE(K18:K$25)/100,4)</f>
        <v>1.4500000000000001E-2</v>
      </c>
      <c r="AH18" s="1460">
        <f>ROUND(AVERAGE(L18:L$25)/100,4)</f>
        <v>1.18E-2</v>
      </c>
    </row>
    <row r="19" spans="1:34">
      <c r="A19" s="1461" t="s">
        <v>150</v>
      </c>
      <c r="B19" s="1477">
        <f t="shared" ref="B19:C21" si="77">B18/(1+N18)</f>
        <v>327.65915576109415</v>
      </c>
      <c r="C19" s="1477">
        <f t="shared" si="77"/>
        <v>273.95905449510434</v>
      </c>
      <c r="D19" s="1477">
        <f t="shared" si="74"/>
        <v>273.95905449510434</v>
      </c>
      <c r="E19" s="1477">
        <f t="shared" ref="E19:F21" si="78">E18/(1+P18)</f>
        <v>451.01699911565294</v>
      </c>
      <c r="F19" s="1477">
        <f t="shared" si="78"/>
        <v>244.38119540681129</v>
      </c>
      <c r="G19" s="3275"/>
      <c r="H19" s="1487">
        <v>3</v>
      </c>
      <c r="I19" s="1487">
        <v>1.65</v>
      </c>
      <c r="J19" s="1487">
        <v>0.92</v>
      </c>
      <c r="K19" s="1487">
        <v>1.88</v>
      </c>
      <c r="L19" s="1488">
        <v>1.26</v>
      </c>
      <c r="N19" s="1472">
        <f t="shared" si="76"/>
        <v>1.6500000000000001E-2</v>
      </c>
      <c r="O19" s="1489">
        <f t="shared" si="71"/>
        <v>9.1999999999999998E-3</v>
      </c>
      <c r="P19" s="1489">
        <f t="shared" si="71"/>
        <v>1.8799999999999997E-2</v>
      </c>
      <c r="Q19" s="1489">
        <f t="shared" si="71"/>
        <v>1.26E-2</v>
      </c>
      <c r="R19" s="1474"/>
      <c r="S19" s="1472"/>
      <c r="T19" s="1473"/>
      <c r="U19" s="1473"/>
      <c r="V19" s="1473"/>
      <c r="X19" s="1459">
        <f>ROUND(SUMPRODUCT(PRODUCT(1+N19:N$24)),4)</f>
        <v>1.0651999999999999</v>
      </c>
      <c r="Y19" s="1459">
        <f>ROUND(SUMPRODUCT(PRODUCT(1+O19:O$24)),4)</f>
        <v>1.0621</v>
      </c>
      <c r="Z19" s="1459">
        <f t="shared" si="0"/>
        <v>1.0621</v>
      </c>
      <c r="AA19" s="1459">
        <f>ROUND(SUMPRODUCT(PRODUCT(1+P19:P$24)),4)</f>
        <v>1.0668</v>
      </c>
      <c r="AB19" s="1459">
        <f>ROUND(SUMPRODUCT(PRODUCT(1+Q19:Q$24)),4)</f>
        <v>1.0636000000000001</v>
      </c>
      <c r="AD19" s="1460">
        <f>ROUND(AVERAGE(I19:I$25)/100,4)</f>
        <v>1.3299999999999999E-2</v>
      </c>
      <c r="AE19" s="1460">
        <f>ROUND(AVERAGE(J19:J$25)/100,4)</f>
        <v>1.2E-2</v>
      </c>
      <c r="AF19" s="1460">
        <f t="shared" si="1"/>
        <v>1.2E-2</v>
      </c>
      <c r="AG19" s="1460">
        <f>ROUND(AVERAGE(K19:K$25)/100,4)</f>
        <v>1.4E-2</v>
      </c>
      <c r="AH19" s="1460">
        <f>ROUND(AVERAGE(L19:L$25)/100,4)</f>
        <v>1.0800000000000001E-2</v>
      </c>
    </row>
    <row r="20" spans="1:34">
      <c r="A20" s="1461" t="s">
        <v>149</v>
      </c>
      <c r="B20" s="1477">
        <f t="shared" si="77"/>
        <v>322.34053690220776</v>
      </c>
      <c r="C20" s="1477">
        <f t="shared" si="77"/>
        <v>271.46160770422546</v>
      </c>
      <c r="D20" s="1477">
        <f t="shared" si="74"/>
        <v>271.46160770422546</v>
      </c>
      <c r="E20" s="1477">
        <f t="shared" si="78"/>
        <v>442.69434542172456</v>
      </c>
      <c r="F20" s="1477">
        <f t="shared" si="78"/>
        <v>241.34030753190925</v>
      </c>
      <c r="G20" s="3275"/>
      <c r="H20" s="1465">
        <v>2</v>
      </c>
      <c r="I20" s="1465">
        <v>0.77</v>
      </c>
      <c r="J20" s="1465">
        <v>0.69</v>
      </c>
      <c r="K20" s="1465">
        <v>0.8</v>
      </c>
      <c r="L20" s="1479">
        <v>0.88</v>
      </c>
      <c r="N20" s="1472">
        <f t="shared" si="76"/>
        <v>7.7000000000000002E-3</v>
      </c>
      <c r="O20" s="1489">
        <f t="shared" si="71"/>
        <v>6.8999999999999999E-3</v>
      </c>
      <c r="P20" s="1489">
        <f t="shared" si="71"/>
        <v>8.0000000000000002E-3</v>
      </c>
      <c r="Q20" s="1489">
        <f t="shared" si="71"/>
        <v>8.8000000000000005E-3</v>
      </c>
      <c r="R20" s="1474"/>
      <c r="S20" s="1472"/>
      <c r="T20" s="1473"/>
      <c r="U20" s="1473"/>
      <c r="V20" s="1473"/>
      <c r="X20" s="1459">
        <f>ROUND(SUMPRODUCT(PRODUCT(1+N20:N$24)),4)</f>
        <v>1.048</v>
      </c>
      <c r="Y20" s="1459">
        <f>ROUND(SUMPRODUCT(PRODUCT(1+O20:O$24)),4)</f>
        <v>1.0524</v>
      </c>
      <c r="Z20" s="1459">
        <f t="shared" si="0"/>
        <v>1.0524</v>
      </c>
      <c r="AA20" s="1459">
        <f>ROUND(SUMPRODUCT(PRODUCT(1+P20:P$24)),4)</f>
        <v>1.0470999999999999</v>
      </c>
      <c r="AB20" s="1459">
        <f>ROUND(SUMPRODUCT(PRODUCT(1+Q20:Q$24)),4)</f>
        <v>1.0504</v>
      </c>
      <c r="AD20" s="1460">
        <f>ROUND(AVERAGE(I20:I$25)/100,4)</f>
        <v>1.2800000000000001E-2</v>
      </c>
      <c r="AE20" s="1460">
        <f>ROUND(AVERAGE(J20:J$25)/100,4)</f>
        <v>1.2500000000000001E-2</v>
      </c>
      <c r="AF20" s="1460">
        <f t="shared" si="1"/>
        <v>1.2500000000000001E-2</v>
      </c>
      <c r="AG20" s="1460">
        <f>ROUND(AVERAGE(K20:K$25)/100,4)</f>
        <v>1.32E-2</v>
      </c>
      <c r="AH20" s="1460">
        <f>ROUND(AVERAGE(L20:L$25)/100,4)</f>
        <v>1.0500000000000001E-2</v>
      </c>
    </row>
    <row r="21" spans="1:34">
      <c r="A21" s="1461" t="s">
        <v>148</v>
      </c>
      <c r="B21" s="1477">
        <f t="shared" si="77"/>
        <v>319.87748030386797</v>
      </c>
      <c r="C21" s="1477">
        <f t="shared" si="77"/>
        <v>269.60135833173649</v>
      </c>
      <c r="D21" s="1477">
        <f t="shared" si="74"/>
        <v>269.60135833173649</v>
      </c>
      <c r="E21" s="1477">
        <f t="shared" si="78"/>
        <v>439.18089823583784</v>
      </c>
      <c r="F21" s="1477">
        <f t="shared" si="78"/>
        <v>239.23503918706311</v>
      </c>
      <c r="G21" s="3276"/>
      <c r="H21" s="1464">
        <v>1</v>
      </c>
      <c r="I21" s="1464">
        <v>0.51</v>
      </c>
      <c r="J21" s="1464">
        <v>0.54</v>
      </c>
      <c r="K21" s="1464">
        <v>0.48</v>
      </c>
      <c r="L21" s="1478">
        <v>0.93</v>
      </c>
      <c r="N21" s="1480">
        <f t="shared" si="76"/>
        <v>5.1000000000000004E-3</v>
      </c>
      <c r="O21" s="1481">
        <f t="shared" si="71"/>
        <v>5.4000000000000003E-3</v>
      </c>
      <c r="P21" s="1481">
        <f t="shared" si="71"/>
        <v>4.7999999999999996E-3</v>
      </c>
      <c r="Q21" s="1481">
        <f t="shared" si="71"/>
        <v>9.300000000000001E-3</v>
      </c>
      <c r="R21" s="1474"/>
      <c r="S21" s="1480">
        <f>B21/B22-1</f>
        <v>5.9040261127922822E-3</v>
      </c>
      <c r="T21" s="1481">
        <f>C21/C22-1</f>
        <v>5.9752176557332781E-3</v>
      </c>
      <c r="U21" s="1481">
        <f>E21/E22-1</f>
        <v>4.9906138119859556E-3</v>
      </c>
      <c r="V21" s="1481">
        <f>F21/F22-1</f>
        <v>9.4305450930933787E-3</v>
      </c>
      <c r="X21" s="1459">
        <f>ROUND(SUMPRODUCT(PRODUCT(1+N21:N$24)),4)</f>
        <v>1.0399</v>
      </c>
      <c r="Y21" s="1459">
        <f>ROUND(SUMPRODUCT(PRODUCT(1+O21:O$24)),4)</f>
        <v>1.0451999999999999</v>
      </c>
      <c r="Z21" s="1459">
        <f t="shared" si="0"/>
        <v>1.0451999999999999</v>
      </c>
      <c r="AA21" s="1459">
        <f>ROUND(SUMPRODUCT(PRODUCT(1+P21:P$24)),4)</f>
        <v>1.0387999999999999</v>
      </c>
      <c r="AB21" s="1459">
        <f>ROUND(SUMPRODUCT(PRODUCT(1+Q21:Q$24)),4)</f>
        <v>1.0411999999999999</v>
      </c>
      <c r="AD21" s="1460">
        <f>ROUND(AVERAGE(I21:I$25)/100,4)</f>
        <v>1.38E-2</v>
      </c>
      <c r="AE21" s="1460">
        <f>ROUND(AVERAGE(J21:J$25)/100,4)</f>
        <v>1.3599999999999999E-2</v>
      </c>
      <c r="AF21" s="1460">
        <f t="shared" si="1"/>
        <v>1.3599999999999999E-2</v>
      </c>
      <c r="AG21" s="1460">
        <f>ROUND(AVERAGE(K21:K$25)/100,4)</f>
        <v>1.4200000000000001E-2</v>
      </c>
      <c r="AH21" s="1460">
        <f>ROUND(AVERAGE(L21:L$25)/100,4)</f>
        <v>1.0800000000000001E-2</v>
      </c>
    </row>
    <row r="22" spans="1:34" ht="13.5" thickBot="1">
      <c r="A22" s="1461" t="s">
        <v>147</v>
      </c>
      <c r="B22" s="1490">
        <v>318</v>
      </c>
      <c r="C22" s="1490">
        <v>268</v>
      </c>
      <c r="D22" s="1490">
        <f t="shared" si="74"/>
        <v>268</v>
      </c>
      <c r="E22" s="1490">
        <v>437</v>
      </c>
      <c r="F22" s="1491">
        <v>237</v>
      </c>
      <c r="G22" s="3274">
        <v>2014</v>
      </c>
      <c r="H22" s="1482">
        <v>4</v>
      </c>
      <c r="I22" s="1482">
        <v>0.21</v>
      </c>
      <c r="J22" s="1482">
        <v>0.41</v>
      </c>
      <c r="K22" s="1482">
        <v>0.12</v>
      </c>
      <c r="L22" s="1483">
        <v>0.89</v>
      </c>
      <c r="N22" s="1472">
        <f t="shared" si="76"/>
        <v>2.0999999999999999E-3</v>
      </c>
      <c r="O22" s="1473">
        <f t="shared" si="71"/>
        <v>4.0999999999999995E-3</v>
      </c>
      <c r="P22" s="1473">
        <f t="shared" si="71"/>
        <v>1.1999999999999999E-3</v>
      </c>
      <c r="Q22" s="1473">
        <f t="shared" si="71"/>
        <v>8.8999999999999999E-3</v>
      </c>
      <c r="R22" s="1474"/>
      <c r="S22" s="1475"/>
      <c r="T22" s="1476"/>
      <c r="U22" s="1476"/>
      <c r="V22" s="1476"/>
      <c r="X22" s="1459">
        <f>ROUND(SUMPRODUCT(PRODUCT(1+N22:N$24)),4)</f>
        <v>1.0347</v>
      </c>
      <c r="Y22" s="1459">
        <f>ROUND(SUMPRODUCT(PRODUCT(1+O22:O$24)),4)</f>
        <v>1.0395000000000001</v>
      </c>
      <c r="Z22" s="1459">
        <f t="shared" si="0"/>
        <v>1.0395000000000001</v>
      </c>
      <c r="AA22" s="1459">
        <f>ROUND(SUMPRODUCT(PRODUCT(1+P22:P$24)),4)</f>
        <v>1.0338000000000001</v>
      </c>
      <c r="AB22" s="1459">
        <f>ROUND(SUMPRODUCT(PRODUCT(1+Q22:Q$24)),4)</f>
        <v>1.0316000000000001</v>
      </c>
      <c r="AD22" s="1460">
        <f>ROUND(AVERAGE(I22:I$25)/100,4)</f>
        <v>1.6E-2</v>
      </c>
      <c r="AE22" s="1460">
        <f>ROUND(AVERAGE(J22:J$25)/100,4)</f>
        <v>1.5599999999999999E-2</v>
      </c>
      <c r="AF22" s="1460">
        <f t="shared" si="1"/>
        <v>1.5599999999999999E-2</v>
      </c>
      <c r="AG22" s="1460">
        <f>ROUND(AVERAGE(K22:K$25)/100,4)</f>
        <v>1.66E-2</v>
      </c>
      <c r="AH22" s="1460">
        <f>ROUND(AVERAGE(L22:L$25)/100,4)</f>
        <v>1.12E-2</v>
      </c>
    </row>
    <row r="23" spans="1:34">
      <c r="A23" s="1461" t="s">
        <v>146</v>
      </c>
      <c r="B23" s="1477">
        <f t="shared" ref="B23:C25" si="79">B22/(1+N22)</f>
        <v>317.33359944117353</v>
      </c>
      <c r="C23" s="1477">
        <f t="shared" si="79"/>
        <v>266.90568668459315</v>
      </c>
      <c r="D23" s="1477">
        <f t="shared" si="74"/>
        <v>266.90568668459315</v>
      </c>
      <c r="E23" s="1477">
        <f t="shared" ref="E23:F25" si="80">E22/(1+P22)</f>
        <v>436.47622852576905</v>
      </c>
      <c r="F23" s="1477">
        <f t="shared" si="80"/>
        <v>234.90930716622066</v>
      </c>
      <c r="G23" s="3275"/>
      <c r="H23" s="1492">
        <v>3</v>
      </c>
      <c r="I23" s="1492">
        <v>0.83</v>
      </c>
      <c r="J23" s="1492">
        <v>1.47</v>
      </c>
      <c r="K23" s="1492">
        <v>0.65</v>
      </c>
      <c r="L23" s="1493">
        <v>0.72</v>
      </c>
      <c r="N23" s="1472">
        <f t="shared" si="76"/>
        <v>8.3000000000000001E-3</v>
      </c>
      <c r="O23" s="1473">
        <f t="shared" si="71"/>
        <v>1.47E-2</v>
      </c>
      <c r="P23" s="1473">
        <f t="shared" si="71"/>
        <v>6.5000000000000006E-3</v>
      </c>
      <c r="Q23" s="1473">
        <f t="shared" si="71"/>
        <v>7.1999999999999998E-3</v>
      </c>
      <c r="R23" s="1474"/>
      <c r="S23" s="1472"/>
      <c r="T23" s="1473"/>
      <c r="U23" s="1473"/>
      <c r="V23" s="1473"/>
      <c r="X23" s="1459">
        <f>ROUND(SUMPRODUCT(PRODUCT(1+N23:N$24)),4)</f>
        <v>1.0325</v>
      </c>
      <c r="Y23" s="1459">
        <f>ROUND(SUMPRODUCT(PRODUCT(1+O23:O$24)),4)</f>
        <v>1.0353000000000001</v>
      </c>
      <c r="Z23" s="1459">
        <f t="shared" ref="Z23:Z24" si="81">Y23</f>
        <v>1.0353000000000001</v>
      </c>
      <c r="AA23" s="1459">
        <f>ROUND(SUMPRODUCT(PRODUCT(1+P23:P$24)),4)</f>
        <v>1.0326</v>
      </c>
      <c r="AB23" s="1459">
        <f>ROUND(SUMPRODUCT(PRODUCT(1+Q23:Q$24)),4)</f>
        <v>1.0225</v>
      </c>
      <c r="AD23" s="1460">
        <f>ROUND(AVERAGE(I23:I$25)/100,4)</f>
        <v>2.07E-2</v>
      </c>
      <c r="AE23" s="1460">
        <f>ROUND(AVERAGE(J23:J$25)/100,4)</f>
        <v>1.95E-2</v>
      </c>
      <c r="AF23" s="1460">
        <f t="shared" si="1"/>
        <v>1.95E-2</v>
      </c>
      <c r="AG23" s="1460">
        <f>ROUND(AVERAGE(K23:K$25)/100,4)</f>
        <v>2.1700000000000001E-2</v>
      </c>
      <c r="AH23" s="1460">
        <f>ROUND(AVERAGE(L23:L$25)/100,4)</f>
        <v>1.2E-2</v>
      </c>
    </row>
    <row r="24" spans="1:34" ht="13.5" thickBot="1">
      <c r="A24" s="1461" t="s">
        <v>145</v>
      </c>
      <c r="B24" s="1477">
        <f t="shared" si="79"/>
        <v>314.72141172386546</v>
      </c>
      <c r="C24" s="1477">
        <f t="shared" si="79"/>
        <v>263.03901319069001</v>
      </c>
      <c r="D24" s="1477">
        <f t="shared" si="74"/>
        <v>263.03901319069001</v>
      </c>
      <c r="E24" s="1477">
        <f t="shared" si="80"/>
        <v>433.65745506782821</v>
      </c>
      <c r="F24" s="1477">
        <f t="shared" si="80"/>
        <v>233.23005080045735</v>
      </c>
      <c r="G24" s="3275"/>
      <c r="H24" s="1482">
        <v>2</v>
      </c>
      <c r="I24" s="1482">
        <v>2.4</v>
      </c>
      <c r="J24" s="1482">
        <v>2.0299999999999998</v>
      </c>
      <c r="K24" s="1482">
        <v>2.59</v>
      </c>
      <c r="L24" s="1483">
        <v>1.52</v>
      </c>
      <c r="N24" s="1472">
        <f t="shared" si="76"/>
        <v>2.4E-2</v>
      </c>
      <c r="O24" s="1473">
        <f t="shared" si="71"/>
        <v>2.0299999999999999E-2</v>
      </c>
      <c r="P24" s="1473">
        <f t="shared" si="71"/>
        <v>2.5899999999999999E-2</v>
      </c>
      <c r="Q24" s="1473">
        <f t="shared" si="71"/>
        <v>1.52E-2</v>
      </c>
      <c r="R24" s="1474"/>
      <c r="S24" s="1472"/>
      <c r="T24" s="1473"/>
      <c r="U24" s="1473"/>
      <c r="V24" s="1473"/>
      <c r="X24" s="1459">
        <f>1+N24</f>
        <v>1.024</v>
      </c>
      <c r="Y24" s="1459">
        <f>1+O24</f>
        <v>1.0203</v>
      </c>
      <c r="Z24" s="1459">
        <f t="shared" si="81"/>
        <v>1.0203</v>
      </c>
      <c r="AA24" s="1459">
        <f>1+P24</f>
        <v>1.0259</v>
      </c>
      <c r="AB24" s="1459">
        <f>1+Q24</f>
        <v>1.0152000000000001</v>
      </c>
      <c r="AD24" s="1460">
        <f>ROUND(AVERAGE(I24:I$25)/100,4)</f>
        <v>2.69E-2</v>
      </c>
      <c r="AE24" s="1460">
        <f>ROUND(AVERAGE(J24:J$25)/100,4)</f>
        <v>2.1899999999999999E-2</v>
      </c>
      <c r="AF24" s="1460">
        <f t="shared" ref="AF24" si="82">AE24</f>
        <v>2.1899999999999999E-2</v>
      </c>
      <c r="AG24" s="1460">
        <f>ROUND(AVERAGE(K24:K$25)/100,4)</f>
        <v>2.9399999999999999E-2</v>
      </c>
      <c r="AH24" s="1460">
        <f>ROUND(AVERAGE(L24:L$25)/100,4)</f>
        <v>1.44E-2</v>
      </c>
    </row>
    <row r="25" spans="1:34" s="1498" customFormat="1" ht="13.5" thickBot="1">
      <c r="A25" s="1494" t="s">
        <v>144</v>
      </c>
      <c r="B25" s="1495">
        <f t="shared" si="79"/>
        <v>307.34512863658733</v>
      </c>
      <c r="C25" s="1495">
        <f t="shared" si="79"/>
        <v>257.80556031626975</v>
      </c>
      <c r="D25" s="1495">
        <f t="shared" si="74"/>
        <v>257.80556031626975</v>
      </c>
      <c r="E25" s="1495">
        <f t="shared" si="80"/>
        <v>422.70928459677179</v>
      </c>
      <c r="F25" s="1495">
        <f t="shared" si="80"/>
        <v>229.73803270336617</v>
      </c>
      <c r="G25" s="3276"/>
      <c r="H25" s="1496">
        <v>1</v>
      </c>
      <c r="I25" s="1496">
        <v>2.97</v>
      </c>
      <c r="J25" s="1496">
        <v>2.34</v>
      </c>
      <c r="K25" s="1496">
        <v>3.28</v>
      </c>
      <c r="L25" s="1497">
        <v>1.36</v>
      </c>
      <c r="N25" s="1499">
        <f t="shared" si="76"/>
        <v>2.9700000000000001E-2</v>
      </c>
      <c r="O25" s="1500">
        <f t="shared" si="71"/>
        <v>2.3399999999999997E-2</v>
      </c>
      <c r="P25" s="1500">
        <f t="shared" si="71"/>
        <v>3.2799999999999996E-2</v>
      </c>
      <c r="Q25" s="1500">
        <f t="shared" si="71"/>
        <v>1.3600000000000001E-2</v>
      </c>
      <c r="R25" s="1501"/>
      <c r="S25" s="1502">
        <f>B25/B26-1</f>
        <v>2.7910129219355539E-2</v>
      </c>
      <c r="T25" s="1503">
        <f>C25/C26-1</f>
        <v>2.3037937762975247E-2</v>
      </c>
      <c r="U25" s="1503">
        <f>E25/E26-1</f>
        <v>3.3519033243940788E-2</v>
      </c>
      <c r="V25" s="1503">
        <f>F25/F26-1</f>
        <v>1.2061818076502862E-2</v>
      </c>
      <c r="W25" s="1504" t="s">
        <v>1158</v>
      </c>
      <c r="X25" s="1505">
        <v>1</v>
      </c>
      <c r="Y25" s="1505">
        <v>1</v>
      </c>
      <c r="Z25" s="1505">
        <v>1</v>
      </c>
      <c r="AA25" s="1505">
        <v>1</v>
      </c>
      <c r="AB25" s="1505">
        <v>1</v>
      </c>
      <c r="AD25" s="1727">
        <f>I25/100</f>
        <v>2.9700000000000001E-2</v>
      </c>
      <c r="AE25" s="1727">
        <f>J25/100</f>
        <v>2.3399999999999997E-2</v>
      </c>
      <c r="AF25" s="1727">
        <f>AE25</f>
        <v>2.3399999999999997E-2</v>
      </c>
      <c r="AG25" s="1727">
        <f>K25/100</f>
        <v>3.2799999999999996E-2</v>
      </c>
      <c r="AH25" s="1727">
        <f>L25/100</f>
        <v>1.3600000000000001E-2</v>
      </c>
    </row>
    <row r="26" spans="1:34" ht="13.5" thickBot="1">
      <c r="A26" s="1461" t="s">
        <v>1159</v>
      </c>
      <c r="B26" s="1469">
        <v>299</v>
      </c>
      <c r="C26" s="1469">
        <v>252</v>
      </c>
      <c r="D26" s="1469">
        <f t="shared" si="74"/>
        <v>252</v>
      </c>
      <c r="E26" s="1469">
        <v>409</v>
      </c>
      <c r="F26" s="1470">
        <v>227</v>
      </c>
      <c r="G26" s="3281">
        <v>2013</v>
      </c>
      <c r="H26" s="1506">
        <v>4</v>
      </c>
      <c r="I26" s="1506">
        <v>1.83</v>
      </c>
      <c r="J26" s="1506">
        <v>1.68</v>
      </c>
      <c r="K26" s="1506">
        <v>1.97</v>
      </c>
      <c r="L26" s="1507">
        <v>0.87</v>
      </c>
      <c r="N26" s="1484">
        <f t="shared" si="76"/>
        <v>1.83E-2</v>
      </c>
      <c r="O26" s="1485">
        <f t="shared" si="71"/>
        <v>1.6799999999999999E-2</v>
      </c>
      <c r="P26" s="1485">
        <f t="shared" si="71"/>
        <v>1.9699999999999999E-2</v>
      </c>
      <c r="Q26" s="1485">
        <f t="shared" si="71"/>
        <v>8.6999999999999994E-3</v>
      </c>
      <c r="R26" s="1474"/>
      <c r="S26" s="1475"/>
      <c r="T26" s="1476"/>
      <c r="U26" s="1476"/>
      <c r="V26" s="1476"/>
      <c r="X26" s="1476"/>
      <c r="Y26" s="1476"/>
      <c r="Z26" s="1476"/>
    </row>
    <row r="27" spans="1:34">
      <c r="A27" s="1461" t="s">
        <v>1160</v>
      </c>
      <c r="B27" s="1477">
        <f t="shared" ref="B27:C29" si="83">B26/(1+N26)</f>
        <v>293.62663262299913</v>
      </c>
      <c r="C27" s="1477">
        <f t="shared" si="83"/>
        <v>247.83634933123525</v>
      </c>
      <c r="D27" s="1477">
        <f t="shared" si="74"/>
        <v>247.83634933123525</v>
      </c>
      <c r="E27" s="1477">
        <f t="shared" ref="E27:F29" si="84">E26/(1+P26)</f>
        <v>401.09836226341076</v>
      </c>
      <c r="F27" s="1477">
        <f t="shared" si="84"/>
        <v>225.04213343908003</v>
      </c>
      <c r="G27" s="3282"/>
      <c r="H27" s="1487">
        <v>3</v>
      </c>
      <c r="I27" s="1487">
        <v>1.86</v>
      </c>
      <c r="J27" s="1487">
        <v>1.72</v>
      </c>
      <c r="K27" s="1487">
        <v>1.98</v>
      </c>
      <c r="L27" s="1488">
        <v>0.88</v>
      </c>
      <c r="N27" s="1472">
        <f t="shared" si="76"/>
        <v>1.8600000000000002E-2</v>
      </c>
      <c r="O27" s="1489">
        <f t="shared" si="71"/>
        <v>1.72E-2</v>
      </c>
      <c r="P27" s="1489">
        <f t="shared" si="71"/>
        <v>1.9799999999999998E-2</v>
      </c>
      <c r="Q27" s="1489">
        <f t="shared" si="71"/>
        <v>8.8000000000000005E-3</v>
      </c>
      <c r="R27" s="1474"/>
      <c r="S27" s="1472"/>
      <c r="T27" s="1473"/>
      <c r="U27" s="1473"/>
      <c r="V27" s="1473"/>
    </row>
    <row r="28" spans="1:34">
      <c r="A28" s="1461" t="s">
        <v>1161</v>
      </c>
      <c r="B28" s="1477">
        <f t="shared" si="83"/>
        <v>288.2649053828776</v>
      </c>
      <c r="C28" s="1477">
        <f t="shared" si="83"/>
        <v>243.64564425013293</v>
      </c>
      <c r="D28" s="1477">
        <f t="shared" si="74"/>
        <v>243.64564425013293</v>
      </c>
      <c r="E28" s="1477">
        <f t="shared" si="84"/>
        <v>393.31080825986544</v>
      </c>
      <c r="F28" s="1477">
        <f t="shared" si="84"/>
        <v>223.07903790551154</v>
      </c>
      <c r="G28" s="3282"/>
      <c r="H28" s="1465">
        <v>2</v>
      </c>
      <c r="I28" s="1465">
        <v>2.04</v>
      </c>
      <c r="J28" s="1465">
        <v>2.33</v>
      </c>
      <c r="K28" s="1465">
        <v>2.0699999999999998</v>
      </c>
      <c r="L28" s="1479">
        <v>0.69</v>
      </c>
      <c r="N28" s="1472">
        <f t="shared" si="76"/>
        <v>2.0400000000000001E-2</v>
      </c>
      <c r="O28" s="1489">
        <f t="shared" si="71"/>
        <v>2.3300000000000001E-2</v>
      </c>
      <c r="P28" s="1489">
        <f t="shared" si="71"/>
        <v>2.07E-2</v>
      </c>
      <c r="Q28" s="1489">
        <f t="shared" si="71"/>
        <v>6.8999999999999999E-3</v>
      </c>
      <c r="R28" s="1474"/>
      <c r="S28" s="1472"/>
      <c r="T28" s="1473"/>
      <c r="U28" s="1473"/>
      <c r="V28" s="1473"/>
      <c r="X28" s="1508"/>
      <c r="Y28" s="1509"/>
    </row>
    <row r="29" spans="1:34">
      <c r="A29" s="1461" t="s">
        <v>1162</v>
      </c>
      <c r="B29" s="1477">
        <f t="shared" si="83"/>
        <v>282.50186729015837</v>
      </c>
      <c r="C29" s="1477">
        <f t="shared" si="83"/>
        <v>238.09796174155468</v>
      </c>
      <c r="D29" s="1477">
        <f t="shared" si="74"/>
        <v>238.09796174155468</v>
      </c>
      <c r="E29" s="1477">
        <f t="shared" si="84"/>
        <v>385.33438646014054</v>
      </c>
      <c r="F29" s="1477">
        <f t="shared" si="84"/>
        <v>221.55034055567739</v>
      </c>
      <c r="G29" s="3283"/>
      <c r="H29" s="1464">
        <v>1</v>
      </c>
      <c r="I29" s="1464">
        <v>1.67</v>
      </c>
      <c r="J29" s="1464">
        <v>1.31</v>
      </c>
      <c r="K29" s="1464">
        <v>1.85</v>
      </c>
      <c r="L29" s="1478">
        <v>0.96</v>
      </c>
      <c r="N29" s="1480">
        <f t="shared" si="76"/>
        <v>1.67E-2</v>
      </c>
      <c r="O29" s="1481">
        <f t="shared" si="76"/>
        <v>1.3100000000000001E-2</v>
      </c>
      <c r="P29" s="1481">
        <f t="shared" si="76"/>
        <v>1.8500000000000003E-2</v>
      </c>
      <c r="Q29" s="1481">
        <f t="shared" si="76"/>
        <v>9.5999999999999992E-3</v>
      </c>
      <c r="R29" s="1474"/>
      <c r="S29" s="1480">
        <f>B29/B30-1</f>
        <v>1.6193767230785472E-2</v>
      </c>
      <c r="T29" s="1481">
        <f>C29/C30-1</f>
        <v>1.7512657015190891E-2</v>
      </c>
      <c r="U29" s="1481">
        <f>E29/E30-1</f>
        <v>1.6713420739157048E-2</v>
      </c>
      <c r="V29" s="1481">
        <f>F29/F30-1</f>
        <v>7.0470025258062563E-3</v>
      </c>
      <c r="X29" s="1510"/>
      <c r="Y29" s="1460"/>
      <c r="Z29" s="1460"/>
    </row>
    <row r="30" spans="1:34" ht="13.5" thickBot="1">
      <c r="A30" s="1461" t="s">
        <v>1163</v>
      </c>
      <c r="B30" s="1511">
        <v>278</v>
      </c>
      <c r="C30" s="1511">
        <v>234</v>
      </c>
      <c r="D30" s="1511">
        <f t="shared" si="74"/>
        <v>234</v>
      </c>
      <c r="E30" s="1511">
        <v>379</v>
      </c>
      <c r="F30" s="1512">
        <v>220</v>
      </c>
      <c r="G30" s="3274">
        <v>2012</v>
      </c>
      <c r="H30" s="1482">
        <v>4</v>
      </c>
      <c r="I30" s="1482">
        <v>0.91</v>
      </c>
      <c r="J30" s="1482">
        <v>0.68</v>
      </c>
      <c r="K30" s="1482">
        <v>0.98</v>
      </c>
      <c r="L30" s="1483">
        <v>0.9</v>
      </c>
      <c r="N30" s="1472">
        <f t="shared" si="76"/>
        <v>9.1000000000000004E-3</v>
      </c>
      <c r="O30" s="1473">
        <f t="shared" si="76"/>
        <v>6.8000000000000005E-3</v>
      </c>
      <c r="P30" s="1473">
        <f t="shared" si="76"/>
        <v>9.7999999999999997E-3</v>
      </c>
      <c r="Q30" s="1473">
        <f t="shared" si="76"/>
        <v>9.0000000000000011E-3</v>
      </c>
      <c r="R30" s="1474"/>
      <c r="S30" s="1475"/>
      <c r="T30" s="1476"/>
      <c r="U30" s="1476"/>
      <c r="V30" s="1476"/>
      <c r="X30" s="1476"/>
      <c r="Y30" s="1476"/>
      <c r="Z30" s="1476"/>
    </row>
    <row r="31" spans="1:34">
      <c r="A31" s="1461" t="s">
        <v>1164</v>
      </c>
      <c r="B31" s="1477">
        <f>B30/(1+N30)</f>
        <v>275.49301357645425</v>
      </c>
      <c r="C31" s="1477">
        <f>C30/(1+O30)</f>
        <v>232.41954707985698</v>
      </c>
      <c r="D31" s="1477">
        <f t="shared" si="74"/>
        <v>232.41954707985698</v>
      </c>
      <c r="E31" s="1477">
        <f t="shared" ref="E31:F33" si="85">E30/(1+P30)</f>
        <v>375.32184591008121</v>
      </c>
      <c r="F31" s="1477">
        <f t="shared" si="85"/>
        <v>218.03766105054513</v>
      </c>
      <c r="G31" s="3275"/>
      <c r="H31" s="1487">
        <v>3</v>
      </c>
      <c r="I31" s="1487">
        <v>0.09</v>
      </c>
      <c r="J31" s="1487">
        <v>0.28999999999999998</v>
      </c>
      <c r="K31" s="1487">
        <v>-0.01</v>
      </c>
      <c r="L31" s="1488">
        <v>0.57999999999999996</v>
      </c>
      <c r="N31" s="1472">
        <f t="shared" si="76"/>
        <v>8.9999999999999998E-4</v>
      </c>
      <c r="O31" s="1473">
        <f t="shared" si="76"/>
        <v>2.8999999999999998E-3</v>
      </c>
      <c r="P31" s="1473">
        <f t="shared" si="76"/>
        <v>-1E-4</v>
      </c>
      <c r="Q31" s="1473">
        <f t="shared" si="76"/>
        <v>5.7999999999999996E-3</v>
      </c>
      <c r="R31" s="1474"/>
      <c r="S31" s="1472"/>
      <c r="T31" s="1473"/>
      <c r="U31" s="1473"/>
      <c r="V31" s="1473"/>
    </row>
    <row r="32" spans="1:34">
      <c r="A32" s="1461" t="s">
        <v>1165</v>
      </c>
      <c r="B32" s="1477">
        <f>B31/(1+N31)</f>
        <v>275.24529281292263</v>
      </c>
      <c r="C32" s="1477">
        <f>C31/(1+O31)</f>
        <v>231.74747938962707</v>
      </c>
      <c r="D32" s="1477">
        <f t="shared" si="74"/>
        <v>231.74747938962707</v>
      </c>
      <c r="E32" s="1477">
        <f t="shared" si="85"/>
        <v>375.35938184826603</v>
      </c>
      <c r="F32" s="1477">
        <f t="shared" si="85"/>
        <v>216.78033510692495</v>
      </c>
      <c r="G32" s="3275"/>
      <c r="H32" s="1465">
        <v>2</v>
      </c>
      <c r="I32" s="1465">
        <v>0.02</v>
      </c>
      <c r="J32" s="1465">
        <v>0.12</v>
      </c>
      <c r="K32" s="1465">
        <v>-0.08</v>
      </c>
      <c r="L32" s="1479">
        <v>1.24</v>
      </c>
      <c r="N32" s="1472">
        <f t="shared" si="76"/>
        <v>2.0000000000000001E-4</v>
      </c>
      <c r="O32" s="1473">
        <f t="shared" si="76"/>
        <v>1.1999999999999999E-3</v>
      </c>
      <c r="P32" s="1473">
        <f t="shared" si="76"/>
        <v>-8.0000000000000004E-4</v>
      </c>
      <c r="Q32" s="1473">
        <f t="shared" si="76"/>
        <v>1.24E-2</v>
      </c>
      <c r="R32" s="1474"/>
      <c r="S32" s="1472"/>
      <c r="T32" s="1473"/>
      <c r="U32" s="1473"/>
      <c r="V32" s="1473"/>
    </row>
    <row r="33" spans="1:26" ht="13.5" thickBot="1">
      <c r="A33" s="1461" t="s">
        <v>1166</v>
      </c>
      <c r="B33" s="1477">
        <f>B32/(1+N32)</f>
        <v>275.19025476197027</v>
      </c>
      <c r="C33" s="1513">
        <v>232</v>
      </c>
      <c r="D33" s="1513">
        <f t="shared" si="74"/>
        <v>232</v>
      </c>
      <c r="E33" s="1477">
        <f t="shared" si="85"/>
        <v>375.65990977608692</v>
      </c>
      <c r="F33" s="1477">
        <f t="shared" si="85"/>
        <v>214.12518283971252</v>
      </c>
      <c r="G33" s="3276"/>
      <c r="H33" s="1464">
        <v>1</v>
      </c>
      <c r="I33" s="1464">
        <v>0.02</v>
      </c>
      <c r="J33" s="1464">
        <v>0.13</v>
      </c>
      <c r="K33" s="1464">
        <v>-0.04</v>
      </c>
      <c r="L33" s="1478">
        <v>0.46</v>
      </c>
      <c r="N33" s="1472">
        <f t="shared" si="76"/>
        <v>2.0000000000000001E-4</v>
      </c>
      <c r="O33" s="1473">
        <f t="shared" si="76"/>
        <v>1.2999999999999999E-3</v>
      </c>
      <c r="P33" s="1473">
        <f t="shared" si="76"/>
        <v>-4.0000000000000002E-4</v>
      </c>
      <c r="Q33" s="1473">
        <f t="shared" si="76"/>
        <v>4.5999999999999999E-3</v>
      </c>
      <c r="R33" s="1474"/>
      <c r="S33" s="1480">
        <f>B33/B34-1</f>
        <v>6.9183549807361189E-4</v>
      </c>
      <c r="T33" s="1481">
        <f>C33/C34-1</f>
        <v>0</v>
      </c>
      <c r="U33" s="1481">
        <f>E33/E34-1</f>
        <v>-9.0449527636460303E-4</v>
      </c>
      <c r="V33" s="1481">
        <f>F33/F34-1</f>
        <v>5.2825485432512753E-3</v>
      </c>
      <c r="X33" s="1460"/>
      <c r="Y33" s="1460"/>
      <c r="Z33" s="1460"/>
    </row>
    <row r="34" spans="1:26" ht="13.5" thickBot="1">
      <c r="A34" s="1461" t="s">
        <v>1167</v>
      </c>
      <c r="B34" s="1469">
        <v>275</v>
      </c>
      <c r="C34" s="1469">
        <v>232</v>
      </c>
      <c r="D34" s="1469">
        <f t="shared" si="74"/>
        <v>232</v>
      </c>
      <c r="E34" s="1469">
        <v>376</v>
      </c>
      <c r="F34" s="1470">
        <v>213</v>
      </c>
      <c r="G34" s="3274">
        <v>2011</v>
      </c>
      <c r="H34" s="1482">
        <v>4</v>
      </c>
      <c r="I34" s="1482">
        <v>-0.2</v>
      </c>
      <c r="J34" s="1482">
        <v>0.04</v>
      </c>
      <c r="K34" s="1482">
        <v>-0.34</v>
      </c>
      <c r="L34" s="1483">
        <v>0.46</v>
      </c>
      <c r="N34" s="1484">
        <f t="shared" si="76"/>
        <v>-2E-3</v>
      </c>
      <c r="O34" s="1485">
        <f t="shared" si="76"/>
        <v>4.0000000000000002E-4</v>
      </c>
      <c r="P34" s="1485">
        <f t="shared" si="76"/>
        <v>-3.4000000000000002E-3</v>
      </c>
      <c r="Q34" s="1485">
        <f t="shared" si="76"/>
        <v>4.5999999999999999E-3</v>
      </c>
      <c r="R34" s="1474"/>
      <c r="S34" s="1475"/>
      <c r="T34" s="1476"/>
      <c r="U34" s="1476"/>
      <c r="V34" s="1476"/>
      <c r="X34" s="1476"/>
      <c r="Y34" s="1476"/>
      <c r="Z34" s="1476"/>
    </row>
    <row r="35" spans="1:26">
      <c r="A35" s="1461" t="s">
        <v>1168</v>
      </c>
      <c r="B35" s="1477">
        <f t="shared" ref="B35:C37" si="86">B34/(1+N34)</f>
        <v>275.55110220440883</v>
      </c>
      <c r="C35" s="1477">
        <f t="shared" si="86"/>
        <v>231.90723710515795</v>
      </c>
      <c r="D35" s="1477">
        <f t="shared" si="74"/>
        <v>231.90723710515795</v>
      </c>
      <c r="E35" s="1477">
        <f t="shared" ref="E35:F37" si="87">E34/(1+P34)</f>
        <v>377.28276138872161</v>
      </c>
      <c r="F35" s="1477">
        <f t="shared" si="87"/>
        <v>212.02468644236512</v>
      </c>
      <c r="G35" s="3275">
        <v>2011</v>
      </c>
      <c r="H35" s="1487">
        <v>3</v>
      </c>
      <c r="I35" s="1487">
        <v>0.13</v>
      </c>
      <c r="J35" s="1487">
        <v>0.75</v>
      </c>
      <c r="K35" s="1487">
        <v>-0.08</v>
      </c>
      <c r="L35" s="1488">
        <v>0.53</v>
      </c>
      <c r="N35" s="1472">
        <f t="shared" si="76"/>
        <v>1.2999999999999999E-3</v>
      </c>
      <c r="O35" s="1489">
        <f t="shared" si="76"/>
        <v>7.4999999999999997E-3</v>
      </c>
      <c r="P35" s="1489">
        <f t="shared" si="76"/>
        <v>-8.0000000000000004E-4</v>
      </c>
      <c r="Q35" s="1489">
        <f t="shared" si="76"/>
        <v>5.3E-3</v>
      </c>
      <c r="R35" s="1474"/>
      <c r="S35" s="1472"/>
      <c r="T35" s="1473"/>
      <c r="U35" s="1473"/>
      <c r="V35" s="1473"/>
    </row>
    <row r="36" spans="1:26">
      <c r="A36" s="1461" t="s">
        <v>1169</v>
      </c>
      <c r="B36" s="1477">
        <f t="shared" si="86"/>
        <v>275.19335084830601</v>
      </c>
      <c r="C36" s="1477">
        <f t="shared" si="86"/>
        <v>230.18088050139744</v>
      </c>
      <c r="D36" s="1477">
        <f t="shared" si="74"/>
        <v>230.18088050139744</v>
      </c>
      <c r="E36" s="1477">
        <f t="shared" si="87"/>
        <v>377.58482925212331</v>
      </c>
      <c r="F36" s="1477">
        <f t="shared" si="87"/>
        <v>210.90687997847917</v>
      </c>
      <c r="G36" s="3275">
        <v>2011</v>
      </c>
      <c r="H36" s="1465">
        <v>2</v>
      </c>
      <c r="I36" s="1465">
        <v>-0.4</v>
      </c>
      <c r="J36" s="1465">
        <v>0.17</v>
      </c>
      <c r="K36" s="1465">
        <v>-0.57999999999999996</v>
      </c>
      <c r="L36" s="1479">
        <v>-0.2</v>
      </c>
      <c r="N36" s="1472">
        <f t="shared" si="76"/>
        <v>-4.0000000000000001E-3</v>
      </c>
      <c r="O36" s="1489">
        <f t="shared" si="76"/>
        <v>1.7000000000000001E-3</v>
      </c>
      <c r="P36" s="1489">
        <f t="shared" si="76"/>
        <v>-5.7999999999999996E-3</v>
      </c>
      <c r="Q36" s="1489">
        <f t="shared" si="76"/>
        <v>-2E-3</v>
      </c>
      <c r="R36" s="1474"/>
      <c r="S36" s="1472"/>
      <c r="T36" s="1473"/>
      <c r="U36" s="1473"/>
      <c r="V36" s="1473"/>
    </row>
    <row r="37" spans="1:26" ht="13.5" thickBot="1">
      <c r="A37" s="1461" t="s">
        <v>1170</v>
      </c>
      <c r="B37" s="1477">
        <f t="shared" si="86"/>
        <v>276.29854502841971</v>
      </c>
      <c r="C37" s="1477">
        <f t="shared" si="86"/>
        <v>229.79023709833027</v>
      </c>
      <c r="D37" s="1477">
        <f t="shared" si="74"/>
        <v>229.79023709833027</v>
      </c>
      <c r="E37" s="1477">
        <f t="shared" si="87"/>
        <v>379.78759731655936</v>
      </c>
      <c r="F37" s="1477">
        <f t="shared" si="87"/>
        <v>211.32953905659235</v>
      </c>
      <c r="G37" s="3276">
        <v>2011</v>
      </c>
      <c r="H37" s="1464">
        <v>1</v>
      </c>
      <c r="I37" s="1464">
        <v>2.65</v>
      </c>
      <c r="J37" s="1464">
        <v>3.76</v>
      </c>
      <c r="K37" s="1464">
        <v>1.89</v>
      </c>
      <c r="L37" s="1478">
        <v>7.95</v>
      </c>
      <c r="N37" s="1480">
        <f t="shared" si="76"/>
        <v>2.6499999999999999E-2</v>
      </c>
      <c r="O37" s="1481">
        <f t="shared" si="76"/>
        <v>3.7599999999999995E-2</v>
      </c>
      <c r="P37" s="1481">
        <f t="shared" si="76"/>
        <v>1.89E-2</v>
      </c>
      <c r="Q37" s="1481">
        <f t="shared" si="76"/>
        <v>7.9500000000000001E-2</v>
      </c>
      <c r="R37" s="1474"/>
      <c r="S37" s="1480">
        <f>B37/B38-1</f>
        <v>2.713213765211786E-2</v>
      </c>
      <c r="T37" s="1481">
        <f>C37/C38-1</f>
        <v>3.9774828499231862E-2</v>
      </c>
      <c r="U37" s="1481">
        <f>E37/E38-1</f>
        <v>1.8197311840641772E-2</v>
      </c>
      <c r="V37" s="1481">
        <f>F37/F38-1</f>
        <v>7.8211933962205826E-2</v>
      </c>
      <c r="X37" s="1460"/>
      <c r="Y37" s="1460"/>
      <c r="Z37" s="1460"/>
    </row>
    <row r="38" spans="1:26" ht="13.5" thickBot="1">
      <c r="A38" s="1461" t="s">
        <v>1171</v>
      </c>
      <c r="B38" s="1469">
        <v>269</v>
      </c>
      <c r="C38" s="1469">
        <v>221</v>
      </c>
      <c r="D38" s="1469">
        <f t="shared" si="74"/>
        <v>221</v>
      </c>
      <c r="E38" s="1469">
        <v>373</v>
      </c>
      <c r="F38" s="1470">
        <v>196</v>
      </c>
      <c r="G38" s="3274">
        <v>2010</v>
      </c>
      <c r="H38" s="1482">
        <v>4</v>
      </c>
      <c r="I38" s="1482">
        <v>5.72</v>
      </c>
      <c r="J38" s="1482">
        <v>6.57</v>
      </c>
      <c r="K38" s="1482">
        <v>5.72</v>
      </c>
      <c r="L38" s="1483">
        <v>2.72</v>
      </c>
      <c r="N38" s="1472">
        <f t="shared" si="76"/>
        <v>5.7200000000000001E-2</v>
      </c>
      <c r="O38" s="1473">
        <f t="shared" si="76"/>
        <v>6.5700000000000008E-2</v>
      </c>
      <c r="P38" s="1473">
        <f t="shared" si="76"/>
        <v>5.7200000000000001E-2</v>
      </c>
      <c r="Q38" s="1473">
        <f t="shared" si="76"/>
        <v>2.7200000000000002E-2</v>
      </c>
      <c r="R38" s="1474"/>
      <c r="S38" s="1475"/>
      <c r="T38" s="1476"/>
      <c r="U38" s="1476"/>
      <c r="V38" s="1476"/>
      <c r="X38" s="1476"/>
      <c r="Y38" s="1476"/>
      <c r="Z38" s="1476"/>
    </row>
    <row r="39" spans="1:26">
      <c r="A39" s="1461" t="s">
        <v>1172</v>
      </c>
      <c r="B39" s="1477">
        <f t="shared" ref="B39:C41" si="88">B38/(1+N38)</f>
        <v>254.44570563753314</v>
      </c>
      <c r="C39" s="1477">
        <f t="shared" si="88"/>
        <v>207.37543398705074</v>
      </c>
      <c r="D39" s="1477">
        <f t="shared" si="74"/>
        <v>207.37543398705074</v>
      </c>
      <c r="E39" s="1477">
        <f t="shared" ref="E39:F41" si="89">E38/(1+P38)</f>
        <v>352.81876655315932</v>
      </c>
      <c r="F39" s="1477">
        <f t="shared" si="89"/>
        <v>190.809968847352</v>
      </c>
      <c r="G39" s="3275">
        <v>2010</v>
      </c>
      <c r="H39" s="1487">
        <v>3</v>
      </c>
      <c r="I39" s="1487">
        <v>4.7300000000000004</v>
      </c>
      <c r="J39" s="1487">
        <v>3.9</v>
      </c>
      <c r="K39" s="1487">
        <v>5.03</v>
      </c>
      <c r="L39" s="1488">
        <v>4.21</v>
      </c>
      <c r="N39" s="1472">
        <f t="shared" si="76"/>
        <v>4.7300000000000002E-2</v>
      </c>
      <c r="O39" s="1473">
        <f t="shared" si="76"/>
        <v>3.9E-2</v>
      </c>
      <c r="P39" s="1473">
        <f t="shared" si="76"/>
        <v>5.0300000000000004E-2</v>
      </c>
      <c r="Q39" s="1473">
        <f t="shared" si="76"/>
        <v>4.2099999999999999E-2</v>
      </c>
      <c r="R39" s="1474"/>
      <c r="S39" s="1472"/>
      <c r="T39" s="1473"/>
      <c r="U39" s="1473"/>
      <c r="V39" s="1473"/>
    </row>
    <row r="40" spans="1:26">
      <c r="A40" s="1461" t="s">
        <v>1173</v>
      </c>
      <c r="B40" s="1477">
        <f t="shared" si="88"/>
        <v>242.95398227588385</v>
      </c>
      <c r="C40" s="1477">
        <f t="shared" si="88"/>
        <v>199.59137053614126</v>
      </c>
      <c r="D40" s="1477">
        <f t="shared" si="74"/>
        <v>199.59137053614126</v>
      </c>
      <c r="E40" s="1477">
        <f t="shared" si="89"/>
        <v>335.92189522342125</v>
      </c>
      <c r="F40" s="1477">
        <f t="shared" si="89"/>
        <v>183.10139991109489</v>
      </c>
      <c r="G40" s="3275">
        <v>2010</v>
      </c>
      <c r="H40" s="1465">
        <v>2</v>
      </c>
      <c r="I40" s="1465">
        <v>4.6900000000000004</v>
      </c>
      <c r="J40" s="1465">
        <v>3.55</v>
      </c>
      <c r="K40" s="1465">
        <v>5.07</v>
      </c>
      <c r="L40" s="1479">
        <v>4.2300000000000004</v>
      </c>
      <c r="N40" s="1472">
        <f t="shared" si="76"/>
        <v>4.6900000000000004E-2</v>
      </c>
      <c r="O40" s="1473">
        <f t="shared" si="76"/>
        <v>3.5499999999999997E-2</v>
      </c>
      <c r="P40" s="1473">
        <f t="shared" si="76"/>
        <v>5.0700000000000002E-2</v>
      </c>
      <c r="Q40" s="1473">
        <f t="shared" si="76"/>
        <v>4.2300000000000004E-2</v>
      </c>
      <c r="R40" s="1474"/>
      <c r="S40" s="1472"/>
      <c r="T40" s="1473"/>
      <c r="U40" s="1473"/>
      <c r="V40" s="1473"/>
    </row>
    <row r="41" spans="1:26" ht="13.5" thickBot="1">
      <c r="A41" s="1461" t="s">
        <v>1174</v>
      </c>
      <c r="B41" s="1477">
        <f t="shared" si="88"/>
        <v>232.06990378821649</v>
      </c>
      <c r="C41" s="1477">
        <f t="shared" si="88"/>
        <v>192.74878854286936</v>
      </c>
      <c r="D41" s="1477">
        <f t="shared" si="74"/>
        <v>192.74878854286936</v>
      </c>
      <c r="E41" s="1477">
        <f t="shared" si="89"/>
        <v>319.71247284992984</v>
      </c>
      <c r="F41" s="1477">
        <f t="shared" si="89"/>
        <v>175.67053622862409</v>
      </c>
      <c r="G41" s="3276">
        <v>2010</v>
      </c>
      <c r="H41" s="1464">
        <v>1</v>
      </c>
      <c r="I41" s="1464">
        <v>5.4</v>
      </c>
      <c r="J41" s="1464">
        <v>3.2</v>
      </c>
      <c r="K41" s="1464">
        <v>6.16</v>
      </c>
      <c r="L41" s="1478">
        <v>4.51</v>
      </c>
      <c r="N41" s="1472">
        <f t="shared" si="76"/>
        <v>5.4000000000000006E-2</v>
      </c>
      <c r="O41" s="1473">
        <f t="shared" si="76"/>
        <v>3.2000000000000001E-2</v>
      </c>
      <c r="P41" s="1473">
        <f t="shared" si="76"/>
        <v>6.1600000000000002E-2</v>
      </c>
      <c r="Q41" s="1473">
        <f t="shared" si="76"/>
        <v>4.5100000000000001E-2</v>
      </c>
      <c r="R41" s="1474"/>
      <c r="S41" s="1480">
        <f>B41/B42-1</f>
        <v>5.4863199037347599E-2</v>
      </c>
      <c r="T41" s="1481">
        <f>C41/C42-1</f>
        <v>3.0742184721226584E-2</v>
      </c>
      <c r="U41" s="1481">
        <f>E41/E42-1</f>
        <v>6.2167683886810154E-2</v>
      </c>
      <c r="V41" s="1481">
        <f>F41/F42-1</f>
        <v>4.5657953741810031E-2</v>
      </c>
      <c r="X41" s="1460"/>
      <c r="Y41" s="1460"/>
      <c r="Z41" s="1460"/>
    </row>
    <row r="42" spans="1:26" ht="13.5" thickBot="1">
      <c r="A42" s="1461" t="s">
        <v>1175</v>
      </c>
      <c r="B42" s="1469">
        <v>220</v>
      </c>
      <c r="C42" s="1469">
        <v>187</v>
      </c>
      <c r="D42" s="1469">
        <f t="shared" si="74"/>
        <v>187</v>
      </c>
      <c r="E42" s="1469">
        <v>301</v>
      </c>
      <c r="F42" s="1470">
        <v>168</v>
      </c>
      <c r="G42" s="3274">
        <v>2009</v>
      </c>
      <c r="H42" s="1482">
        <v>4</v>
      </c>
      <c r="I42" s="1482">
        <v>2.2999999999999998</v>
      </c>
      <c r="J42" s="1482">
        <v>1.04</v>
      </c>
      <c r="K42" s="1482">
        <v>2.84</v>
      </c>
      <c r="L42" s="1483">
        <v>0.67</v>
      </c>
      <c r="N42" s="1484">
        <f t="shared" si="76"/>
        <v>2.3E-2</v>
      </c>
      <c r="O42" s="1485">
        <f t="shared" si="76"/>
        <v>1.04E-2</v>
      </c>
      <c r="P42" s="1485">
        <f t="shared" si="76"/>
        <v>2.8399999999999998E-2</v>
      </c>
      <c r="Q42" s="1485">
        <f t="shared" si="76"/>
        <v>6.7000000000000002E-3</v>
      </c>
      <c r="R42" s="1474"/>
      <c r="S42" s="1475"/>
      <c r="T42" s="1476"/>
      <c r="U42" s="1476"/>
      <c r="V42" s="1476"/>
      <c r="X42" s="1476"/>
      <c r="Y42" s="1476"/>
      <c r="Z42" s="1476"/>
    </row>
    <row r="43" spans="1:26">
      <c r="A43" s="1461" t="s">
        <v>1176</v>
      </c>
      <c r="B43" s="1477">
        <f t="shared" ref="B43:C45" si="90">B42/(1+N42)</f>
        <v>215.05376344086022</v>
      </c>
      <c r="C43" s="1477">
        <f t="shared" si="90"/>
        <v>185.0752177355503</v>
      </c>
      <c r="D43" s="1477">
        <f t="shared" si="74"/>
        <v>185.0752177355503</v>
      </c>
      <c r="E43" s="1477">
        <f t="shared" ref="E43:F45" si="91">E42/(1+P42)</f>
        <v>292.68767016725008</v>
      </c>
      <c r="F43" s="1477">
        <f t="shared" si="91"/>
        <v>166.88189132810174</v>
      </c>
      <c r="G43" s="3275">
        <v>2009</v>
      </c>
      <c r="H43" s="1487">
        <v>3</v>
      </c>
      <c r="I43" s="1487">
        <v>2.1</v>
      </c>
      <c r="J43" s="1487">
        <v>1.86</v>
      </c>
      <c r="K43" s="1487">
        <v>2.29</v>
      </c>
      <c r="L43" s="1488">
        <v>0.85</v>
      </c>
      <c r="N43" s="1472">
        <f t="shared" si="76"/>
        <v>2.1000000000000001E-2</v>
      </c>
      <c r="O43" s="1489">
        <f t="shared" si="76"/>
        <v>1.8600000000000002E-2</v>
      </c>
      <c r="P43" s="1489">
        <f t="shared" si="76"/>
        <v>2.29E-2</v>
      </c>
      <c r="Q43" s="1489">
        <f t="shared" si="76"/>
        <v>8.5000000000000006E-3</v>
      </c>
      <c r="R43" s="1474"/>
      <c r="S43" s="1472"/>
      <c r="T43" s="1473"/>
      <c r="U43" s="1473"/>
      <c r="V43" s="1473"/>
    </row>
    <row r="44" spans="1:26">
      <c r="A44" s="1461" t="s">
        <v>1177</v>
      </c>
      <c r="B44" s="1477">
        <f t="shared" si="90"/>
        <v>210.630522469011</v>
      </c>
      <c r="C44" s="1477">
        <f t="shared" si="90"/>
        <v>181.69567812247232</v>
      </c>
      <c r="D44" s="1477">
        <f t="shared" si="74"/>
        <v>181.69567812247232</v>
      </c>
      <c r="E44" s="1477">
        <f t="shared" si="91"/>
        <v>286.13517466736738</v>
      </c>
      <c r="F44" s="1477">
        <f t="shared" si="91"/>
        <v>165.47535084591149</v>
      </c>
      <c r="G44" s="3275">
        <v>2009</v>
      </c>
      <c r="H44" s="1465">
        <v>2</v>
      </c>
      <c r="I44" s="1465">
        <v>0.86</v>
      </c>
      <c r="J44" s="1465">
        <v>-1.1299999999999999</v>
      </c>
      <c r="K44" s="1465">
        <v>1.79</v>
      </c>
      <c r="L44" s="1479">
        <v>-2.0699999999999998</v>
      </c>
      <c r="N44" s="1472">
        <f t="shared" si="76"/>
        <v>8.6E-3</v>
      </c>
      <c r="O44" s="1489">
        <f t="shared" si="76"/>
        <v>-1.1299999999999999E-2</v>
      </c>
      <c r="P44" s="1489">
        <f t="shared" si="76"/>
        <v>1.7899999999999999E-2</v>
      </c>
      <c r="Q44" s="1489">
        <f t="shared" si="76"/>
        <v>-2.07E-2</v>
      </c>
      <c r="R44" s="1474"/>
      <c r="S44" s="1472"/>
      <c r="T44" s="1473"/>
      <c r="U44" s="1473"/>
      <c r="V44" s="1473"/>
    </row>
    <row r="45" spans="1:26">
      <c r="A45" s="1461" t="s">
        <v>1178</v>
      </c>
      <c r="B45" s="1477">
        <f t="shared" si="90"/>
        <v>208.83454537875372</v>
      </c>
      <c r="C45" s="1477">
        <f t="shared" si="90"/>
        <v>183.77230517090351</v>
      </c>
      <c r="D45" s="1477">
        <f t="shared" si="74"/>
        <v>183.77230517090351</v>
      </c>
      <c r="E45" s="1477">
        <f t="shared" si="91"/>
        <v>281.10342338870947</v>
      </c>
      <c r="F45" s="1477">
        <f t="shared" si="91"/>
        <v>168.97309388942256</v>
      </c>
      <c r="G45" s="3276">
        <v>2009</v>
      </c>
      <c r="H45" s="1464">
        <v>1</v>
      </c>
      <c r="I45" s="1464">
        <v>-2.64</v>
      </c>
      <c r="J45" s="1464">
        <v>-2.5299999999999998</v>
      </c>
      <c r="K45" s="1464">
        <v>-3.02</v>
      </c>
      <c r="L45" s="1478">
        <v>1.52</v>
      </c>
      <c r="N45" s="1480">
        <f t="shared" si="76"/>
        <v>-2.64E-2</v>
      </c>
      <c r="O45" s="1481">
        <f t="shared" si="76"/>
        <v>-2.53E-2</v>
      </c>
      <c r="P45" s="1481">
        <f t="shared" si="76"/>
        <v>-3.0200000000000001E-2</v>
      </c>
      <c r="Q45" s="1481">
        <f t="shared" si="76"/>
        <v>1.52E-2</v>
      </c>
      <c r="R45" s="1474"/>
      <c r="S45" s="1480">
        <f>B45/B46-1</f>
        <v>-2.4137638417038754E-2</v>
      </c>
      <c r="T45" s="1481">
        <f>C45/C46-1</f>
        <v>-2.248773845264096E-2</v>
      </c>
      <c r="U45" s="1481">
        <f>E45/E46-1</f>
        <v>-2.7323794502735366E-2</v>
      </c>
      <c r="V45" s="1481">
        <f>F45/F46-1</f>
        <v>1.7910204153148035E-2</v>
      </c>
      <c r="X45" s="1460"/>
      <c r="Y45" s="1460"/>
      <c r="Z45" s="1460"/>
    </row>
    <row r="46" spans="1:26" ht="13.5" thickBot="1">
      <c r="A46" s="1461" t="s">
        <v>1179</v>
      </c>
      <c r="B46" s="1511">
        <v>214</v>
      </c>
      <c r="C46" s="1511">
        <v>188</v>
      </c>
      <c r="D46" s="1511">
        <f t="shared" si="74"/>
        <v>188</v>
      </c>
      <c r="E46" s="1511">
        <v>289</v>
      </c>
      <c r="F46" s="1512">
        <v>166</v>
      </c>
      <c r="G46" s="3274">
        <v>2008</v>
      </c>
      <c r="H46" s="1482">
        <v>4</v>
      </c>
      <c r="I46" s="1482">
        <v>1.73</v>
      </c>
      <c r="J46" s="1482">
        <v>0.03</v>
      </c>
      <c r="K46" s="1482">
        <v>2.59</v>
      </c>
      <c r="L46" s="1483">
        <v>-1.66</v>
      </c>
      <c r="N46" s="1472">
        <f t="shared" si="76"/>
        <v>1.7299999999999999E-2</v>
      </c>
      <c r="O46" s="1473">
        <f t="shared" si="76"/>
        <v>2.9999999999999997E-4</v>
      </c>
      <c r="P46" s="1473">
        <f t="shared" si="76"/>
        <v>2.5899999999999999E-2</v>
      </c>
      <c r="Q46" s="1473">
        <f t="shared" si="76"/>
        <v>-1.66E-2</v>
      </c>
      <c r="R46" s="1474"/>
      <c r="S46" s="1475"/>
      <c r="T46" s="1476"/>
      <c r="U46" s="1476"/>
      <c r="V46" s="1476"/>
      <c r="X46" s="1476"/>
      <c r="Y46" s="1476"/>
      <c r="Z46" s="1476"/>
    </row>
    <row r="47" spans="1:26">
      <c r="A47" s="1461" t="s">
        <v>1180</v>
      </c>
      <c r="B47" s="1477">
        <f t="shared" ref="B47:C49" si="92">B46/(1+N46)</f>
        <v>210.36075887152265</v>
      </c>
      <c r="C47" s="1477">
        <f t="shared" si="92"/>
        <v>187.94361691492554</v>
      </c>
      <c r="D47" s="1477">
        <f t="shared" si="74"/>
        <v>187.94361691492554</v>
      </c>
      <c r="E47" s="1477">
        <f t="shared" ref="E47:F49" si="93">E46/(1+P46)</f>
        <v>281.70386977288234</v>
      </c>
      <c r="F47" s="1477">
        <f t="shared" si="93"/>
        <v>168.80211511083994</v>
      </c>
      <c r="G47" s="3275">
        <v>2008</v>
      </c>
      <c r="H47" s="1487">
        <v>3</v>
      </c>
      <c r="I47" s="1487">
        <v>1.96</v>
      </c>
      <c r="J47" s="1487">
        <v>2.36</v>
      </c>
      <c r="K47" s="1487">
        <v>1.82</v>
      </c>
      <c r="L47" s="1488">
        <v>2.2200000000000002</v>
      </c>
      <c r="N47" s="1472">
        <f t="shared" si="76"/>
        <v>1.9599999999999999E-2</v>
      </c>
      <c r="O47" s="1473">
        <f t="shared" si="76"/>
        <v>2.3599999999999999E-2</v>
      </c>
      <c r="P47" s="1473">
        <f t="shared" si="76"/>
        <v>1.8200000000000001E-2</v>
      </c>
      <c r="Q47" s="1473">
        <f t="shared" si="76"/>
        <v>2.2200000000000001E-2</v>
      </c>
      <c r="R47" s="1474"/>
      <c r="S47" s="1472"/>
      <c r="T47" s="1473"/>
      <c r="U47" s="1473"/>
      <c r="V47" s="1473"/>
    </row>
    <row r="48" spans="1:26">
      <c r="A48" s="1461" t="s">
        <v>1181</v>
      </c>
      <c r="B48" s="1477">
        <f t="shared" si="92"/>
        <v>206.31694671589116</v>
      </c>
      <c r="C48" s="1477">
        <f t="shared" si="92"/>
        <v>183.61041121036101</v>
      </c>
      <c r="D48" s="1477">
        <f t="shared" si="74"/>
        <v>183.61041121036101</v>
      </c>
      <c r="E48" s="1477">
        <f t="shared" si="93"/>
        <v>276.66850301795557</v>
      </c>
      <c r="F48" s="1477">
        <f t="shared" si="93"/>
        <v>165.1360938278614</v>
      </c>
      <c r="G48" s="3275">
        <v>2008</v>
      </c>
      <c r="H48" s="1465">
        <v>2</v>
      </c>
      <c r="I48" s="1465">
        <v>4.93</v>
      </c>
      <c r="J48" s="1465">
        <v>7.38</v>
      </c>
      <c r="K48" s="1465">
        <v>3.98</v>
      </c>
      <c r="L48" s="1479">
        <v>6.86</v>
      </c>
      <c r="N48" s="1472">
        <f t="shared" si="76"/>
        <v>4.9299999999999997E-2</v>
      </c>
      <c r="O48" s="1473">
        <f t="shared" si="76"/>
        <v>7.3800000000000004E-2</v>
      </c>
      <c r="P48" s="1473">
        <f t="shared" si="76"/>
        <v>3.9800000000000002E-2</v>
      </c>
      <c r="Q48" s="1473">
        <f t="shared" si="76"/>
        <v>6.8600000000000008E-2</v>
      </c>
      <c r="R48" s="1474"/>
      <c r="S48" s="1472"/>
      <c r="T48" s="1473"/>
      <c r="U48" s="1473"/>
      <c r="V48" s="1473"/>
    </row>
    <row r="49" spans="1:26" s="1517" customFormat="1" ht="13.5" thickBot="1">
      <c r="A49" s="1461" t="s">
        <v>1182</v>
      </c>
      <c r="B49" s="1514">
        <f t="shared" si="92"/>
        <v>196.62341248059772</v>
      </c>
      <c r="C49" s="1514">
        <f t="shared" si="92"/>
        <v>170.99125648199012</v>
      </c>
      <c r="D49" s="1514">
        <f t="shared" si="74"/>
        <v>170.99125648199012</v>
      </c>
      <c r="E49" s="1514">
        <f t="shared" si="93"/>
        <v>266.07857570490052</v>
      </c>
      <c r="F49" s="1514">
        <f t="shared" si="93"/>
        <v>154.53499328828505</v>
      </c>
      <c r="G49" s="3276">
        <v>2008</v>
      </c>
      <c r="H49" s="1515">
        <v>1</v>
      </c>
      <c r="I49" s="1515">
        <v>4.1399999999999997</v>
      </c>
      <c r="J49" s="1515">
        <v>3.45</v>
      </c>
      <c r="K49" s="1515">
        <v>4.95</v>
      </c>
      <c r="L49" s="1516">
        <v>4.82</v>
      </c>
      <c r="N49" s="1518">
        <f t="shared" si="76"/>
        <v>4.1399999999999999E-2</v>
      </c>
      <c r="O49" s="1519">
        <f t="shared" si="76"/>
        <v>3.4500000000000003E-2</v>
      </c>
      <c r="P49" s="1519">
        <f t="shared" si="76"/>
        <v>4.9500000000000002E-2</v>
      </c>
      <c r="Q49" s="1519">
        <f t="shared" si="76"/>
        <v>4.82E-2</v>
      </c>
      <c r="R49" s="1520"/>
      <c r="S49" s="1518">
        <f>B49/B50-1</f>
        <v>4.5869215322328349E-2</v>
      </c>
      <c r="T49" s="1519">
        <f>C49/C50-1</f>
        <v>3.6310645345394743E-2</v>
      </c>
      <c r="U49" s="1519">
        <f>E49/E50-1</f>
        <v>4.7553447657088688E-2</v>
      </c>
      <c r="V49" s="1519">
        <f>F49/F50-1</f>
        <v>4.4155360055980086E-2</v>
      </c>
      <c r="X49" s="1521"/>
      <c r="Y49" s="1521"/>
      <c r="Z49" s="1521"/>
    </row>
    <row r="50" spans="1:26" ht="13.5" thickBot="1">
      <c r="A50" s="1461" t="s">
        <v>1183</v>
      </c>
      <c r="B50" s="1469">
        <v>188</v>
      </c>
      <c r="C50" s="1469">
        <v>165</v>
      </c>
      <c r="D50" s="1469">
        <f t="shared" si="74"/>
        <v>165</v>
      </c>
      <c r="E50" s="1469">
        <v>254</v>
      </c>
      <c r="F50" s="1470">
        <v>148</v>
      </c>
      <c r="G50" s="3274">
        <v>2007</v>
      </c>
      <c r="H50" s="1522">
        <v>4</v>
      </c>
      <c r="I50" s="1522">
        <v>5.51</v>
      </c>
      <c r="J50" s="1522">
        <v>4.8899999999999997</v>
      </c>
      <c r="K50" s="1522">
        <v>6.43</v>
      </c>
      <c r="L50" s="1523">
        <v>5.36</v>
      </c>
      <c r="N50" s="1524">
        <f t="shared" ref="N50:O53" si="94">B50/B51-1</f>
        <v>4.1339718365245526E-2</v>
      </c>
      <c r="O50" s="1525">
        <f t="shared" si="94"/>
        <v>4.0324492593776018E-2</v>
      </c>
      <c r="P50" s="1525">
        <f t="shared" ref="P50:Q53" si="95">E50/E51-1</f>
        <v>6.1625555347990968E-2</v>
      </c>
      <c r="Q50" s="1525">
        <f t="shared" si="95"/>
        <v>4.6757569250590603E-2</v>
      </c>
      <c r="R50" s="1474"/>
      <c r="S50" s="1475"/>
      <c r="T50" s="1476"/>
      <c r="U50" s="1476"/>
      <c r="V50" s="1476"/>
      <c r="X50" s="1476"/>
      <c r="Y50" s="1476"/>
      <c r="Z50" s="1476"/>
    </row>
    <row r="51" spans="1:26">
      <c r="A51" s="1461" t="s">
        <v>1184</v>
      </c>
      <c r="B51" s="1477">
        <f t="shared" ref="B51:C53" si="96">B52+(B$50-B$54)*I51/SUM(I$50:I$53)</f>
        <v>180.5366651097618</v>
      </c>
      <c r="C51" s="1477">
        <f t="shared" si="96"/>
        <v>158.60435967302453</v>
      </c>
      <c r="D51" s="1477">
        <f t="shared" si="74"/>
        <v>158.60435967302453</v>
      </c>
      <c r="E51" s="1477">
        <f t="shared" ref="E51:F53" si="97">E52+(E$50-E$54)*K51/SUM(K$50:K$53)</f>
        <v>239.25573260785075</v>
      </c>
      <c r="F51" s="1477">
        <f t="shared" si="97"/>
        <v>141.38899430740037</v>
      </c>
      <c r="G51" s="3275">
        <v>2007</v>
      </c>
      <c r="H51" s="1487">
        <v>3</v>
      </c>
      <c r="I51" s="1487">
        <v>8.65</v>
      </c>
      <c r="J51" s="1487">
        <v>8.06</v>
      </c>
      <c r="K51" s="1487">
        <v>9.94</v>
      </c>
      <c r="L51" s="1488">
        <v>5.8</v>
      </c>
      <c r="N51" s="1524">
        <f t="shared" si="94"/>
        <v>6.940217571740015E-2</v>
      </c>
      <c r="O51" s="1525">
        <f t="shared" si="94"/>
        <v>7.1197482471153428E-2</v>
      </c>
      <c r="P51" s="1525">
        <f t="shared" si="95"/>
        <v>0.10529679922579582</v>
      </c>
      <c r="Q51" s="1525">
        <f t="shared" si="95"/>
        <v>5.3292245059512133E-2</v>
      </c>
      <c r="R51" s="1474"/>
      <c r="S51" s="1472"/>
      <c r="T51" s="1473"/>
      <c r="U51" s="1473"/>
      <c r="V51" s="1473"/>
      <c r="X51" s="1526"/>
      <c r="Y51" s="1526"/>
      <c r="Z51" s="1526"/>
    </row>
    <row r="52" spans="1:26">
      <c r="A52" s="1461" t="s">
        <v>1185</v>
      </c>
      <c r="B52" s="1477">
        <f t="shared" si="96"/>
        <v>168.82017748715555</v>
      </c>
      <c r="C52" s="1477">
        <f t="shared" si="96"/>
        <v>148.06267029972753</v>
      </c>
      <c r="D52" s="1477">
        <f t="shared" si="74"/>
        <v>148.06267029972753</v>
      </c>
      <c r="E52" s="1477">
        <f t="shared" si="97"/>
        <v>216.46288379323747</v>
      </c>
      <c r="F52" s="1477">
        <f t="shared" si="97"/>
        <v>134.23529411764704</v>
      </c>
      <c r="G52" s="3275">
        <v>2007</v>
      </c>
      <c r="H52" s="1465">
        <v>2</v>
      </c>
      <c r="I52" s="1465">
        <v>3.67</v>
      </c>
      <c r="J52" s="1465">
        <v>2.3199999999999998</v>
      </c>
      <c r="K52" s="1465">
        <v>5.0199999999999996</v>
      </c>
      <c r="L52" s="1479">
        <v>6.71</v>
      </c>
      <c r="N52" s="1524">
        <f t="shared" si="94"/>
        <v>3.0339138143848032E-2</v>
      </c>
      <c r="O52" s="1525">
        <f t="shared" si="94"/>
        <v>2.0922341588790472E-2</v>
      </c>
      <c r="P52" s="1525">
        <f t="shared" si="95"/>
        <v>5.6164796592717003E-2</v>
      </c>
      <c r="Q52" s="1525">
        <f t="shared" si="95"/>
        <v>6.5704536723887319E-2</v>
      </c>
      <c r="R52" s="1474"/>
      <c r="S52" s="1472"/>
      <c r="T52" s="1473"/>
      <c r="U52" s="1473"/>
      <c r="V52" s="1473"/>
      <c r="X52" s="1526"/>
      <c r="Y52" s="1526"/>
      <c r="Z52" s="1526"/>
    </row>
    <row r="53" spans="1:26">
      <c r="A53" s="1461" t="s">
        <v>1186</v>
      </c>
      <c r="B53" s="1477">
        <f t="shared" si="96"/>
        <v>163.84913591779542</v>
      </c>
      <c r="C53" s="1477">
        <f t="shared" si="96"/>
        <v>145.0283378746594</v>
      </c>
      <c r="D53" s="1477">
        <f t="shared" si="74"/>
        <v>145.0283378746594</v>
      </c>
      <c r="E53" s="1477">
        <f t="shared" si="97"/>
        <v>204.95180722891567</v>
      </c>
      <c r="F53" s="1477">
        <f t="shared" si="97"/>
        <v>125.95920303605313</v>
      </c>
      <c r="G53" s="3276">
        <v>2007</v>
      </c>
      <c r="H53" s="1464">
        <v>1</v>
      </c>
      <c r="I53" s="1464">
        <v>3.58</v>
      </c>
      <c r="J53" s="1464">
        <v>3.08</v>
      </c>
      <c r="K53" s="1464">
        <v>4.34</v>
      </c>
      <c r="L53" s="1478">
        <v>3.21</v>
      </c>
      <c r="N53" s="1527">
        <f t="shared" si="94"/>
        <v>3.0497710174814063E-2</v>
      </c>
      <c r="O53" s="1528">
        <f t="shared" si="94"/>
        <v>2.8569772160704998E-2</v>
      </c>
      <c r="P53" s="1528">
        <f t="shared" si="95"/>
        <v>5.1034908866234296E-2</v>
      </c>
      <c r="Q53" s="1528">
        <f t="shared" si="95"/>
        <v>3.245248390207478E-2</v>
      </c>
      <c r="R53" s="1474"/>
      <c r="S53" s="1480">
        <f>B53/B54-1</f>
        <v>3.0497710174814063E-2</v>
      </c>
      <c r="T53" s="1481">
        <f>C53/C54-1</f>
        <v>2.8569772160704998E-2</v>
      </c>
      <c r="U53" s="1481">
        <f>E53/E54-1</f>
        <v>5.1034908866234296E-2</v>
      </c>
      <c r="V53" s="1481">
        <f>F53/F54-1</f>
        <v>3.245248390207478E-2</v>
      </c>
      <c r="X53" s="1526"/>
      <c r="Y53" s="1526"/>
      <c r="Z53" s="1526"/>
    </row>
    <row r="54" spans="1:26" ht="13.5" thickBot="1">
      <c r="A54" s="1461" t="s">
        <v>1187</v>
      </c>
      <c r="B54" s="1490">
        <v>159</v>
      </c>
      <c r="C54" s="1490">
        <v>141</v>
      </c>
      <c r="D54" s="1490">
        <f t="shared" si="74"/>
        <v>141</v>
      </c>
      <c r="E54" s="1490">
        <v>195</v>
      </c>
      <c r="F54" s="1491">
        <v>122</v>
      </c>
      <c r="G54" s="3274">
        <v>2006</v>
      </c>
      <c r="H54" s="1482">
        <v>4</v>
      </c>
      <c r="I54" s="1482">
        <v>3.79</v>
      </c>
      <c r="J54" s="1482">
        <v>2.21</v>
      </c>
      <c r="K54" s="1482">
        <v>5.65</v>
      </c>
      <c r="L54" s="1483">
        <v>5.41</v>
      </c>
      <c r="N54" s="1524">
        <f t="shared" ref="N54:O57" si="98">I54/SUM(I$54:I$57)*(B$54/B$58-1)</f>
        <v>7.245466462748526E-2</v>
      </c>
      <c r="O54" s="1525">
        <f t="shared" si="98"/>
        <v>2.3237230038062766E-2</v>
      </c>
      <c r="P54" s="1525">
        <f t="shared" ref="P54:Q57" si="99">K54/SUM(K$54:K$57)*(E$54/E$58-1)</f>
        <v>0.16146893866323722</v>
      </c>
      <c r="Q54" s="1525">
        <f t="shared" si="99"/>
        <v>5.0755230321793784E-2</v>
      </c>
      <c r="R54" s="1474"/>
      <c r="S54" s="1475"/>
      <c r="T54" s="1476"/>
      <c r="U54" s="1476"/>
      <c r="V54" s="1476"/>
      <c r="X54" s="1526"/>
      <c r="Y54" s="1526"/>
      <c r="Z54" s="1526"/>
    </row>
    <row r="55" spans="1:26">
      <c r="A55" s="1461" t="s">
        <v>1188</v>
      </c>
      <c r="B55" s="1477">
        <f t="shared" ref="B55:C57" si="100">B56+(B$54-B$58)*I55/SUM(I$54:I$57)</f>
        <v>149.00125628140702</v>
      </c>
      <c r="C55" s="1477">
        <f t="shared" si="100"/>
        <v>137.95592286501378</v>
      </c>
      <c r="D55" s="1477">
        <f t="shared" si="74"/>
        <v>137.95592286501378</v>
      </c>
      <c r="E55" s="1477">
        <f t="shared" ref="E55:F57" si="101">E56+(E$54-E$58)*K55/SUM(K$54:K$57)</f>
        <v>169.97231450719823</v>
      </c>
      <c r="F55" s="1477">
        <f t="shared" si="101"/>
        <v>116.21390374331551</v>
      </c>
      <c r="G55" s="3275">
        <v>2006</v>
      </c>
      <c r="H55" s="1487">
        <v>3</v>
      </c>
      <c r="I55" s="1487">
        <v>0.92</v>
      </c>
      <c r="J55" s="1487">
        <v>1.08</v>
      </c>
      <c r="K55" s="1487">
        <v>0.73</v>
      </c>
      <c r="L55" s="1488">
        <v>1.08</v>
      </c>
      <c r="N55" s="1524">
        <f t="shared" si="98"/>
        <v>1.7587939698492462E-2</v>
      </c>
      <c r="O55" s="1525">
        <f t="shared" si="98"/>
        <v>1.1355750425840628E-2</v>
      </c>
      <c r="P55" s="1525">
        <f t="shared" si="99"/>
        <v>2.0862358446754544E-2</v>
      </c>
      <c r="Q55" s="1525">
        <f t="shared" si="99"/>
        <v>1.0132282578103011E-2</v>
      </c>
      <c r="R55" s="1474"/>
      <c r="S55" s="1472"/>
      <c r="T55" s="1473"/>
      <c r="U55" s="1473"/>
      <c r="V55" s="1473"/>
      <c r="X55" s="1526"/>
      <c r="Y55" s="1526"/>
      <c r="Z55" s="1526"/>
    </row>
    <row r="56" spans="1:26">
      <c r="A56" s="1461" t="s">
        <v>1189</v>
      </c>
      <c r="B56" s="1477">
        <f t="shared" si="100"/>
        <v>146.57412060301507</v>
      </c>
      <c r="C56" s="1477">
        <f t="shared" si="100"/>
        <v>136.46831955922866</v>
      </c>
      <c r="D56" s="1477">
        <f t="shared" si="74"/>
        <v>136.46831955922866</v>
      </c>
      <c r="E56" s="1477">
        <f t="shared" si="101"/>
        <v>166.73864894795128</v>
      </c>
      <c r="F56" s="1477">
        <f t="shared" si="101"/>
        <v>115.05882352941177</v>
      </c>
      <c r="G56" s="3275">
        <v>2006</v>
      </c>
      <c r="H56" s="1465">
        <v>2</v>
      </c>
      <c r="I56" s="1465">
        <v>0.96</v>
      </c>
      <c r="J56" s="1465">
        <v>0.25</v>
      </c>
      <c r="K56" s="1465">
        <v>1.9</v>
      </c>
      <c r="L56" s="1479">
        <v>0.95</v>
      </c>
      <c r="N56" s="1524">
        <f t="shared" si="98"/>
        <v>1.8352632728861701E-2</v>
      </c>
      <c r="O56" s="1525">
        <f t="shared" si="98"/>
        <v>2.6286459319075526E-3</v>
      </c>
      <c r="P56" s="1525">
        <f t="shared" si="99"/>
        <v>5.4299289107991269E-2</v>
      </c>
      <c r="Q56" s="1525">
        <f t="shared" si="99"/>
        <v>8.9126559714794995E-3</v>
      </c>
      <c r="R56" s="1474"/>
      <c r="S56" s="1472"/>
      <c r="T56" s="1473"/>
      <c r="U56" s="1473"/>
      <c r="V56" s="1473"/>
      <c r="X56" s="1526"/>
      <c r="Y56" s="1526"/>
      <c r="Z56" s="1526"/>
    </row>
    <row r="57" spans="1:26">
      <c r="A57" s="1461" t="s">
        <v>1190</v>
      </c>
      <c r="B57" s="1477">
        <f t="shared" si="100"/>
        <v>144.04145728643215</v>
      </c>
      <c r="C57" s="1477">
        <f t="shared" si="100"/>
        <v>136.12396694214877</v>
      </c>
      <c r="D57" s="1477">
        <f t="shared" si="74"/>
        <v>136.12396694214877</v>
      </c>
      <c r="E57" s="1477">
        <f t="shared" si="101"/>
        <v>158.32225913621264</v>
      </c>
      <c r="F57" s="1477">
        <f t="shared" si="101"/>
        <v>114.04278074866311</v>
      </c>
      <c r="G57" s="3276">
        <v>2006</v>
      </c>
      <c r="H57" s="1464">
        <v>1</v>
      </c>
      <c r="I57" s="1464">
        <v>2.29</v>
      </c>
      <c r="J57" s="1464">
        <v>3.72</v>
      </c>
      <c r="K57" s="1464">
        <v>0.75</v>
      </c>
      <c r="L57" s="1478">
        <v>0.04</v>
      </c>
      <c r="N57" s="1527">
        <f t="shared" si="98"/>
        <v>4.3778675988638847E-2</v>
      </c>
      <c r="O57" s="1528">
        <f t="shared" si="98"/>
        <v>3.9114251466784385E-2</v>
      </c>
      <c r="P57" s="1528">
        <f t="shared" si="99"/>
        <v>2.1433929911049188E-2</v>
      </c>
      <c r="Q57" s="1528">
        <f t="shared" si="99"/>
        <v>3.7526972511492629E-4</v>
      </c>
      <c r="R57" s="1474"/>
      <c r="S57" s="1480">
        <f>B57/B58-1</f>
        <v>4.3778675988638716E-2</v>
      </c>
      <c r="T57" s="1481">
        <f>C57/C58-1</f>
        <v>3.91142514667846E-2</v>
      </c>
      <c r="U57" s="1481">
        <f>E57/E58-1</f>
        <v>2.143392991104931E-2</v>
      </c>
      <c r="V57" s="1481">
        <f>F57/F58-1</f>
        <v>3.7526972511492396E-4</v>
      </c>
      <c r="X57" s="1526"/>
      <c r="Y57" s="1526"/>
      <c r="Z57" s="1526"/>
    </row>
    <row r="58" spans="1:26" ht="13.5" thickBot="1">
      <c r="A58" s="1461" t="s">
        <v>1191</v>
      </c>
      <c r="B58" s="1490">
        <v>138</v>
      </c>
      <c r="C58" s="1490">
        <v>131</v>
      </c>
      <c r="D58" s="1490">
        <f t="shared" si="74"/>
        <v>131</v>
      </c>
      <c r="E58" s="1490">
        <v>155</v>
      </c>
      <c r="F58" s="1491">
        <v>114</v>
      </c>
      <c r="G58" s="3274">
        <v>2005</v>
      </c>
      <c r="H58" s="1482">
        <v>4</v>
      </c>
      <c r="I58" s="1482">
        <v>3.29</v>
      </c>
      <c r="J58" s="1482">
        <v>1.44</v>
      </c>
      <c r="K58" s="1482">
        <v>0.66</v>
      </c>
      <c r="L58" s="1483">
        <v>7.78</v>
      </c>
      <c r="N58" s="1524">
        <f t="shared" ref="N58:O61" si="102">I58/SUM(I$58:I$61)*(B$58/B$62-1)</f>
        <v>9.9404603216919935E-2</v>
      </c>
      <c r="O58" s="1525">
        <f t="shared" si="102"/>
        <v>4.7636550760861554E-2</v>
      </c>
      <c r="P58" s="1525">
        <f t="shared" ref="P58:Q61" si="103">K58/SUM(K$58:K$61)*(E$58/E$62-1)</f>
        <v>8.3756345177664976E-2</v>
      </c>
      <c r="Q58" s="1525">
        <f t="shared" si="103"/>
        <v>5.2148766661559584E-2</v>
      </c>
      <c r="R58" s="1474"/>
      <c r="S58" s="1475"/>
      <c r="T58" s="1476"/>
      <c r="U58" s="1476"/>
      <c r="V58" s="1476"/>
      <c r="X58" s="1526"/>
      <c r="Y58" s="1526"/>
      <c r="Z58" s="1526"/>
    </row>
    <row r="59" spans="1:26">
      <c r="A59" s="1461" t="s">
        <v>1192</v>
      </c>
      <c r="B59" s="1477">
        <f t="shared" ref="B59:C61" si="104">B60+(B$58-B$62)*I59/SUM(I$58:I$61)</f>
        <v>125.9720430107527</v>
      </c>
      <c r="C59" s="1477">
        <f t="shared" si="104"/>
        <v>125.1883408071749</v>
      </c>
      <c r="D59" s="1477">
        <f t="shared" si="74"/>
        <v>125.1883408071749</v>
      </c>
      <c r="E59" s="1477">
        <f t="shared" ref="E59:F61" si="105">E60+(E$58-E$62)*K59/SUM(K$58:K$61)</f>
        <v>144.61421319796952</v>
      </c>
      <c r="F59" s="1477">
        <f t="shared" si="105"/>
        <v>108.42008196721311</v>
      </c>
      <c r="G59" s="3275">
        <v>2005</v>
      </c>
      <c r="H59" s="1487">
        <v>3</v>
      </c>
      <c r="I59" s="1487">
        <v>0.46</v>
      </c>
      <c r="J59" s="1487">
        <v>0.32</v>
      </c>
      <c r="K59" s="1487">
        <v>0.42</v>
      </c>
      <c r="L59" s="1488">
        <v>0.64</v>
      </c>
      <c r="N59" s="1524">
        <f t="shared" si="102"/>
        <v>1.3898515951301874E-2</v>
      </c>
      <c r="O59" s="1525">
        <f t="shared" si="102"/>
        <v>1.0585900169080346E-2</v>
      </c>
      <c r="P59" s="1525">
        <f t="shared" si="103"/>
        <v>5.3299492385786795E-2</v>
      </c>
      <c r="Q59" s="1525">
        <f t="shared" si="103"/>
        <v>4.2898728359123568E-3</v>
      </c>
      <c r="R59" s="1474"/>
      <c r="S59" s="1472"/>
      <c r="T59" s="1473"/>
      <c r="U59" s="1473"/>
      <c r="V59" s="1473"/>
      <c r="X59" s="1526"/>
      <c r="Y59" s="1526"/>
      <c r="Z59" s="1526"/>
    </row>
    <row r="60" spans="1:26">
      <c r="A60" s="1461" t="s">
        <v>1193</v>
      </c>
      <c r="B60" s="1477">
        <f t="shared" si="104"/>
        <v>124.29032258064517</v>
      </c>
      <c r="C60" s="1477">
        <f t="shared" si="104"/>
        <v>123.8968609865471</v>
      </c>
      <c r="D60" s="1477">
        <f t="shared" si="74"/>
        <v>123.8968609865471</v>
      </c>
      <c r="E60" s="1477">
        <f t="shared" si="105"/>
        <v>138.00507614213197</v>
      </c>
      <c r="F60" s="1477">
        <f t="shared" si="105"/>
        <v>107.96106557377048</v>
      </c>
      <c r="G60" s="3275">
        <v>2005</v>
      </c>
      <c r="H60" s="1465">
        <v>2</v>
      </c>
      <c r="I60" s="1465">
        <v>0.47</v>
      </c>
      <c r="J60" s="1465">
        <v>0.1</v>
      </c>
      <c r="K60" s="1465">
        <v>0.52</v>
      </c>
      <c r="L60" s="1479">
        <v>0.79</v>
      </c>
      <c r="N60" s="1524">
        <f t="shared" si="102"/>
        <v>1.420065760241713E-2</v>
      </c>
      <c r="O60" s="1525">
        <f t="shared" si="102"/>
        <v>3.3080938028376083E-3</v>
      </c>
      <c r="P60" s="1525">
        <f t="shared" si="103"/>
        <v>6.598984771573603E-2</v>
      </c>
      <c r="Q60" s="1525">
        <f t="shared" si="103"/>
        <v>5.2953117818293153E-3</v>
      </c>
      <c r="R60" s="1474"/>
      <c r="S60" s="1472"/>
      <c r="T60" s="1473"/>
      <c r="U60" s="1473"/>
      <c r="V60" s="1473"/>
      <c r="X60" s="1526"/>
      <c r="Y60" s="1526"/>
      <c r="Z60" s="1526"/>
    </row>
    <row r="61" spans="1:26">
      <c r="A61" s="1461" t="s">
        <v>1194</v>
      </c>
      <c r="B61" s="1477">
        <f t="shared" si="104"/>
        <v>122.57204301075269</v>
      </c>
      <c r="C61" s="1477">
        <f t="shared" si="104"/>
        <v>123.4932735426009</v>
      </c>
      <c r="D61" s="1477">
        <f t="shared" si="74"/>
        <v>123.4932735426009</v>
      </c>
      <c r="E61" s="1477">
        <f t="shared" si="105"/>
        <v>129.82233502538071</v>
      </c>
      <c r="F61" s="1477">
        <f t="shared" si="105"/>
        <v>107.39446721311475</v>
      </c>
      <c r="G61" s="3276">
        <v>2005</v>
      </c>
      <c r="H61" s="1464">
        <v>1</v>
      </c>
      <c r="I61" s="1464">
        <v>0.43</v>
      </c>
      <c r="J61" s="1464">
        <v>0.37</v>
      </c>
      <c r="K61" s="1464">
        <v>0.37</v>
      </c>
      <c r="L61" s="1478">
        <v>0.55000000000000004</v>
      </c>
      <c r="N61" s="1527">
        <f t="shared" si="102"/>
        <v>1.2992090997956099E-2</v>
      </c>
      <c r="O61" s="1528">
        <f t="shared" si="102"/>
        <v>1.2239947070499151E-2</v>
      </c>
      <c r="P61" s="1528">
        <f t="shared" si="103"/>
        <v>4.6954314720812178E-2</v>
      </c>
      <c r="Q61" s="1528">
        <f t="shared" si="103"/>
        <v>3.6866094683621815E-3</v>
      </c>
      <c r="R61" s="1474"/>
      <c r="S61" s="1480">
        <f>B61/B62-1</f>
        <v>1.2992090997956174E-2</v>
      </c>
      <c r="T61" s="1481">
        <f>C61/C62-1</f>
        <v>1.2239947070499246E-2</v>
      </c>
      <c r="U61" s="1481">
        <f>E61/E62-1</f>
        <v>4.695431472081224E-2</v>
      </c>
      <c r="V61" s="1481">
        <f>F61/F62-1</f>
        <v>3.6866094683620787E-3</v>
      </c>
      <c r="X61" s="1526"/>
      <c r="Y61" s="1526"/>
      <c r="Z61" s="1526"/>
    </row>
    <row r="62" spans="1:26" ht="13.5" thickBot="1">
      <c r="A62" s="1461" t="s">
        <v>1195</v>
      </c>
      <c r="B62" s="1511">
        <v>121</v>
      </c>
      <c r="C62" s="1511">
        <v>122</v>
      </c>
      <c r="D62" s="1511">
        <f t="shared" si="74"/>
        <v>122</v>
      </c>
      <c r="E62" s="1511">
        <v>124</v>
      </c>
      <c r="F62" s="1512">
        <v>107</v>
      </c>
      <c r="G62" s="3274">
        <v>2004</v>
      </c>
      <c r="H62" s="1482">
        <v>4</v>
      </c>
      <c r="I62" s="1482">
        <v>0.33</v>
      </c>
      <c r="J62" s="1482">
        <v>0.5</v>
      </c>
      <c r="K62" s="1482">
        <v>0.5</v>
      </c>
      <c r="L62" s="1483">
        <v>0</v>
      </c>
      <c r="N62" s="1524">
        <f t="shared" ref="N62:O65" si="106">I62/SUM(I$62:I$65)*(B$62/B$66-1)</f>
        <v>1.3391770148526898E-2</v>
      </c>
      <c r="O62" s="1525">
        <f t="shared" si="106"/>
        <v>1.063264221158958E-2</v>
      </c>
      <c r="P62" s="1525">
        <f t="shared" ref="P62:Q65" si="107">K62/SUM(K$62:K$65)*(E$62/E$66-1)</f>
        <v>2.2244466688911134E-2</v>
      </c>
      <c r="Q62" s="1525">
        <f t="shared" si="107"/>
        <v>0</v>
      </c>
      <c r="R62" s="1474"/>
      <c r="S62" s="1475"/>
      <c r="T62" s="1476"/>
      <c r="U62" s="1476"/>
      <c r="V62" s="1476"/>
      <c r="X62" s="1526"/>
      <c r="Y62" s="1526"/>
      <c r="Z62" s="1526"/>
    </row>
    <row r="63" spans="1:26">
      <c r="A63" s="1461" t="s">
        <v>1196</v>
      </c>
      <c r="B63" s="1477">
        <f t="shared" ref="B63:C65" si="108">B64+(B$62-B$66)*I63/SUM(I$62:I$65)</f>
        <v>119.51351351351352</v>
      </c>
      <c r="C63" s="1477">
        <f t="shared" si="108"/>
        <v>120.7878787878788</v>
      </c>
      <c r="D63" s="1477">
        <f t="shared" si="74"/>
        <v>120.7878787878788</v>
      </c>
      <c r="E63" s="1477">
        <f t="shared" ref="E63:F65" si="109">E64+(E$62-E$66)*K63/SUM(K$62:K$65)</f>
        <v>121.5975975975976</v>
      </c>
      <c r="F63" s="1477">
        <f t="shared" si="109"/>
        <v>107</v>
      </c>
      <c r="G63" s="3275">
        <v>2004</v>
      </c>
      <c r="H63" s="1487">
        <v>3</v>
      </c>
      <c r="I63" s="1487">
        <v>0.56000000000000005</v>
      </c>
      <c r="J63" s="1487">
        <v>0.8</v>
      </c>
      <c r="K63" s="1487">
        <v>0.83</v>
      </c>
      <c r="L63" s="1488">
        <v>0.06</v>
      </c>
      <c r="N63" s="1524">
        <f t="shared" si="106"/>
        <v>2.2725428130833527E-2</v>
      </c>
      <c r="O63" s="1525">
        <f t="shared" si="106"/>
        <v>1.7012227538543329E-2</v>
      </c>
      <c r="P63" s="1525">
        <f t="shared" si="107"/>
        <v>3.6925814703592477E-2</v>
      </c>
      <c r="Q63" s="1525">
        <f t="shared" si="107"/>
        <v>2.8846153846153744E-2</v>
      </c>
      <c r="R63" s="1474"/>
      <c r="S63" s="1472"/>
      <c r="T63" s="1473"/>
      <c r="U63" s="1473"/>
      <c r="V63" s="1473"/>
      <c r="X63" s="1526"/>
      <c r="Y63" s="1526"/>
      <c r="Z63" s="1526"/>
    </row>
    <row r="64" spans="1:26">
      <c r="A64" s="1461" t="s">
        <v>1197</v>
      </c>
      <c r="B64" s="1477">
        <f t="shared" si="108"/>
        <v>116.99099099099099</v>
      </c>
      <c r="C64" s="1477">
        <f t="shared" si="108"/>
        <v>118.84848484848486</v>
      </c>
      <c r="D64" s="1477">
        <f t="shared" si="74"/>
        <v>118.84848484848486</v>
      </c>
      <c r="E64" s="1477">
        <f t="shared" si="109"/>
        <v>117.60960960960961</v>
      </c>
      <c r="F64" s="1477">
        <f t="shared" si="109"/>
        <v>104</v>
      </c>
      <c r="G64" s="3275">
        <v>2004</v>
      </c>
      <c r="H64" s="1465">
        <v>2</v>
      </c>
      <c r="I64" s="1465">
        <v>1</v>
      </c>
      <c r="J64" s="1465">
        <v>1.5</v>
      </c>
      <c r="K64" s="1465">
        <v>1.5</v>
      </c>
      <c r="L64" s="1479">
        <v>0</v>
      </c>
      <c r="N64" s="1524">
        <f t="shared" si="106"/>
        <v>4.0581121662202721E-2</v>
      </c>
      <c r="O64" s="1525">
        <f t="shared" si="106"/>
        <v>3.1897926634768738E-2</v>
      </c>
      <c r="P64" s="1525">
        <f t="shared" si="107"/>
        <v>6.6733400066733395E-2</v>
      </c>
      <c r="Q64" s="1525">
        <f t="shared" si="107"/>
        <v>0</v>
      </c>
      <c r="R64" s="1474"/>
      <c r="S64" s="1472"/>
      <c r="T64" s="1473"/>
      <c r="U64" s="1473"/>
      <c r="V64" s="1473"/>
      <c r="X64" s="1526"/>
      <c r="Y64" s="1526"/>
      <c r="Z64" s="1526"/>
    </row>
    <row r="65" spans="1:26" s="1517" customFormat="1" ht="13.5" thickBot="1">
      <c r="A65" s="1461" t="s">
        <v>1198</v>
      </c>
      <c r="B65" s="1514">
        <f t="shared" si="108"/>
        <v>112.48648648648648</v>
      </c>
      <c r="C65" s="1514">
        <f t="shared" si="108"/>
        <v>115.21212121212122</v>
      </c>
      <c r="D65" s="1514">
        <f t="shared" si="74"/>
        <v>115.21212121212122</v>
      </c>
      <c r="E65" s="1514">
        <f t="shared" si="109"/>
        <v>110.4024024024024</v>
      </c>
      <c r="F65" s="1514">
        <f t="shared" si="109"/>
        <v>104</v>
      </c>
      <c r="G65" s="3276">
        <v>2004</v>
      </c>
      <c r="H65" s="1515">
        <v>1</v>
      </c>
      <c r="I65" s="1515">
        <v>0.33</v>
      </c>
      <c r="J65" s="1515">
        <v>0.5</v>
      </c>
      <c r="K65" s="1515">
        <v>0.5</v>
      </c>
      <c r="L65" s="1516">
        <v>0</v>
      </c>
      <c r="N65" s="1529">
        <f t="shared" si="106"/>
        <v>1.3391770148526898E-2</v>
      </c>
      <c r="O65" s="1530">
        <f t="shared" si="106"/>
        <v>1.063264221158958E-2</v>
      </c>
      <c r="P65" s="1530">
        <f t="shared" si="107"/>
        <v>2.2244466688911134E-2</v>
      </c>
      <c r="Q65" s="1530">
        <f t="shared" si="107"/>
        <v>0</v>
      </c>
      <c r="R65" s="1520"/>
      <c r="S65" s="1518">
        <f>B65/B66-1</f>
        <v>1.3391770148526883E-2</v>
      </c>
      <c r="T65" s="1519">
        <f>C65/C66-1</f>
        <v>1.063264221158966E-2</v>
      </c>
      <c r="U65" s="1519">
        <f>E65/E66-1</f>
        <v>2.2244466688911224E-2</v>
      </c>
      <c r="V65" s="1519">
        <f>F65/F66-1</f>
        <v>0</v>
      </c>
      <c r="X65" s="1531"/>
      <c r="Y65" s="1531"/>
      <c r="Z65" s="1531"/>
    </row>
    <row r="66" spans="1:26" ht="13.5" thickBot="1">
      <c r="A66" s="1461" t="s">
        <v>1199</v>
      </c>
      <c r="B66" s="1532">
        <v>111</v>
      </c>
      <c r="C66" s="1532">
        <v>114</v>
      </c>
      <c r="D66" s="1532">
        <f t="shared" si="74"/>
        <v>114</v>
      </c>
      <c r="E66" s="1532">
        <v>108</v>
      </c>
      <c r="F66" s="1533">
        <v>104</v>
      </c>
      <c r="G66" s="3274">
        <v>2003</v>
      </c>
      <c r="H66" s="1522">
        <v>4</v>
      </c>
      <c r="I66" s="1534"/>
      <c r="J66" s="1534"/>
      <c r="K66" s="1534"/>
      <c r="L66" s="1534"/>
      <c r="N66" s="1535"/>
      <c r="O66" s="1534"/>
      <c r="P66" s="1534"/>
      <c r="Q66" s="1534"/>
      <c r="S66" s="1535"/>
      <c r="T66" s="1534"/>
      <c r="U66" s="1534"/>
      <c r="V66" s="1534"/>
      <c r="X66" s="1526"/>
      <c r="Y66" s="1526"/>
      <c r="Z66" s="1526"/>
    </row>
    <row r="67" spans="1:26">
      <c r="A67" s="1461" t="s">
        <v>1200</v>
      </c>
      <c r="B67" s="1536">
        <f t="shared" ref="B67:C69" si="110">B68+(B$66-B$70)/4</f>
        <v>109.75</v>
      </c>
      <c r="C67" s="1536">
        <f t="shared" si="110"/>
        <v>112.25</v>
      </c>
      <c r="D67" s="1536">
        <f t="shared" si="74"/>
        <v>112.25</v>
      </c>
      <c r="E67" s="1536">
        <f t="shared" ref="E67:F69" si="111">E68+(E$66-E$70)/4</f>
        <v>107.25</v>
      </c>
      <c r="F67" s="1536">
        <f t="shared" si="111"/>
        <v>103.5</v>
      </c>
      <c r="G67" s="3275">
        <v>2003</v>
      </c>
      <c r="H67" s="1487">
        <v>3</v>
      </c>
      <c r="I67" s="1534"/>
      <c r="J67" s="1534"/>
      <c r="K67" s="1534"/>
      <c r="L67" s="1534"/>
      <c r="X67" s="1526"/>
      <c r="Y67" s="1526"/>
      <c r="Z67" s="1526"/>
    </row>
    <row r="68" spans="1:26">
      <c r="A68" s="1461" t="s">
        <v>1201</v>
      </c>
      <c r="B68" s="1536">
        <f t="shared" si="110"/>
        <v>108.5</v>
      </c>
      <c r="C68" s="1536">
        <f t="shared" si="110"/>
        <v>110.5</v>
      </c>
      <c r="D68" s="1536">
        <f t="shared" si="74"/>
        <v>110.5</v>
      </c>
      <c r="E68" s="1536">
        <f t="shared" si="111"/>
        <v>106.5</v>
      </c>
      <c r="F68" s="1536">
        <f t="shared" si="111"/>
        <v>103</v>
      </c>
      <c r="G68" s="3275">
        <v>2003</v>
      </c>
      <c r="H68" s="1465">
        <v>2</v>
      </c>
      <c r="I68" s="1534"/>
      <c r="J68" s="1534"/>
      <c r="K68" s="1534"/>
      <c r="L68" s="1534"/>
      <c r="X68" s="1526"/>
      <c r="Y68" s="1526"/>
      <c r="Z68" s="1526"/>
    </row>
    <row r="69" spans="1:26" ht="13.5" thickBot="1">
      <c r="A69" s="1461" t="s">
        <v>1202</v>
      </c>
      <c r="B69" s="1536">
        <f t="shared" si="110"/>
        <v>107.25</v>
      </c>
      <c r="C69" s="1536">
        <f t="shared" si="110"/>
        <v>108.75</v>
      </c>
      <c r="D69" s="1536">
        <f t="shared" si="74"/>
        <v>108.75</v>
      </c>
      <c r="E69" s="1536">
        <f t="shared" si="111"/>
        <v>105.75</v>
      </c>
      <c r="F69" s="1536">
        <f t="shared" si="111"/>
        <v>102.5</v>
      </c>
      <c r="G69" s="3276">
        <v>2003</v>
      </c>
      <c r="H69" s="1537">
        <v>1</v>
      </c>
      <c r="I69" s="1534"/>
      <c r="J69" s="1534"/>
      <c r="K69" s="1534"/>
      <c r="L69" s="1534"/>
      <c r="S69" s="1472"/>
      <c r="T69" s="1473"/>
      <c r="U69" s="1473"/>
      <c r="X69" s="1526"/>
      <c r="Y69" s="1526"/>
      <c r="Z69" s="1526"/>
    </row>
    <row r="70" spans="1:26" ht="13.5" thickBot="1">
      <c r="A70" s="1461" t="s">
        <v>1203</v>
      </c>
      <c r="B70" s="1538">
        <v>106</v>
      </c>
      <c r="C70" s="1538">
        <v>107</v>
      </c>
      <c r="D70" s="1538">
        <f t="shared" si="74"/>
        <v>107</v>
      </c>
      <c r="E70" s="1538">
        <v>105</v>
      </c>
      <c r="F70" s="1539">
        <v>102</v>
      </c>
      <c r="G70" s="3274">
        <v>2002</v>
      </c>
      <c r="H70" s="1482">
        <v>4</v>
      </c>
      <c r="I70" s="1534"/>
      <c r="J70" s="1534"/>
      <c r="K70" s="1534"/>
      <c r="L70" s="1534"/>
      <c r="N70" s="1535"/>
      <c r="O70" s="1534"/>
      <c r="P70" s="1534"/>
      <c r="Q70" s="1534"/>
      <c r="S70" s="1535"/>
      <c r="T70" s="1534"/>
      <c r="U70" s="1534"/>
      <c r="V70" s="1534"/>
      <c r="X70" s="1526"/>
      <c r="Y70" s="1526"/>
      <c r="Z70" s="1526"/>
    </row>
    <row r="71" spans="1:26">
      <c r="A71" s="1461" t="s">
        <v>1204</v>
      </c>
      <c r="B71" s="1536">
        <f t="shared" ref="B71:C73" si="112">B72+(B$70-B$74)/4</f>
        <v>105</v>
      </c>
      <c r="C71" s="1536">
        <f t="shared" si="112"/>
        <v>106</v>
      </c>
      <c r="D71" s="1536">
        <f t="shared" si="74"/>
        <v>106</v>
      </c>
      <c r="E71" s="1536">
        <f t="shared" ref="E71:F73" si="113">E72+(E$70-E$74)/4</f>
        <v>104.5</v>
      </c>
      <c r="F71" s="1536">
        <f t="shared" si="113"/>
        <v>101.5</v>
      </c>
      <c r="G71" s="3275">
        <v>2002</v>
      </c>
      <c r="H71" s="1487">
        <v>3</v>
      </c>
      <c r="I71" s="1534"/>
      <c r="J71" s="1534"/>
      <c r="K71" s="1534"/>
      <c r="L71" s="1534"/>
      <c r="X71" s="1526"/>
      <c r="Y71" s="1526"/>
      <c r="Z71" s="1526"/>
    </row>
    <row r="72" spans="1:26">
      <c r="A72" s="1461" t="s">
        <v>1205</v>
      </c>
      <c r="B72" s="1536">
        <f t="shared" si="112"/>
        <v>104</v>
      </c>
      <c r="C72" s="1536">
        <f t="shared" si="112"/>
        <v>105</v>
      </c>
      <c r="D72" s="1536">
        <f t="shared" si="74"/>
        <v>105</v>
      </c>
      <c r="E72" s="1536">
        <f t="shared" si="113"/>
        <v>104</v>
      </c>
      <c r="F72" s="1536">
        <f t="shared" si="113"/>
        <v>101</v>
      </c>
      <c r="G72" s="3275">
        <v>2002</v>
      </c>
      <c r="H72" s="1465">
        <v>2</v>
      </c>
      <c r="I72" s="1534"/>
      <c r="J72" s="1534"/>
      <c r="K72" s="1534"/>
      <c r="L72" s="1534"/>
      <c r="X72" s="1526"/>
      <c r="Y72" s="1526"/>
      <c r="Z72" s="1526"/>
    </row>
    <row r="73" spans="1:26" s="1498" customFormat="1" ht="13.5" thickBot="1">
      <c r="A73" s="1494" t="s">
        <v>1206</v>
      </c>
      <c r="B73" s="1540">
        <f t="shared" si="112"/>
        <v>103</v>
      </c>
      <c r="C73" s="1540">
        <f t="shared" si="112"/>
        <v>104</v>
      </c>
      <c r="D73" s="1540">
        <f t="shared" si="74"/>
        <v>104</v>
      </c>
      <c r="E73" s="1540">
        <f t="shared" si="113"/>
        <v>103.5</v>
      </c>
      <c r="F73" s="1540">
        <f t="shared" si="113"/>
        <v>100.5</v>
      </c>
      <c r="G73" s="3276">
        <v>2002</v>
      </c>
      <c r="H73" s="1541">
        <v>1</v>
      </c>
      <c r="I73" s="1542"/>
      <c r="J73" s="1542"/>
      <c r="K73" s="1542"/>
      <c r="L73" s="1542"/>
      <c r="N73" s="1543"/>
      <c r="S73" s="1543"/>
      <c r="X73" s="1544"/>
      <c r="Y73" s="1544"/>
      <c r="Z73" s="1544"/>
    </row>
    <row r="74" spans="1:26" ht="13.5" thickBot="1">
      <c r="B74" s="1545">
        <v>102</v>
      </c>
      <c r="C74" s="1546">
        <v>103</v>
      </c>
      <c r="D74" s="1546">
        <f t="shared" si="74"/>
        <v>103</v>
      </c>
      <c r="E74" s="1546">
        <v>103</v>
      </c>
      <c r="F74" s="1547">
        <v>100</v>
      </c>
      <c r="I74" s="1534"/>
      <c r="J74" s="1534"/>
      <c r="K74" s="1534"/>
      <c r="L74" s="1534"/>
      <c r="N74" s="1535"/>
      <c r="O74" s="1534"/>
      <c r="P74" s="1534"/>
      <c r="Q74" s="1534"/>
      <c r="S74" s="1535"/>
      <c r="T74" s="1534"/>
      <c r="U74" s="1534"/>
      <c r="V74" s="1534"/>
      <c r="X74" s="1476"/>
      <c r="Y74" s="1476"/>
      <c r="Z74" s="1476"/>
    </row>
    <row r="76" spans="1:26" s="1549" customFormat="1">
      <c r="A76" s="1548" t="s">
        <v>1207</v>
      </c>
      <c r="G76" s="1550"/>
      <c r="N76" s="1550"/>
      <c r="S76" s="1550"/>
    </row>
    <row r="77" spans="1:26" s="1549" customFormat="1">
      <c r="A77" s="1549" t="s">
        <v>1208</v>
      </c>
      <c r="G77" s="1550"/>
      <c r="N77" s="1550"/>
      <c r="S77" s="1550"/>
    </row>
    <row r="78" spans="1:26" s="1549" customFormat="1">
      <c r="A78" s="1549" t="s">
        <v>1209</v>
      </c>
      <c r="G78" s="1550"/>
      <c r="I78" s="1551"/>
      <c r="J78" s="1551"/>
      <c r="K78" s="1551"/>
      <c r="L78" s="1551"/>
      <c r="N78" s="1552"/>
      <c r="O78" s="1551"/>
      <c r="P78" s="1551"/>
      <c r="Q78" s="1551"/>
      <c r="S78" s="1552"/>
      <c r="T78" s="1551"/>
      <c r="U78" s="1551"/>
      <c r="V78" s="1551"/>
    </row>
    <row r="79" spans="1:26" s="1549" customFormat="1">
      <c r="A79" s="1549" t="s">
        <v>1210</v>
      </c>
      <c r="G79" s="1550"/>
      <c r="N79" s="1550"/>
      <c r="S79" s="1550"/>
    </row>
    <row r="86" spans="7:22" ht="13.5" thickBot="1"/>
    <row r="87" spans="7:22">
      <c r="G87" s="1471"/>
      <c r="S87" s="1553" t="s">
        <v>1211</v>
      </c>
      <c r="T87" s="1554" t="s">
        <v>1212</v>
      </c>
      <c r="U87" s="1554" t="s">
        <v>1213</v>
      </c>
      <c r="V87" s="1554" t="s">
        <v>1214</v>
      </c>
    </row>
    <row r="88" spans="7:22">
      <c r="G88" s="1471"/>
      <c r="N88" s="1475"/>
      <c r="O88" s="1476"/>
      <c r="P88" s="1476"/>
      <c r="Q88" s="1476"/>
      <c r="S88" s="1555">
        <v>2006</v>
      </c>
      <c r="T88" s="1556">
        <v>15.1</v>
      </c>
      <c r="U88" s="1556">
        <v>7.43</v>
      </c>
      <c r="V88" s="1556">
        <v>26.26</v>
      </c>
    </row>
    <row r="89" spans="7:22">
      <c r="G89" s="1471"/>
      <c r="N89" s="1475"/>
      <c r="O89" s="1476"/>
      <c r="P89" s="1476"/>
      <c r="Q89" s="1476"/>
      <c r="S89" s="1557">
        <v>2005</v>
      </c>
      <c r="T89" s="1558">
        <v>13.9</v>
      </c>
      <c r="U89" s="1558">
        <v>7.49</v>
      </c>
      <c r="V89" s="1558">
        <v>24.92</v>
      </c>
    </row>
    <row r="90" spans="7:22">
      <c r="G90" s="1471"/>
      <c r="N90" s="1475"/>
      <c r="O90" s="1476"/>
      <c r="P90" s="1476"/>
      <c r="Q90" s="1476"/>
      <c r="S90" s="1555">
        <v>2004</v>
      </c>
      <c r="T90" s="1556">
        <v>9.48</v>
      </c>
      <c r="U90" s="1556">
        <v>7.2</v>
      </c>
      <c r="V90" s="1556">
        <v>14.68</v>
      </c>
    </row>
    <row r="91" spans="7:22">
      <c r="G91" s="1471"/>
      <c r="N91" s="1475"/>
      <c r="O91" s="1476"/>
      <c r="P91" s="1476"/>
      <c r="Q91" s="1476"/>
      <c r="S91" s="1557">
        <v>2003</v>
      </c>
      <c r="T91" s="1558">
        <v>4.5</v>
      </c>
      <c r="U91" s="1558">
        <v>6.12</v>
      </c>
      <c r="V91" s="1558">
        <v>2.34</v>
      </c>
    </row>
    <row r="92" spans="7:22" ht="13.5" thickBot="1">
      <c r="G92" s="1471"/>
      <c r="N92" s="1475"/>
      <c r="O92" s="1476"/>
      <c r="P92" s="1476"/>
      <c r="Q92" s="1476"/>
      <c r="S92" s="1559">
        <v>2002</v>
      </c>
      <c r="T92" s="1560">
        <v>3.59</v>
      </c>
      <c r="U92" s="1560">
        <v>4.54</v>
      </c>
      <c r="V92" s="1560">
        <v>2.5499999999999998</v>
      </c>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3002</v>
      </c>
      <c r="C1" s="3286" t="s">
        <v>3003</v>
      </c>
      <c r="D1" s="3287"/>
      <c r="E1" s="3287"/>
      <c r="F1" s="3287"/>
      <c r="G1" s="3287"/>
      <c r="H1" s="3287"/>
      <c r="I1" s="3287"/>
      <c r="J1" s="3287"/>
      <c r="K1" s="3287"/>
      <c r="L1" s="3287"/>
      <c r="M1" s="3287"/>
      <c r="N1" s="3287"/>
      <c r="O1" s="3287"/>
      <c r="P1" s="3287"/>
      <c r="Q1" s="3287"/>
      <c r="R1" s="3287"/>
      <c r="S1" s="3288"/>
      <c r="T1" s="1204" t="s">
        <v>3004</v>
      </c>
    </row>
    <row r="2" spans="1:45" s="707" customFormat="1">
      <c r="A2" s="1205"/>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3006</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3007</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3008</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3009</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3010</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3011</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3012</v>
      </c>
      <c r="B17" s="2920" t="s">
        <v>3013</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21" t="s">
        <v>3014</v>
      </c>
      <c r="E19" s="1792"/>
      <c r="F19" s="1792"/>
      <c r="G19" s="1792"/>
      <c r="H19" s="1280"/>
      <c r="I19" s="168"/>
      <c r="J19" s="168"/>
      <c r="K19" s="168"/>
      <c r="L19" s="168"/>
      <c r="M19" s="168"/>
      <c r="N19" s="168"/>
      <c r="O19" s="168"/>
      <c r="P19" s="168"/>
      <c r="Q19" s="168"/>
      <c r="R19" s="788"/>
      <c r="S19" s="138"/>
    </row>
    <row r="20" spans="1:45" ht="16.5" thickBot="1">
      <c r="A20" s="715" t="s">
        <v>3015</v>
      </c>
      <c r="B20" s="338" t="e">
        <f ca="1">IF(D20="——",S22,S22-F20)</f>
        <v>#REF!</v>
      </c>
      <c r="C20" s="168"/>
      <c r="D20" s="2922" t="s">
        <v>3016</v>
      </c>
      <c r="E20" s="1793"/>
      <c r="F20" s="1204" t="e">
        <f ca="1">SUMIF(INDIRECT("'"&amp;H20&amp;"'"&amp;"!A:A"),"承租人权益价值",INDIRECT("'"&amp;H20&amp;"'"&amp;"!c:c"))</f>
        <v>#REF!</v>
      </c>
      <c r="G20" s="1204" t="s">
        <v>3017</v>
      </c>
      <c r="H20" s="2923"/>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148" t="s">
        <v>33</v>
      </c>
      <c r="D22" s="3149"/>
      <c r="E22" s="3149"/>
      <c r="F22" s="3149"/>
      <c r="G22" s="3149"/>
      <c r="H22" s="3149"/>
      <c r="I22" s="3149"/>
      <c r="J22" s="3149"/>
      <c r="K22" s="3149"/>
      <c r="L22" s="3149"/>
      <c r="M22" s="3149"/>
      <c r="N22" s="3149"/>
      <c r="O22" s="3149"/>
      <c r="P22" s="3149"/>
      <c r="Q22" s="3285"/>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35204</v>
      </c>
      <c r="C2" s="2" t="s">
        <v>133</v>
      </c>
      <c r="D2" s="243"/>
      <c r="E2" s="243"/>
      <c r="F2" s="243"/>
      <c r="G2" s="243"/>
    </row>
    <row r="3" spans="1:7" s="244" customFormat="1" ht="18" customHeight="1" thickBot="1">
      <c r="A3" s="247" t="s">
        <v>85</v>
      </c>
      <c r="B3" s="248">
        <f ca="1">ROUND(B2*10000/'数据-汇总表'!E3,0)</f>
        <v>13357</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527</v>
      </c>
      <c r="D10" s="1032">
        <f>'数据-汇总表'!E6</f>
        <v>26356.14</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0</v>
      </c>
      <c r="D19" s="1036">
        <f>'数据-汇总表'!E3</f>
        <v>26356.14</v>
      </c>
      <c r="E19" s="255">
        <f>'数据-取费表'!B31</f>
        <v>0</v>
      </c>
      <c r="F19" s="275"/>
      <c r="G19" s="1" t="s">
        <v>1071</v>
      </c>
    </row>
    <row r="20" spans="1:7" s="258" customFormat="1" ht="13.5" customHeight="1">
      <c r="A20" s="948" t="s">
        <v>1054</v>
      </c>
      <c r="B20" s="254" t="s">
        <v>104</v>
      </c>
      <c r="C20" s="276">
        <f>ROUND((C5+C19)*F20,0)</f>
        <v>412</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2024</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3153</v>
      </c>
      <c r="D27" s="279">
        <f>C29</f>
        <v>3.0000000000000001E-3</v>
      </c>
      <c r="E27" s="280" t="s">
        <v>126</v>
      </c>
      <c r="F27" s="290">
        <f>'数据-取费表'!Q16</f>
        <v>0.15</v>
      </c>
      <c r="G27" s="291" t="s">
        <v>1066</v>
      </c>
    </row>
    <row r="28" spans="1:7" s="258" customFormat="1" ht="13.5" customHeight="1">
      <c r="A28" s="951" t="s">
        <v>794</v>
      </c>
      <c r="B28" s="292" t="s">
        <v>1059</v>
      </c>
      <c r="C28" s="293">
        <f>ROUND((C5+C19+C20)*F27*'数据-取费表'!B21/'数据-取费表'!B20,0)</f>
        <v>3153</v>
      </c>
      <c r="D28" s="279"/>
      <c r="E28" s="280"/>
      <c r="F28" s="290"/>
      <c r="G28" s="291"/>
    </row>
    <row r="29" spans="1:7" s="258" customFormat="1" ht="13.5" customHeight="1">
      <c r="A29" s="951" t="s">
        <v>792</v>
      </c>
      <c r="B29" s="292" t="s">
        <v>1060</v>
      </c>
      <c r="C29" s="282">
        <f>ROUND(C21*F27*'数据-取费表'!B21/'数据-取费表'!B20,4)</f>
        <v>3.0000000000000001E-3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28366</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6463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5681</v>
      </c>
      <c r="D34" s="261"/>
      <c r="E34" s="264"/>
      <c r="F34" s="301">
        <f>IF('数据-取费表'!B24=0,1,'数据-取费表'!N16)</f>
        <v>1</v>
      </c>
      <c r="G34" s="263" t="s">
        <v>116</v>
      </c>
    </row>
    <row r="35" spans="1:7" ht="13.5" customHeight="1">
      <c r="A35" s="951" t="s">
        <v>796</v>
      </c>
      <c r="B35" s="259" t="s">
        <v>60</v>
      </c>
      <c r="C35" s="264">
        <f>ROUND(C34*F35,0)</f>
        <v>170</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527</v>
      </c>
      <c r="D37" s="261">
        <f>'数据-汇总表'!E3</f>
        <v>26356.14</v>
      </c>
      <c r="E37" s="293">
        <f>'数据-取费表'!B35</f>
        <v>200</v>
      </c>
      <c r="F37" s="303"/>
      <c r="G37" s="305" t="s">
        <v>119</v>
      </c>
    </row>
    <row r="38" spans="1:7" ht="13.5" customHeight="1">
      <c r="A38" s="951" t="s">
        <v>799</v>
      </c>
      <c r="B38" s="259" t="s">
        <v>63</v>
      </c>
      <c r="C38" s="264">
        <f>ROUND(C34*F38,0)</f>
        <v>85</v>
      </c>
      <c r="D38" s="264"/>
      <c r="E38" s="264"/>
      <c r="F38" s="303">
        <f>'数据-取费表'!B36</f>
        <v>1.4999999999999999E-2</v>
      </c>
      <c r="G38" s="263" t="s">
        <v>117</v>
      </c>
    </row>
    <row r="39" spans="1:7" s="258" customFormat="1" ht="13.5" customHeight="1">
      <c r="A39" s="948" t="s">
        <v>783</v>
      </c>
      <c r="B39" s="254" t="s">
        <v>104</v>
      </c>
      <c r="C39" s="276">
        <f>ROUND(C33*F20,0)</f>
        <v>129</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313</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307</v>
      </c>
      <c r="D42" s="282"/>
      <c r="E42" s="282"/>
      <c r="F42" s="283"/>
      <c r="G42" s="3153" t="s">
        <v>121</v>
      </c>
    </row>
    <row r="43" spans="1:7" ht="13.5" customHeight="1">
      <c r="A43" s="951" t="s">
        <v>792</v>
      </c>
      <c r="B43" s="259" t="s">
        <v>1061</v>
      </c>
      <c r="C43" s="282">
        <f ca="1">ROUND(IF('数据-取费表'!B22&lt;=1,C39*F22*'数据-取费表'!B21/2,C39*(POWER((1+F22),'数据-取费表'!B21/2)-1)),0)</f>
        <v>6</v>
      </c>
      <c r="D43" s="282"/>
      <c r="E43" s="282"/>
      <c r="F43" s="283"/>
      <c r="G43" s="3154"/>
    </row>
    <row r="44" spans="1:7" ht="13.5" customHeight="1">
      <c r="A44" s="951" t="s">
        <v>793</v>
      </c>
      <c r="B44" s="259" t="s">
        <v>1063</v>
      </c>
      <c r="C44" s="282">
        <f ca="1">ROUND(IF('数据-取费表'!B22&lt;=1,C40*F22*'数据-取费表'!B21/2,C40*(POWER((1+F22),'数据-取费表'!B21/2)-1)),4)</f>
        <v>1E-3</v>
      </c>
      <c r="D44" s="282"/>
      <c r="E44" s="282"/>
      <c r="F44" s="283"/>
      <c r="G44" s="3155"/>
    </row>
    <row r="45" spans="1:7" s="258" customFormat="1" ht="13.5" customHeight="1">
      <c r="A45" s="948" t="s">
        <v>786</v>
      </c>
      <c r="B45" s="288" t="s">
        <v>112</v>
      </c>
      <c r="C45" s="289">
        <f>C46</f>
        <v>989</v>
      </c>
      <c r="D45" s="279">
        <f>C47</f>
        <v>3.0000000000000001E-3</v>
      </c>
      <c r="E45" s="280" t="s">
        <v>129</v>
      </c>
      <c r="F45" s="290"/>
      <c r="G45" s="291" t="s">
        <v>1069</v>
      </c>
    </row>
    <row r="46" spans="1:7" s="258" customFormat="1" ht="13.5" customHeight="1">
      <c r="A46" s="951" t="s">
        <v>794</v>
      </c>
      <c r="B46" s="292" t="s">
        <v>1062</v>
      </c>
      <c r="C46" s="293">
        <f>ROUND((C33+C39)*F27,0)</f>
        <v>989</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8547</v>
      </c>
      <c r="D49" s="276"/>
      <c r="E49" s="276"/>
      <c r="F49" s="308"/>
      <c r="G49" s="278" t="s">
        <v>1070</v>
      </c>
    </row>
    <row r="50" spans="1:7" s="302" customFormat="1" ht="24">
      <c r="A50" s="948" t="s">
        <v>789</v>
      </c>
      <c r="B50" s="254" t="s">
        <v>124</v>
      </c>
      <c r="C50" s="276"/>
      <c r="D50" s="276"/>
      <c r="E50" s="276"/>
      <c r="F50" s="308">
        <f>IF('数据-取费表'!B24=0,'数据-取费表'!N16,1)</f>
        <v>0.8</v>
      </c>
      <c r="G50" s="291" t="s">
        <v>125</v>
      </c>
    </row>
    <row r="51" spans="1:7" ht="16.5" customHeight="1">
      <c r="A51" s="948" t="s">
        <v>790</v>
      </c>
      <c r="B51" s="254" t="s">
        <v>132</v>
      </c>
      <c r="C51" s="276">
        <f ca="1">ROUND(C49*F50,0)</f>
        <v>6838</v>
      </c>
      <c r="D51" s="276"/>
      <c r="E51" s="276"/>
      <c r="F51" s="308"/>
      <c r="G51" s="278" t="s">
        <v>64</v>
      </c>
    </row>
    <row r="52" spans="1:7" s="252" customFormat="1" ht="16.5" thickBot="1">
      <c r="A52" s="309" t="s">
        <v>65</v>
      </c>
      <c r="B52" s="310"/>
      <c r="C52" s="311">
        <f ca="1">C31+C51</f>
        <v>35204</v>
      </c>
      <c r="D52" s="310"/>
      <c r="E52" s="310"/>
      <c r="F52" s="310"/>
      <c r="G52" s="312"/>
    </row>
    <row r="55" spans="1:7" ht="15">
      <c r="B55" s="314" t="s">
        <v>66</v>
      </c>
      <c r="C55" s="315"/>
    </row>
    <row r="56" spans="1:7">
      <c r="B56" s="317" t="s">
        <v>67</v>
      </c>
      <c r="C56" s="318">
        <f ca="1">ROUND(C51/C52,3)</f>
        <v>0.19400000000000001</v>
      </c>
    </row>
    <row r="57" spans="1:7">
      <c r="B57" s="317" t="s">
        <v>68</v>
      </c>
      <c r="C57" s="319">
        <f ca="1">1-C56</f>
        <v>0.80600000000000005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289" t="s">
        <v>156</v>
      </c>
      <c r="B1" s="3289"/>
      <c r="C1" s="3289"/>
      <c r="D1" s="3289"/>
      <c r="E1" s="3289"/>
      <c r="F1" s="3289"/>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290" t="s">
        <v>169</v>
      </c>
      <c r="B2" s="3290"/>
      <c r="C2" s="3290"/>
      <c r="D2" s="3290"/>
      <c r="E2" s="3290"/>
      <c r="F2" s="3290"/>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291"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292"/>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289" t="s">
        <v>868</v>
      </c>
      <c r="B1" s="3289"/>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37" t="s">
        <v>875</v>
      </c>
      <c r="B5" s="838" t="s">
        <v>876</v>
      </c>
      <c r="C5" s="1062">
        <v>8.8999999999999996E-2</v>
      </c>
      <c r="D5" s="1062">
        <v>7.3999999999999996E-2</v>
      </c>
      <c r="E5" s="1062">
        <v>7.4999999999999997E-2</v>
      </c>
      <c r="F5" s="1063">
        <v>0.1</v>
      </c>
    </row>
    <row r="6" spans="1:6" ht="14.25" thickBot="1">
      <c r="A6" s="837" t="s">
        <v>212</v>
      </c>
      <c r="B6" s="831" t="s">
        <v>877</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878</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879</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880</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881</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882</v>
      </c>
      <c r="C72" s="1077"/>
      <c r="D72" s="1077"/>
      <c r="E72" s="1077"/>
      <c r="F72" s="1065">
        <v>0.05</v>
      </c>
    </row>
    <row r="73" spans="1:6" ht="14.25" thickBot="1">
      <c r="A73" s="837" t="s">
        <v>137</v>
      </c>
      <c r="B73" s="831" t="s">
        <v>883</v>
      </c>
      <c r="C73" s="1077"/>
      <c r="D73" s="1077"/>
      <c r="E73" s="1077"/>
      <c r="F73" s="1065">
        <v>0.05</v>
      </c>
    </row>
    <row r="74" spans="1:6" ht="14.25" thickBot="1">
      <c r="A74" s="837" t="s">
        <v>137</v>
      </c>
      <c r="B74" s="831" t="s">
        <v>884</v>
      </c>
      <c r="C74" s="1077"/>
      <c r="D74" s="1077"/>
      <c r="E74" s="1077"/>
      <c r="F74" s="1065">
        <v>0.05</v>
      </c>
    </row>
    <row r="75" spans="1:6" ht="14.25" thickBot="1">
      <c r="A75" s="847" t="s">
        <v>137</v>
      </c>
      <c r="B75" s="843" t="s">
        <v>885</v>
      </c>
      <c r="C75" s="1074"/>
      <c r="D75" s="1074"/>
      <c r="E75" s="1074"/>
      <c r="F75" s="1067">
        <v>0.05</v>
      </c>
    </row>
    <row r="76" spans="1:6" ht="14.25" thickBot="1">
      <c r="A76" s="837" t="s">
        <v>523</v>
      </c>
      <c r="B76" s="838" t="s">
        <v>886</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887</v>
      </c>
      <c r="C102" s="1077"/>
      <c r="D102" s="1077"/>
      <c r="E102" s="1077"/>
      <c r="F102" s="1065">
        <v>0.05</v>
      </c>
    </row>
    <row r="103" spans="1:6" ht="24.75" thickBot="1">
      <c r="A103" s="837" t="s">
        <v>523</v>
      </c>
      <c r="B103" s="831" t="s">
        <v>888</v>
      </c>
      <c r="C103" s="1077"/>
      <c r="D103" s="1077"/>
      <c r="E103" s="1077"/>
      <c r="F103" s="1065">
        <v>0.05</v>
      </c>
    </row>
    <row r="104" spans="1:6" ht="14.25" thickBot="1">
      <c r="A104" s="837" t="s">
        <v>523</v>
      </c>
      <c r="B104" s="831" t="s">
        <v>889</v>
      </c>
      <c r="C104" s="1077"/>
      <c r="D104" s="1077"/>
      <c r="E104" s="1077"/>
      <c r="F104" s="1065">
        <v>0.05</v>
      </c>
    </row>
    <row r="105" spans="1:6" ht="14.25" thickBot="1">
      <c r="A105" s="837" t="s">
        <v>523</v>
      </c>
      <c r="B105" s="831" t="s">
        <v>890</v>
      </c>
      <c r="C105" s="1077"/>
      <c r="D105" s="1077"/>
      <c r="E105" s="1077"/>
      <c r="F105" s="1065">
        <v>0.05</v>
      </c>
    </row>
    <row r="106" spans="1:6" ht="14.25" thickBot="1">
      <c r="A106" s="837" t="s">
        <v>523</v>
      </c>
      <c r="B106" s="831" t="s">
        <v>891</v>
      </c>
      <c r="C106" s="1077"/>
      <c r="D106" s="1077"/>
      <c r="E106" s="1077"/>
      <c r="F106" s="1065">
        <v>0.05</v>
      </c>
    </row>
    <row r="107" spans="1:6" ht="24.75" thickBot="1">
      <c r="A107" s="837" t="s">
        <v>523</v>
      </c>
      <c r="B107" s="831" t="s">
        <v>892</v>
      </c>
      <c r="C107" s="1077"/>
      <c r="D107" s="1077"/>
      <c r="E107" s="1077"/>
      <c r="F107" s="1065">
        <v>0.05</v>
      </c>
    </row>
    <row r="108" spans="1:6" ht="24.75" thickBot="1">
      <c r="A108" s="837" t="s">
        <v>523</v>
      </c>
      <c r="B108" s="831" t="s">
        <v>893</v>
      </c>
      <c r="C108" s="1077"/>
      <c r="D108" s="1077"/>
      <c r="E108" s="1077"/>
      <c r="F108" s="1065">
        <v>0.05</v>
      </c>
    </row>
    <row r="109" spans="1:6" ht="24.75" thickBot="1">
      <c r="A109" s="847" t="s">
        <v>523</v>
      </c>
      <c r="B109" s="843" t="s">
        <v>894</v>
      </c>
      <c r="C109" s="1074"/>
      <c r="D109" s="1074"/>
      <c r="E109" s="1074"/>
      <c r="F109" s="1067">
        <v>0.05</v>
      </c>
    </row>
    <row r="110" spans="1:6" ht="14.25" thickBot="1">
      <c r="A110" s="837" t="s">
        <v>56</v>
      </c>
      <c r="B110" s="838" t="s">
        <v>895</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896</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897</v>
      </c>
      <c r="C138" s="1064">
        <v>0.105</v>
      </c>
      <c r="D138" s="1064">
        <v>0.125</v>
      </c>
      <c r="E138" s="1064">
        <v>0.112</v>
      </c>
      <c r="F138" s="1076"/>
    </row>
    <row r="139" spans="1:6" ht="14.25" thickBot="1">
      <c r="A139" s="837" t="s">
        <v>56</v>
      </c>
      <c r="B139" s="831" t="s">
        <v>898</v>
      </c>
      <c r="C139" s="1064">
        <v>0.127</v>
      </c>
      <c r="D139" s="1064">
        <v>0.127</v>
      </c>
      <c r="E139" s="1064">
        <v>0.122</v>
      </c>
      <c r="F139" s="1065">
        <v>0.13</v>
      </c>
    </row>
    <row r="140" spans="1:6" ht="14.25" thickBot="1">
      <c r="A140" s="837" t="s">
        <v>56</v>
      </c>
      <c r="B140" s="831" t="s">
        <v>899</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900</v>
      </c>
      <c r="C144" s="1069">
        <v>0.126</v>
      </c>
      <c r="D144" s="1069">
        <v>0.126</v>
      </c>
      <c r="E144" s="1069">
        <v>0.121</v>
      </c>
      <c r="F144" s="1076"/>
    </row>
    <row r="145" spans="1:6" ht="14.25" thickBot="1">
      <c r="A145" s="847" t="s">
        <v>56</v>
      </c>
      <c r="B145" s="1070" t="s">
        <v>901</v>
      </c>
      <c r="C145" s="1078"/>
      <c r="D145" s="1078"/>
      <c r="E145" s="1078"/>
      <c r="F145" s="1071">
        <v>0.05</v>
      </c>
    </row>
    <row r="146" spans="1:6" ht="24.75" thickBot="1">
      <c r="A146" s="1072" t="s">
        <v>56</v>
      </c>
      <c r="B146" s="841" t="s">
        <v>902</v>
      </c>
      <c r="C146" s="1077"/>
      <c r="D146" s="1077"/>
      <c r="E146" s="1077"/>
      <c r="F146" s="1073">
        <v>0.05</v>
      </c>
    </row>
    <row r="147" spans="1:6" ht="24.75" thickBot="1">
      <c r="A147" s="837" t="s">
        <v>56</v>
      </c>
      <c r="B147" s="831" t="s">
        <v>903</v>
      </c>
      <c r="C147" s="1077"/>
      <c r="D147" s="1077"/>
      <c r="E147" s="1077"/>
      <c r="F147" s="1065">
        <v>0.05</v>
      </c>
    </row>
    <row r="148" spans="1:6" ht="24.75" thickBot="1">
      <c r="A148" s="837" t="s">
        <v>56</v>
      </c>
      <c r="B148" s="831" t="s">
        <v>904</v>
      </c>
      <c r="C148" s="1077"/>
      <c r="D148" s="1077"/>
      <c r="E148" s="1077"/>
      <c r="F148" s="1065">
        <v>0.05</v>
      </c>
    </row>
    <row r="149" spans="1:6" ht="24.75" thickBot="1">
      <c r="A149" s="837" t="s">
        <v>56</v>
      </c>
      <c r="B149" s="831" t="s">
        <v>905</v>
      </c>
      <c r="C149" s="1077"/>
      <c r="D149" s="1077"/>
      <c r="E149" s="1077"/>
      <c r="F149" s="1065">
        <v>0.05</v>
      </c>
    </row>
    <row r="150" spans="1:6" ht="24.75" thickBot="1">
      <c r="A150" s="837" t="s">
        <v>56</v>
      </c>
      <c r="B150" s="831" t="s">
        <v>906</v>
      </c>
      <c r="C150" s="1077"/>
      <c r="D150" s="1077"/>
      <c r="E150" s="1077"/>
      <c r="F150" s="1065">
        <v>0.05</v>
      </c>
    </row>
    <row r="151" spans="1:6" ht="24.75" thickBot="1">
      <c r="A151" s="837" t="s">
        <v>56</v>
      </c>
      <c r="B151" s="831" t="s">
        <v>907</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908</v>
      </c>
      <c r="C153" s="1077"/>
      <c r="D153" s="1077"/>
      <c r="E153" s="1077"/>
      <c r="F153" s="1065">
        <v>0.05</v>
      </c>
    </row>
    <row r="154" spans="1:6" ht="14.25" thickBot="1">
      <c r="A154" s="837" t="s">
        <v>56</v>
      </c>
      <c r="B154" s="831" t="s">
        <v>909</v>
      </c>
      <c r="C154" s="1077"/>
      <c r="D154" s="1077"/>
      <c r="E154" s="1077"/>
      <c r="F154" s="1065">
        <v>0.05</v>
      </c>
    </row>
    <row r="155" spans="1:6" ht="24.75" thickBot="1">
      <c r="A155" s="837" t="s">
        <v>56</v>
      </c>
      <c r="B155" s="831" t="s">
        <v>910</v>
      </c>
      <c r="C155" s="1077"/>
      <c r="D155" s="1077"/>
      <c r="E155" s="1077"/>
      <c r="F155" s="1065">
        <v>0.05</v>
      </c>
    </row>
    <row r="156" spans="1:6" ht="24.75" thickBot="1">
      <c r="A156" s="837" t="s">
        <v>56</v>
      </c>
      <c r="B156" s="831" t="s">
        <v>911</v>
      </c>
      <c r="C156" s="1077"/>
      <c r="D156" s="1077"/>
      <c r="E156" s="1077"/>
      <c r="F156" s="1065">
        <v>0.05</v>
      </c>
    </row>
    <row r="157" spans="1:6" ht="14.25" thickBot="1">
      <c r="A157" s="847" t="s">
        <v>56</v>
      </c>
      <c r="B157" s="843" t="s">
        <v>912</v>
      </c>
      <c r="C157" s="1074"/>
      <c r="D157" s="1074"/>
      <c r="E157" s="1074"/>
      <c r="F157" s="1067">
        <v>0.05</v>
      </c>
    </row>
    <row r="158" spans="1:6" ht="14.25" thickBot="1">
      <c r="A158" s="837" t="s">
        <v>526</v>
      </c>
      <c r="B158" s="838" t="s">
        <v>913</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914</v>
      </c>
      <c r="C171" s="1064">
        <v>0.127</v>
      </c>
      <c r="D171" s="1064">
        <v>0.126</v>
      </c>
      <c r="E171" s="1064">
        <v>0.126</v>
      </c>
      <c r="F171" s="1065">
        <v>0.11799999999999999</v>
      </c>
    </row>
    <row r="172" spans="1:6" ht="14.25" thickBot="1">
      <c r="A172" s="837" t="s">
        <v>526</v>
      </c>
      <c r="B172" s="831" t="s">
        <v>915</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916</v>
      </c>
      <c r="C174" s="1064">
        <v>0.13</v>
      </c>
      <c r="D174" s="1064">
        <v>0.13</v>
      </c>
      <c r="E174" s="1064">
        <v>0.13</v>
      </c>
      <c r="F174" s="1065">
        <v>0.13</v>
      </c>
    </row>
    <row r="175" spans="1:6" ht="14.25" thickBot="1">
      <c r="A175" s="837" t="s">
        <v>526</v>
      </c>
      <c r="B175" s="831" t="s">
        <v>917</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918</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919</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920</v>
      </c>
      <c r="C185" s="1064">
        <v>0.127</v>
      </c>
      <c r="D185" s="1064">
        <v>0.127</v>
      </c>
      <c r="E185" s="1064">
        <v>0.128</v>
      </c>
      <c r="F185" s="1065">
        <v>0.13</v>
      </c>
    </row>
    <row r="186" spans="1:6" ht="24.75" thickBot="1">
      <c r="A186" s="837" t="s">
        <v>526</v>
      </c>
      <c r="B186" s="831" t="s">
        <v>921</v>
      </c>
      <c r="C186" s="1077"/>
      <c r="D186" s="1077"/>
      <c r="E186" s="1077"/>
      <c r="F186" s="1065">
        <v>0.05</v>
      </c>
    </row>
    <row r="187" spans="1:6" ht="14.25" thickBot="1">
      <c r="A187" s="837" t="s">
        <v>526</v>
      </c>
      <c r="B187" s="831" t="s">
        <v>922</v>
      </c>
      <c r="C187" s="1077"/>
      <c r="D187" s="1077"/>
      <c r="E187" s="1077"/>
      <c r="F187" s="1065">
        <v>0.05</v>
      </c>
    </row>
    <row r="188" spans="1:6" ht="14.25" thickBot="1">
      <c r="A188" s="837" t="s">
        <v>526</v>
      </c>
      <c r="B188" s="831" t="s">
        <v>923</v>
      </c>
      <c r="C188" s="1077"/>
      <c r="D188" s="1077"/>
      <c r="E188" s="1077"/>
      <c r="F188" s="1065">
        <v>0.05</v>
      </c>
    </row>
    <row r="189" spans="1:6" ht="24.75" thickBot="1">
      <c r="A189" s="837" t="s">
        <v>526</v>
      </c>
      <c r="B189" s="831" t="s">
        <v>924</v>
      </c>
      <c r="C189" s="1077"/>
      <c r="D189" s="1077"/>
      <c r="E189" s="1077"/>
      <c r="F189" s="1065">
        <v>0.05</v>
      </c>
    </row>
    <row r="190" spans="1:6" ht="24.75" thickBot="1">
      <c r="A190" s="837" t="s">
        <v>526</v>
      </c>
      <c r="B190" s="831" t="s">
        <v>925</v>
      </c>
      <c r="C190" s="1077"/>
      <c r="D190" s="1077"/>
      <c r="E190" s="1077"/>
      <c r="F190" s="1065">
        <v>0.05</v>
      </c>
    </row>
    <row r="191" spans="1:6" ht="24.75" thickBot="1">
      <c r="A191" s="837" t="s">
        <v>526</v>
      </c>
      <c r="B191" s="831" t="s">
        <v>926</v>
      </c>
      <c r="C191" s="1077"/>
      <c r="D191" s="1077"/>
      <c r="E191" s="1077"/>
      <c r="F191" s="1065">
        <v>0.05</v>
      </c>
    </row>
    <row r="192" spans="1:6" ht="24.75" thickBot="1">
      <c r="A192" s="837" t="s">
        <v>526</v>
      </c>
      <c r="B192" s="831" t="s">
        <v>927</v>
      </c>
      <c r="C192" s="1077"/>
      <c r="D192" s="1077"/>
      <c r="E192" s="1077"/>
      <c r="F192" s="1065">
        <v>0.05</v>
      </c>
    </row>
    <row r="193" spans="1:6" ht="24.75" thickBot="1">
      <c r="A193" s="837" t="s">
        <v>526</v>
      </c>
      <c r="B193" s="831" t="s">
        <v>928</v>
      </c>
      <c r="C193" s="1077"/>
      <c r="D193" s="1077"/>
      <c r="E193" s="1077"/>
      <c r="F193" s="1065">
        <v>0.05</v>
      </c>
    </row>
    <row r="194" spans="1:6" ht="24.75" thickBot="1">
      <c r="A194" s="837" t="s">
        <v>526</v>
      </c>
      <c r="B194" s="831" t="s">
        <v>929</v>
      </c>
      <c r="C194" s="1077"/>
      <c r="D194" s="1077"/>
      <c r="E194" s="1077"/>
      <c r="F194" s="1065">
        <v>0.05</v>
      </c>
    </row>
    <row r="195" spans="1:6" ht="14.25" thickBot="1">
      <c r="A195" s="837" t="s">
        <v>526</v>
      </c>
      <c r="B195" s="831" t="s">
        <v>930</v>
      </c>
      <c r="C195" s="1077"/>
      <c r="D195" s="1077"/>
      <c r="E195" s="1077"/>
      <c r="F195" s="1065">
        <v>0.05</v>
      </c>
    </row>
    <row r="196" spans="1:6" ht="24.75" thickBot="1">
      <c r="A196" s="837" t="s">
        <v>526</v>
      </c>
      <c r="B196" s="831" t="s">
        <v>931</v>
      </c>
      <c r="C196" s="1077"/>
      <c r="D196" s="1077"/>
      <c r="E196" s="1077"/>
      <c r="F196" s="1065">
        <v>0.05</v>
      </c>
    </row>
    <row r="197" spans="1:6" ht="24.75" thickBot="1">
      <c r="A197" s="837" t="s">
        <v>526</v>
      </c>
      <c r="B197" s="831" t="s">
        <v>932</v>
      </c>
      <c r="C197" s="1077"/>
      <c r="D197" s="1077"/>
      <c r="E197" s="1077"/>
      <c r="F197" s="1065">
        <v>0.05</v>
      </c>
    </row>
    <row r="198" spans="1:6" ht="24.75" thickBot="1">
      <c r="A198" s="837" t="s">
        <v>526</v>
      </c>
      <c r="B198" s="831" t="s">
        <v>933</v>
      </c>
      <c r="C198" s="1077"/>
      <c r="D198" s="1077"/>
      <c r="E198" s="1077"/>
      <c r="F198" s="1065">
        <v>0.05</v>
      </c>
    </row>
    <row r="199" spans="1:6" ht="24.75" thickBot="1">
      <c r="A199" s="837" t="s">
        <v>526</v>
      </c>
      <c r="B199" s="831" t="s">
        <v>934</v>
      </c>
      <c r="C199" s="1077"/>
      <c r="D199" s="1077"/>
      <c r="E199" s="1077"/>
      <c r="F199" s="1065">
        <v>0.05</v>
      </c>
    </row>
    <row r="200" spans="1:6" ht="24.75" thickBot="1">
      <c r="A200" s="837" t="s">
        <v>526</v>
      </c>
      <c r="B200" s="831" t="s">
        <v>935</v>
      </c>
      <c r="C200" s="1077"/>
      <c r="D200" s="1077"/>
      <c r="E200" s="1077"/>
      <c r="F200" s="1065">
        <v>0.05</v>
      </c>
    </row>
    <row r="201" spans="1:6" ht="24.75" thickBot="1">
      <c r="A201" s="837" t="s">
        <v>526</v>
      </c>
      <c r="B201" s="831" t="s">
        <v>936</v>
      </c>
      <c r="C201" s="1077"/>
      <c r="D201" s="1077"/>
      <c r="E201" s="1077"/>
      <c r="F201" s="1065">
        <v>0.05</v>
      </c>
    </row>
    <row r="202" spans="1:6" ht="24.75" thickBot="1">
      <c r="A202" s="837" t="s">
        <v>526</v>
      </c>
      <c r="B202" s="831" t="s">
        <v>937</v>
      </c>
      <c r="C202" s="1077"/>
      <c r="D202" s="1077"/>
      <c r="E202" s="1077"/>
      <c r="F202" s="1065">
        <v>0.05</v>
      </c>
    </row>
    <row r="203" spans="1:6" ht="24.75" thickBot="1">
      <c r="A203" s="837" t="s">
        <v>526</v>
      </c>
      <c r="B203" s="831" t="s">
        <v>938</v>
      </c>
      <c r="C203" s="1077"/>
      <c r="D203" s="1077"/>
      <c r="E203" s="1077"/>
      <c r="F203" s="1065">
        <v>0.05</v>
      </c>
    </row>
    <row r="204" spans="1:6" ht="14.25" thickBot="1">
      <c r="A204" s="837" t="s">
        <v>526</v>
      </c>
      <c r="B204" s="831" t="s">
        <v>939</v>
      </c>
      <c r="C204" s="1077"/>
      <c r="D204" s="1077"/>
      <c r="E204" s="1077"/>
      <c r="F204" s="1065">
        <v>0.05</v>
      </c>
    </row>
    <row r="205" spans="1:6" ht="14.25" thickBot="1">
      <c r="A205" s="847" t="s">
        <v>526</v>
      </c>
      <c r="B205" s="843" t="s">
        <v>940</v>
      </c>
      <c r="C205" s="1074"/>
      <c r="D205" s="1074"/>
      <c r="E205" s="1074"/>
      <c r="F205" s="1067">
        <v>0.05</v>
      </c>
    </row>
    <row r="206" spans="1:6" ht="14.25" thickBot="1">
      <c r="A206" s="837" t="s">
        <v>528</v>
      </c>
      <c r="B206" s="838" t="s">
        <v>941</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942</v>
      </c>
      <c r="C210" s="1064">
        <v>0.15</v>
      </c>
      <c r="D210" s="1064">
        <v>0.15</v>
      </c>
      <c r="E210" s="1064">
        <v>0.15</v>
      </c>
      <c r="F210" s="1065">
        <v>0.13800000000000001</v>
      </c>
    </row>
    <row r="211" spans="1:6" ht="14.25" thickBot="1">
      <c r="A211" s="837" t="s">
        <v>528</v>
      </c>
      <c r="B211" s="831" t="s">
        <v>943</v>
      </c>
      <c r="C211" s="1064">
        <v>0.13700000000000001</v>
      </c>
      <c r="D211" s="1064">
        <v>0.13500000000000001</v>
      </c>
      <c r="E211" s="1064">
        <v>0.13600000000000001</v>
      </c>
      <c r="F211" s="1065">
        <v>0.1</v>
      </c>
    </row>
    <row r="212" spans="1:6" ht="14.25" thickBot="1">
      <c r="A212" s="837" t="s">
        <v>528</v>
      </c>
      <c r="B212" s="831" t="s">
        <v>944</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945</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946</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947</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948</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949</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950</v>
      </c>
      <c r="C231" s="1064">
        <v>0.128</v>
      </c>
      <c r="D231" s="1064">
        <v>0.125</v>
      </c>
      <c r="E231" s="1064">
        <v>0.13200000000000001</v>
      </c>
      <c r="F231" s="1076"/>
    </row>
    <row r="232" spans="1:6" ht="14.25" thickBot="1">
      <c r="A232" s="837" t="s">
        <v>528</v>
      </c>
      <c r="B232" s="831" t="s">
        <v>951</v>
      </c>
      <c r="C232" s="1064">
        <v>0.14499999999999999</v>
      </c>
      <c r="D232" s="1064">
        <v>0.14399999999999999</v>
      </c>
      <c r="E232" s="1064">
        <v>0.14599999999999999</v>
      </c>
      <c r="F232" s="1065">
        <v>0.13800000000000001</v>
      </c>
    </row>
    <row r="233" spans="1:6" ht="14.25" thickBot="1">
      <c r="A233" s="837" t="s">
        <v>528</v>
      </c>
      <c r="B233" s="831" t="s">
        <v>952</v>
      </c>
      <c r="C233" s="1064">
        <v>0.14499999999999999</v>
      </c>
      <c r="D233" s="1064">
        <v>0.14299999999999999</v>
      </c>
      <c r="E233" s="1064">
        <v>0.14199999999999999</v>
      </c>
      <c r="F233" s="1076"/>
    </row>
    <row r="234" spans="1:6" ht="14.25" thickBot="1">
      <c r="A234" s="837" t="s">
        <v>528</v>
      </c>
      <c r="B234" s="831" t="s">
        <v>953</v>
      </c>
      <c r="C234" s="1064">
        <v>0.14000000000000001</v>
      </c>
      <c r="D234" s="1064">
        <v>0.14000000000000001</v>
      </c>
      <c r="E234" s="1064">
        <v>0.14399999999999999</v>
      </c>
      <c r="F234" s="1076"/>
    </row>
    <row r="235" spans="1:6" ht="14.25" thickBot="1">
      <c r="A235" s="837" t="s">
        <v>528</v>
      </c>
      <c r="B235" s="831" t="s">
        <v>954</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955</v>
      </c>
      <c r="C237" s="1077"/>
      <c r="D237" s="1077"/>
      <c r="E237" s="1077"/>
      <c r="F237" s="1065">
        <v>0.05</v>
      </c>
    </row>
    <row r="238" spans="1:6" ht="24.75" thickBot="1">
      <c r="A238" s="837" t="s">
        <v>528</v>
      </c>
      <c r="B238" s="831" t="s">
        <v>956</v>
      </c>
      <c r="C238" s="1077"/>
      <c r="D238" s="1077"/>
      <c r="E238" s="1077"/>
      <c r="F238" s="1065">
        <v>0.05</v>
      </c>
    </row>
    <row r="239" spans="1:6" ht="24.75" thickBot="1">
      <c r="A239" s="837" t="s">
        <v>528</v>
      </c>
      <c r="B239" s="831" t="s">
        <v>957</v>
      </c>
      <c r="C239" s="1077"/>
      <c r="D239" s="1077"/>
      <c r="E239" s="1077"/>
      <c r="F239" s="1065">
        <v>0.05</v>
      </c>
    </row>
    <row r="240" spans="1:6" ht="24.75" thickBot="1">
      <c r="A240" s="837" t="s">
        <v>528</v>
      </c>
      <c r="B240" s="831" t="s">
        <v>958</v>
      </c>
      <c r="C240" s="1077"/>
      <c r="D240" s="1077"/>
      <c r="E240" s="1077"/>
      <c r="F240" s="1065">
        <v>0.05</v>
      </c>
    </row>
    <row r="241" spans="1:6" ht="24.75" thickBot="1">
      <c r="A241" s="837" t="s">
        <v>528</v>
      </c>
      <c r="B241" s="831" t="s">
        <v>959</v>
      </c>
      <c r="C241" s="1077"/>
      <c r="D241" s="1077"/>
      <c r="E241" s="1077"/>
      <c r="F241" s="1065">
        <v>0.05</v>
      </c>
    </row>
    <row r="242" spans="1:6" ht="24.75" thickBot="1">
      <c r="A242" s="837" t="s">
        <v>528</v>
      </c>
      <c r="B242" s="831" t="s">
        <v>960</v>
      </c>
      <c r="C242" s="1077"/>
      <c r="D242" s="1077"/>
      <c r="E242" s="1077"/>
      <c r="F242" s="1065">
        <v>0.05</v>
      </c>
    </row>
    <row r="243" spans="1:6" ht="24.75" thickBot="1">
      <c r="A243" s="837" t="s">
        <v>528</v>
      </c>
      <c r="B243" s="831" t="s">
        <v>961</v>
      </c>
      <c r="C243" s="1077"/>
      <c r="D243" s="1077"/>
      <c r="E243" s="1077"/>
      <c r="F243" s="1065">
        <v>0.05</v>
      </c>
    </row>
    <row r="244" spans="1:6" ht="24.75" thickBot="1">
      <c r="A244" s="847" t="s">
        <v>528</v>
      </c>
      <c r="B244" s="843" t="s">
        <v>962</v>
      </c>
      <c r="C244" s="1074"/>
      <c r="D244" s="1074"/>
      <c r="E244" s="1074"/>
      <c r="F244" s="1067">
        <v>0.05</v>
      </c>
    </row>
    <row r="245" spans="1:6" ht="14.25" thickBot="1">
      <c r="A245" s="837" t="s">
        <v>530</v>
      </c>
      <c r="B245" s="838" t="s">
        <v>963</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964</v>
      </c>
      <c r="C247" s="1064">
        <v>0.15</v>
      </c>
      <c r="D247" s="1064">
        <v>0.15</v>
      </c>
      <c r="E247" s="1064">
        <v>0.15</v>
      </c>
      <c r="F247" s="1065">
        <v>0.15</v>
      </c>
    </row>
    <row r="248" spans="1:6" ht="14.25" thickBot="1">
      <c r="A248" s="837" t="s">
        <v>530</v>
      </c>
      <c r="B248" s="831" t="s">
        <v>965</v>
      </c>
      <c r="C248" s="1064">
        <v>0.15</v>
      </c>
      <c r="D248" s="1064">
        <v>0.15</v>
      </c>
      <c r="E248" s="1064">
        <v>0.15</v>
      </c>
      <c r="F248" s="1065">
        <v>0.14000000000000001</v>
      </c>
    </row>
    <row r="249" spans="1:6" ht="14.25" thickBot="1">
      <c r="A249" s="837" t="s">
        <v>530</v>
      </c>
      <c r="B249" s="831" t="s">
        <v>966</v>
      </c>
      <c r="C249" s="1064">
        <v>0.15</v>
      </c>
      <c r="D249" s="1064">
        <v>0.14899999999999999</v>
      </c>
      <c r="E249" s="1064">
        <v>0.15</v>
      </c>
      <c r="F249" s="1065">
        <v>0.1</v>
      </c>
    </row>
    <row r="250" spans="1:6" ht="14.25" thickBot="1">
      <c r="A250" s="837" t="s">
        <v>530</v>
      </c>
      <c r="B250" s="831" t="s">
        <v>967</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968</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969</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970</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971</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972</v>
      </c>
      <c r="C273" s="1064">
        <v>0.14199999999999999</v>
      </c>
      <c r="D273" s="1064">
        <v>0.14299999999999999</v>
      </c>
      <c r="E273" s="1064">
        <v>0.15</v>
      </c>
      <c r="F273" s="1065">
        <v>0.1</v>
      </c>
    </row>
    <row r="274" spans="1:6" ht="14.25" thickBot="1">
      <c r="A274" s="837" t="s">
        <v>530</v>
      </c>
      <c r="B274" s="831" t="s">
        <v>973</v>
      </c>
      <c r="C274" s="1064">
        <v>0.14799999999999999</v>
      </c>
      <c r="D274" s="1064">
        <v>0.14799999999999999</v>
      </c>
      <c r="E274" s="1064">
        <v>0.15</v>
      </c>
      <c r="F274" s="1065">
        <v>6.7000000000000004E-2</v>
      </c>
    </row>
    <row r="275" spans="1:6" ht="14.25" thickBot="1">
      <c r="A275" s="837" t="s">
        <v>530</v>
      </c>
      <c r="B275" s="831" t="s">
        <v>974</v>
      </c>
      <c r="C275" s="1064">
        <v>0.15</v>
      </c>
      <c r="D275" s="1064">
        <v>0.15</v>
      </c>
      <c r="E275" s="1064">
        <v>0.15</v>
      </c>
      <c r="F275" s="1065">
        <v>0.15</v>
      </c>
    </row>
    <row r="276" spans="1:6" ht="14.25" thickBot="1">
      <c r="A276" s="837" t="s">
        <v>530</v>
      </c>
      <c r="B276" s="831" t="s">
        <v>975</v>
      </c>
      <c r="C276" s="1064">
        <v>0.14499999999999999</v>
      </c>
      <c r="D276" s="1064">
        <v>0.14299999999999999</v>
      </c>
      <c r="E276" s="1064">
        <v>0.15</v>
      </c>
      <c r="F276" s="1065">
        <v>5.8999999999999997E-2</v>
      </c>
    </row>
    <row r="277" spans="1:6" ht="14.25" thickBot="1">
      <c r="A277" s="837" t="s">
        <v>530</v>
      </c>
      <c r="B277" s="831" t="s">
        <v>976</v>
      </c>
      <c r="C277" s="1064">
        <v>0.15</v>
      </c>
      <c r="D277" s="1064">
        <v>0.15</v>
      </c>
      <c r="E277" s="1064">
        <v>0.15</v>
      </c>
      <c r="F277" s="1065">
        <v>0.121</v>
      </c>
    </row>
    <row r="278" spans="1:6" ht="14.25" thickBot="1">
      <c r="A278" s="837" t="s">
        <v>530</v>
      </c>
      <c r="B278" s="831" t="s">
        <v>977</v>
      </c>
      <c r="C278" s="1064">
        <v>0.15</v>
      </c>
      <c r="D278" s="1064">
        <v>0.15</v>
      </c>
      <c r="E278" s="1064">
        <v>0.15</v>
      </c>
      <c r="F278" s="1065">
        <v>0.13800000000000001</v>
      </c>
    </row>
    <row r="279" spans="1:6" ht="24.75" thickBot="1">
      <c r="A279" s="837" t="s">
        <v>530</v>
      </c>
      <c r="B279" s="831" t="s">
        <v>978</v>
      </c>
      <c r="C279" s="1077"/>
      <c r="D279" s="1077"/>
      <c r="E279" s="1077"/>
      <c r="F279" s="1065">
        <v>0.05</v>
      </c>
    </row>
    <row r="280" spans="1:6" ht="24.75" thickBot="1">
      <c r="A280" s="837" t="s">
        <v>530</v>
      </c>
      <c r="B280" s="831" t="s">
        <v>979</v>
      </c>
      <c r="C280" s="1077"/>
      <c r="D280" s="1077"/>
      <c r="E280" s="1077"/>
      <c r="F280" s="1065">
        <v>0.05</v>
      </c>
    </row>
    <row r="281" spans="1:6" ht="24.75" thickBot="1">
      <c r="A281" s="837" t="s">
        <v>530</v>
      </c>
      <c r="B281" s="831" t="s">
        <v>980</v>
      </c>
      <c r="C281" s="1077"/>
      <c r="D281" s="1077"/>
      <c r="E281" s="1077"/>
      <c r="F281" s="1065">
        <v>0.05</v>
      </c>
    </row>
    <row r="282" spans="1:6" ht="24.75" thickBot="1">
      <c r="A282" s="837" t="s">
        <v>530</v>
      </c>
      <c r="B282" s="831" t="s">
        <v>981</v>
      </c>
      <c r="C282" s="1077"/>
      <c r="D282" s="1077"/>
      <c r="E282" s="1077"/>
      <c r="F282" s="1065">
        <v>0.05</v>
      </c>
    </row>
    <row r="283" spans="1:6" ht="24.75" thickBot="1">
      <c r="A283" s="837" t="s">
        <v>530</v>
      </c>
      <c r="B283" s="831" t="s">
        <v>982</v>
      </c>
      <c r="C283" s="1077"/>
      <c r="D283" s="1077"/>
      <c r="E283" s="1077"/>
      <c r="F283" s="1065">
        <v>0.05</v>
      </c>
    </row>
    <row r="284" spans="1:6" ht="24.75" thickBot="1">
      <c r="A284" s="837" t="s">
        <v>530</v>
      </c>
      <c r="B284" s="831" t="s">
        <v>983</v>
      </c>
      <c r="C284" s="1077"/>
      <c r="D284" s="1077"/>
      <c r="E284" s="1077"/>
      <c r="F284" s="1065">
        <v>0.05</v>
      </c>
    </row>
    <row r="285" spans="1:6" ht="24.75" thickBot="1">
      <c r="A285" s="837" t="s">
        <v>530</v>
      </c>
      <c r="B285" s="831" t="s">
        <v>984</v>
      </c>
      <c r="C285" s="1077"/>
      <c r="D285" s="1077"/>
      <c r="E285" s="1077"/>
      <c r="F285" s="1065">
        <v>0.05</v>
      </c>
    </row>
    <row r="286" spans="1:6" ht="24.75" thickBot="1">
      <c r="A286" s="837" t="s">
        <v>530</v>
      </c>
      <c r="B286" s="831" t="s">
        <v>985</v>
      </c>
      <c r="C286" s="1077"/>
      <c r="D286" s="1077"/>
      <c r="E286" s="1077"/>
      <c r="F286" s="1065">
        <v>0.05</v>
      </c>
    </row>
    <row r="287" spans="1:6" ht="24.75" thickBot="1">
      <c r="A287" s="837" t="s">
        <v>530</v>
      </c>
      <c r="B287" s="831" t="s">
        <v>986</v>
      </c>
      <c r="C287" s="1077"/>
      <c r="D287" s="1077"/>
      <c r="E287" s="1077"/>
      <c r="F287" s="1065">
        <v>0.05</v>
      </c>
    </row>
    <row r="288" spans="1:6" ht="24.75" thickBot="1">
      <c r="A288" s="837" t="s">
        <v>530</v>
      </c>
      <c r="B288" s="831" t="s">
        <v>987</v>
      </c>
      <c r="C288" s="1077"/>
      <c r="D288" s="1077"/>
      <c r="E288" s="1077"/>
      <c r="F288" s="1065">
        <v>0.05</v>
      </c>
    </row>
    <row r="289" spans="1:6" ht="24.75" thickBot="1">
      <c r="A289" s="847" t="s">
        <v>530</v>
      </c>
      <c r="B289" s="843" t="s">
        <v>988</v>
      </c>
      <c r="C289" s="1074"/>
      <c r="D289" s="1074"/>
      <c r="E289" s="1074"/>
      <c r="F289" s="1067">
        <v>0.05</v>
      </c>
    </row>
    <row r="290" spans="1:6" ht="14.25" thickBot="1">
      <c r="A290" s="837" t="s">
        <v>534</v>
      </c>
      <c r="B290" s="838" t="s">
        <v>989</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990</v>
      </c>
      <c r="C292" s="1064">
        <v>0.15</v>
      </c>
      <c r="D292" s="1064">
        <v>0.15</v>
      </c>
      <c r="E292" s="1064">
        <v>0.15</v>
      </c>
      <c r="F292" s="1065">
        <v>0.14699999999999999</v>
      </c>
    </row>
    <row r="293" spans="1:6" ht="14.25" thickBot="1">
      <c r="A293" s="837" t="s">
        <v>534</v>
      </c>
      <c r="B293" s="831" t="s">
        <v>991</v>
      </c>
      <c r="C293" s="1077"/>
      <c r="D293" s="1077"/>
      <c r="E293" s="1077"/>
      <c r="F293" s="1065">
        <v>0.1</v>
      </c>
    </row>
    <row r="294" spans="1:6" ht="14.25" thickBot="1">
      <c r="A294" s="837" t="s">
        <v>534</v>
      </c>
      <c r="B294" s="831" t="s">
        <v>992</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993</v>
      </c>
      <c r="C296" s="1064">
        <v>0.15</v>
      </c>
      <c r="D296" s="1064">
        <v>0.15</v>
      </c>
      <c r="E296" s="1064">
        <v>0.15</v>
      </c>
      <c r="F296" s="1065">
        <v>0.15</v>
      </c>
    </row>
    <row r="297" spans="1:6" ht="14.25" thickBot="1">
      <c r="A297" s="837" t="s">
        <v>534</v>
      </c>
      <c r="B297" s="831" t="s">
        <v>994</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995</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996</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997</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998</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999</v>
      </c>
      <c r="C310" s="1064">
        <v>0.15</v>
      </c>
      <c r="D310" s="1064">
        <v>0.15</v>
      </c>
      <c r="E310" s="1064">
        <v>0.15</v>
      </c>
      <c r="F310" s="1065">
        <v>0.13700000000000001</v>
      </c>
    </row>
    <row r="311" spans="1:6" ht="14.25" thickBot="1">
      <c r="A311" s="837" t="s">
        <v>534</v>
      </c>
      <c r="B311" s="831" t="s">
        <v>1000</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1001</v>
      </c>
      <c r="C313" s="1064">
        <v>0.15</v>
      </c>
      <c r="D313" s="1064">
        <v>0.15</v>
      </c>
      <c r="E313" s="1064">
        <v>0.15</v>
      </c>
      <c r="F313" s="1065">
        <v>0.15</v>
      </c>
    </row>
    <row r="314" spans="1:6" ht="24.75" thickBot="1">
      <c r="A314" s="837" t="s">
        <v>534</v>
      </c>
      <c r="B314" s="831" t="s">
        <v>1002</v>
      </c>
      <c r="C314" s="1077"/>
      <c r="D314" s="1077"/>
      <c r="E314" s="1077"/>
      <c r="F314" s="1065">
        <v>0.05</v>
      </c>
    </row>
    <row r="315" spans="1:6" ht="24.75" thickBot="1">
      <c r="A315" s="837" t="s">
        <v>534</v>
      </c>
      <c r="B315" s="831" t="s">
        <v>1003</v>
      </c>
      <c r="C315" s="1077"/>
      <c r="D315" s="1077"/>
      <c r="E315" s="1077"/>
      <c r="F315" s="1065">
        <v>0.05</v>
      </c>
    </row>
    <row r="316" spans="1:6" ht="24.75" thickBot="1">
      <c r="A316" s="847" t="s">
        <v>534</v>
      </c>
      <c r="B316" s="843" t="s">
        <v>1004</v>
      </c>
      <c r="C316" s="1074"/>
      <c r="D316" s="1074"/>
      <c r="E316" s="1074"/>
      <c r="F316" s="1067">
        <v>0.05</v>
      </c>
    </row>
    <row r="317" spans="1:6" ht="14.25" thickBot="1">
      <c r="A317" s="837" t="s">
        <v>1005</v>
      </c>
      <c r="B317" s="838" t="s">
        <v>1006</v>
      </c>
      <c r="C317" s="1062">
        <v>0.15</v>
      </c>
      <c r="D317" s="1062">
        <v>0.15</v>
      </c>
      <c r="E317" s="1062">
        <v>0.15</v>
      </c>
      <c r="F317" s="1063">
        <v>0.15</v>
      </c>
    </row>
    <row r="318" spans="1:6" ht="14.25" thickBot="1">
      <c r="A318" s="837" t="s">
        <v>1005</v>
      </c>
      <c r="B318" s="831" t="s">
        <v>1007</v>
      </c>
      <c r="C318" s="1064">
        <v>0.107</v>
      </c>
      <c r="D318" s="1064">
        <v>0.11</v>
      </c>
      <c r="E318" s="1064">
        <v>0.112</v>
      </c>
      <c r="F318" s="1076"/>
    </row>
    <row r="319" spans="1:6" ht="14.25" thickBot="1">
      <c r="A319" s="837" t="s">
        <v>1005</v>
      </c>
      <c r="B319" s="831" t="s">
        <v>1008</v>
      </c>
      <c r="C319" s="1064">
        <v>0.15</v>
      </c>
      <c r="D319" s="1064">
        <v>0.15</v>
      </c>
      <c r="E319" s="1064">
        <v>0.15</v>
      </c>
      <c r="F319" s="1065">
        <v>0.15</v>
      </c>
    </row>
    <row r="320" spans="1:6" ht="14.25" thickBot="1">
      <c r="A320" s="837" t="s">
        <v>1005</v>
      </c>
      <c r="B320" s="831" t="s">
        <v>223</v>
      </c>
      <c r="C320" s="1064">
        <v>0.15</v>
      </c>
      <c r="D320" s="1064">
        <v>0.15</v>
      </c>
      <c r="E320" s="1064">
        <v>0.15</v>
      </c>
      <c r="F320" s="1076"/>
    </row>
    <row r="321" spans="1:6" ht="14.25" thickBot="1">
      <c r="A321" s="837" t="s">
        <v>1005</v>
      </c>
      <c r="B321" s="831" t="s">
        <v>1009</v>
      </c>
      <c r="C321" s="1064">
        <v>0.15</v>
      </c>
      <c r="D321" s="1064">
        <v>0.15</v>
      </c>
      <c r="E321" s="1064">
        <v>0.15</v>
      </c>
      <c r="F321" s="1076"/>
    </row>
    <row r="322" spans="1:6" ht="14.25" thickBot="1">
      <c r="A322" s="837" t="s">
        <v>1005</v>
      </c>
      <c r="B322" s="831" t="s">
        <v>1010</v>
      </c>
      <c r="C322" s="1064">
        <v>0.15</v>
      </c>
      <c r="D322" s="1064">
        <v>0.15</v>
      </c>
      <c r="E322" s="1064">
        <v>0.15</v>
      </c>
      <c r="F322" s="1065">
        <v>0.15</v>
      </c>
    </row>
    <row r="323" spans="1:6" ht="14.25" thickBot="1">
      <c r="A323" s="837" t="s">
        <v>1005</v>
      </c>
      <c r="B323" s="831" t="s">
        <v>1011</v>
      </c>
      <c r="C323" s="1064">
        <v>0.15</v>
      </c>
      <c r="D323" s="1064">
        <v>0.15</v>
      </c>
      <c r="E323" s="1064">
        <v>0.15</v>
      </c>
      <c r="F323" s="1076"/>
    </row>
    <row r="324" spans="1:6" ht="14.25" thickBot="1">
      <c r="A324" s="837" t="s">
        <v>1005</v>
      </c>
      <c r="B324" s="831" t="s">
        <v>1012</v>
      </c>
      <c r="C324" s="1064">
        <v>0.15</v>
      </c>
      <c r="D324" s="1064">
        <v>0.15</v>
      </c>
      <c r="E324" s="1064">
        <v>0.15</v>
      </c>
      <c r="F324" s="1076"/>
    </row>
    <row r="325" spans="1:6" ht="14.25" thickBot="1">
      <c r="A325" s="837" t="s">
        <v>1005</v>
      </c>
      <c r="B325" s="831" t="s">
        <v>1013</v>
      </c>
      <c r="C325" s="1064">
        <v>0.15</v>
      </c>
      <c r="D325" s="1064">
        <v>0.15</v>
      </c>
      <c r="E325" s="1064">
        <v>0.15</v>
      </c>
      <c r="F325" s="1065">
        <v>0.14699999999999999</v>
      </c>
    </row>
    <row r="326" spans="1:6" ht="14.25" thickBot="1">
      <c r="A326" s="837" t="s">
        <v>1005</v>
      </c>
      <c r="B326" s="831" t="s">
        <v>290</v>
      </c>
      <c r="C326" s="1064">
        <v>0.15</v>
      </c>
      <c r="D326" s="1064">
        <v>0.15</v>
      </c>
      <c r="E326" s="1064">
        <v>0.15</v>
      </c>
      <c r="F326" s="1076"/>
    </row>
    <row r="327" spans="1:6" ht="14.25" thickBot="1">
      <c r="A327" s="837" t="s">
        <v>1005</v>
      </c>
      <c r="B327" s="831" t="s">
        <v>1014</v>
      </c>
      <c r="C327" s="1064">
        <v>0.15</v>
      </c>
      <c r="D327" s="1064">
        <v>0.15</v>
      </c>
      <c r="E327" s="1064">
        <v>0.15</v>
      </c>
      <c r="F327" s="1065">
        <v>0.15</v>
      </c>
    </row>
    <row r="328" spans="1:6" ht="14.25" thickBot="1">
      <c r="A328" s="837" t="s">
        <v>1005</v>
      </c>
      <c r="B328" s="831" t="s">
        <v>310</v>
      </c>
      <c r="C328" s="1064">
        <v>0.15</v>
      </c>
      <c r="D328" s="1064">
        <v>0.15</v>
      </c>
      <c r="E328" s="1064">
        <v>0.15</v>
      </c>
      <c r="F328" s="1065">
        <v>0.14099999999999999</v>
      </c>
    </row>
    <row r="329" spans="1:6" ht="14.25" thickBot="1">
      <c r="A329" s="837" t="s">
        <v>1005</v>
      </c>
      <c r="B329" s="831" t="s">
        <v>320</v>
      </c>
      <c r="C329" s="1064">
        <v>0.15</v>
      </c>
      <c r="D329" s="1064">
        <v>0.15</v>
      </c>
      <c r="E329" s="1064">
        <v>0.15</v>
      </c>
      <c r="F329" s="1065">
        <v>0.15</v>
      </c>
    </row>
    <row r="330" spans="1:6" ht="14.25" thickBot="1">
      <c r="A330" s="837" t="s">
        <v>1005</v>
      </c>
      <c r="B330" s="831" t="s">
        <v>331</v>
      </c>
      <c r="C330" s="1064">
        <v>0.15</v>
      </c>
      <c r="D330" s="1064">
        <v>0.15</v>
      </c>
      <c r="E330" s="1064">
        <v>0.15</v>
      </c>
      <c r="F330" s="1076"/>
    </row>
    <row r="331" spans="1:6" ht="14.25" thickBot="1">
      <c r="A331" s="837" t="s">
        <v>1005</v>
      </c>
      <c r="B331" s="831" t="s">
        <v>1015</v>
      </c>
      <c r="C331" s="1064">
        <v>0.15</v>
      </c>
      <c r="D331" s="1064">
        <v>0.15</v>
      </c>
      <c r="E331" s="1064">
        <v>0.15</v>
      </c>
      <c r="F331" s="1065">
        <v>0.15</v>
      </c>
    </row>
    <row r="332" spans="1:6" ht="14.25" thickBot="1">
      <c r="A332" s="837" t="s">
        <v>1005</v>
      </c>
      <c r="B332" s="831" t="s">
        <v>352</v>
      </c>
      <c r="C332" s="1064">
        <v>0.15</v>
      </c>
      <c r="D332" s="1064">
        <v>0.15</v>
      </c>
      <c r="E332" s="1064">
        <v>0.15</v>
      </c>
      <c r="F332" s="1065">
        <v>0.15</v>
      </c>
    </row>
    <row r="333" spans="1:6" ht="14.25" thickBot="1">
      <c r="A333" s="837" t="s">
        <v>1005</v>
      </c>
      <c r="B333" s="831" t="s">
        <v>1016</v>
      </c>
      <c r="C333" s="1064">
        <v>0.15</v>
      </c>
      <c r="D333" s="1064">
        <v>0.15</v>
      </c>
      <c r="E333" s="1064">
        <v>0.15</v>
      </c>
      <c r="F333" s="1065">
        <v>0.14099999999999999</v>
      </c>
    </row>
    <row r="334" spans="1:6" ht="14.25" thickBot="1">
      <c r="A334" s="837" t="s">
        <v>1005</v>
      </c>
      <c r="B334" s="831" t="s">
        <v>372</v>
      </c>
      <c r="C334" s="1064">
        <v>0.15</v>
      </c>
      <c r="D334" s="1064">
        <v>0.15</v>
      </c>
      <c r="E334" s="1064">
        <v>0.15</v>
      </c>
      <c r="F334" s="1065">
        <v>0.15</v>
      </c>
    </row>
    <row r="335" spans="1:6" ht="14.25" thickBot="1">
      <c r="A335" s="837" t="s">
        <v>1005</v>
      </c>
      <c r="B335" s="831" t="s">
        <v>382</v>
      </c>
      <c r="C335" s="1064">
        <v>0.15</v>
      </c>
      <c r="D335" s="1064">
        <v>0.15</v>
      </c>
      <c r="E335" s="1064">
        <v>0.15</v>
      </c>
      <c r="F335" s="1076"/>
    </row>
    <row r="336" spans="1:6" ht="14.25" thickBot="1">
      <c r="A336" s="837" t="s">
        <v>1005</v>
      </c>
      <c r="B336" s="831" t="s">
        <v>1017</v>
      </c>
      <c r="C336" s="1064">
        <v>0.15</v>
      </c>
      <c r="D336" s="1064">
        <v>0.15</v>
      </c>
      <c r="E336" s="1064">
        <v>0.15</v>
      </c>
      <c r="F336" s="1065">
        <v>0.11799999999999999</v>
      </c>
    </row>
    <row r="337" spans="1:6" ht="14.25" thickBot="1">
      <c r="A337" s="847" t="s">
        <v>1005</v>
      </c>
      <c r="B337" s="843" t="s">
        <v>400</v>
      </c>
      <c r="C337" s="1074"/>
      <c r="D337" s="1074"/>
      <c r="E337" s="1074"/>
      <c r="F337" s="1067">
        <v>0.14299999999999999</v>
      </c>
    </row>
    <row r="338" spans="1:6" ht="14.25" thickBot="1">
      <c r="A338" s="837" t="s">
        <v>1018</v>
      </c>
      <c r="B338" s="838" t="s">
        <v>1019</v>
      </c>
      <c r="C338" s="1062">
        <v>0.15</v>
      </c>
      <c r="D338" s="1062">
        <v>0.15</v>
      </c>
      <c r="E338" s="1062">
        <v>0.15</v>
      </c>
      <c r="F338" s="1079"/>
    </row>
    <row r="339" spans="1:6" ht="14.25" thickBot="1">
      <c r="A339" s="837" t="s">
        <v>1018</v>
      </c>
      <c r="B339" s="831" t="s">
        <v>1020</v>
      </c>
      <c r="C339" s="1064">
        <v>0.15</v>
      </c>
      <c r="D339" s="1064">
        <v>0.15</v>
      </c>
      <c r="E339" s="1064">
        <v>0.15</v>
      </c>
      <c r="F339" s="1076"/>
    </row>
    <row r="340" spans="1:6" ht="14.25" thickBot="1">
      <c r="A340" s="837" t="s">
        <v>1018</v>
      </c>
      <c r="B340" s="831" t="s">
        <v>1021</v>
      </c>
      <c r="C340" s="1064">
        <v>0.15</v>
      </c>
      <c r="D340" s="1064">
        <v>0.15</v>
      </c>
      <c r="E340" s="1064">
        <v>0.15</v>
      </c>
      <c r="F340" s="1076"/>
    </row>
    <row r="341" spans="1:6" ht="14.25" thickBot="1">
      <c r="A341" s="837" t="s">
        <v>1018</v>
      </c>
      <c r="B341" s="831" t="s">
        <v>1022</v>
      </c>
      <c r="C341" s="1064">
        <v>0.15</v>
      </c>
      <c r="D341" s="1064">
        <v>0.15</v>
      </c>
      <c r="E341" s="1064">
        <v>0.15</v>
      </c>
      <c r="F341" s="1065">
        <v>0.15</v>
      </c>
    </row>
    <row r="342" spans="1:6" ht="14.25" thickBot="1">
      <c r="A342" s="837" t="s">
        <v>1018</v>
      </c>
      <c r="B342" s="831" t="s">
        <v>1023</v>
      </c>
      <c r="C342" s="1064">
        <v>0.15</v>
      </c>
      <c r="D342" s="1064">
        <v>0.15</v>
      </c>
      <c r="E342" s="1064">
        <v>0.15</v>
      </c>
      <c r="F342" s="1065">
        <v>0.15</v>
      </c>
    </row>
    <row r="343" spans="1:6" ht="14.25" thickBot="1">
      <c r="A343" s="837" t="s">
        <v>1018</v>
      </c>
      <c r="B343" s="831" t="s">
        <v>1024</v>
      </c>
      <c r="C343" s="1064">
        <v>0.15</v>
      </c>
      <c r="D343" s="1064">
        <v>0.15</v>
      </c>
      <c r="E343" s="1064">
        <v>0.15</v>
      </c>
      <c r="F343" s="1065">
        <v>0.15</v>
      </c>
    </row>
    <row r="344" spans="1:6" ht="14.25" thickBot="1">
      <c r="A344" s="847" t="s">
        <v>1018</v>
      </c>
      <c r="B344" s="843"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43538</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J1" workbookViewId="0">
      <selection activeCell="K48" sqref="K48"/>
    </sheetView>
  </sheetViews>
  <sheetFormatPr defaultRowHeight="13.5"/>
  <sheetData/>
  <phoneticPr fontId="143"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0" sqref="K30"/>
    </sheetView>
  </sheetViews>
  <sheetFormatPr defaultRowHeight="13.5"/>
  <sheetData/>
  <phoneticPr fontId="14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0" sqref="M20"/>
    </sheetView>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137</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收益法（汇总）</vt:lpstr>
      <vt:lpstr>基准地价（汇总）</vt:lpstr>
      <vt:lpstr>成本法 (元)</vt:lpstr>
      <vt:lpstr>假设开发法-办公</vt:lpstr>
      <vt:lpstr>假设开发法-商业</vt:lpstr>
      <vt:lpstr>假设开发法-仓储</vt:lpstr>
      <vt:lpstr>收益法-办公</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收益法-商业</vt:lpstr>
      <vt:lpstr>收益法-仓储</vt:lpstr>
      <vt:lpstr>基准地价修正-办公</vt:lpstr>
      <vt:lpstr>基准地价修正-商业</vt:lpstr>
      <vt:lpstr>修正</vt:lpstr>
      <vt:lpstr>容积率修正</vt:lpstr>
      <vt:lpstr>地价</vt:lpstr>
      <vt:lpstr>典型户型修正</vt:lpstr>
      <vt:lpstr>成本法（废）</vt:lpstr>
      <vt:lpstr>区片价</vt:lpstr>
      <vt:lpstr>因素修正幅度</vt:lpstr>
      <vt:lpstr>存贷款利率</vt:lpstr>
      <vt:lpstr>区片价（范围）</vt:lpstr>
      <vt:lpstr>商业租金</vt:lpstr>
      <vt:lpstr>Sheet2</vt:lpstr>
      <vt:lpstr>办公租金案例</vt:lpstr>
      <vt:lpstr>估价师及机构信息!Print_Area</vt:lpstr>
      <vt:lpstr>'收益法 (元)'!Print_Area</vt:lpstr>
      <vt:lpstr>'收益法-办公'!Print_Area</vt:lpstr>
      <vt:lpstr>'收益法-仓储'!Print_Area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2019-03-14T06:43:32Z</dcterms:modified>
</cp:coreProperties>
</file>